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E9B0A2E3-9CD1-4DBF-9BDA-4C9A64A0B5F9}" xr6:coauthVersionLast="47" xr6:coauthVersionMax="47" xr10:uidLastSave="{00000000-0000-0000-0000-000000000000}"/>
  <bookViews>
    <workbookView xWindow="-120" yWindow="-120" windowWidth="20730" windowHeight="11760" tabRatio="867" xr2:uid="{00000000-000D-0000-FFFF-FFFF00000000}"/>
  </bookViews>
  <sheets>
    <sheet name="Vantaggio Cliente iDea vs RID" sheetId="5" r:id="rId1"/>
    <sheet name="Prezzi medi anno PUN e RID" sheetId="4" r:id="rId2"/>
    <sheet name="Vantaggio Energy Cloud" sheetId="3" r:id="rId3"/>
    <sheet name="Simulazione costi fissi" sheetId="6" r:id="rId4"/>
    <sheet name="analisi accumulo prosumer" sheetId="7" r:id="rId5"/>
    <sheet name="Flex" sheetId="9" r:id="rId6"/>
    <sheet name="Ricavi Tot PUN Energy" sheetId="8" r:id="rId7"/>
  </sheets>
  <calcPr calcId="191029"/>
</workbook>
</file>

<file path=xl/calcChain.xml><?xml version="1.0" encoding="utf-8"?>
<calcChain xmlns="http://schemas.openxmlformats.org/spreadsheetml/2006/main">
  <c r="E55" i="5" l="1"/>
  <c r="C55" i="5"/>
  <c r="D3" i="5" s="1"/>
  <c r="N52" i="5"/>
  <c r="J52" i="5"/>
  <c r="I52" i="5"/>
  <c r="G52" i="5"/>
  <c r="F52" i="5"/>
  <c r="B52" i="5"/>
  <c r="B55" i="5"/>
  <c r="F55" i="5" s="1"/>
  <c r="B6" i="9"/>
  <c r="D6" i="9" s="1"/>
  <c r="B5" i="9" s="1"/>
  <c r="B3" i="5"/>
  <c r="B24" i="9"/>
  <c r="B23" i="9"/>
  <c r="B25" i="9" s="1"/>
  <c r="C17" i="9"/>
  <c r="E3" i="5" l="1"/>
  <c r="B19" i="9"/>
  <c r="C24" i="9" s="1"/>
  <c r="D24" i="9"/>
  <c r="E24" i="9" s="1"/>
  <c r="B20" i="9"/>
  <c r="D23" i="9"/>
  <c r="F24" i="9" l="1"/>
  <c r="C23" i="9"/>
  <c r="C25" i="9" s="1"/>
  <c r="D25" i="9"/>
  <c r="E23" i="9"/>
  <c r="E25" i="9" s="1"/>
  <c r="F23" i="9" l="1"/>
  <c r="F25" i="9" s="1"/>
  <c r="G25" i="9" l="1"/>
  <c r="M3" i="3" s="1"/>
  <c r="B28" i="9"/>
  <c r="B29" i="9"/>
  <c r="K51" i="5"/>
  <c r="L54" i="5"/>
  <c r="K50" i="5"/>
  <c r="G31" i="5"/>
  <c r="G18" i="5" s="1"/>
  <c r="M14" i="7"/>
  <c r="M13" i="7"/>
  <c r="M12" i="7"/>
  <c r="M11" i="7"/>
  <c r="M10" i="7"/>
  <c r="M9" i="7"/>
  <c r="M8" i="7"/>
  <c r="M7" i="7"/>
  <c r="M6" i="7"/>
  <c r="M5" i="7"/>
  <c r="M4" i="7"/>
  <c r="M3" i="7"/>
  <c r="M2" i="7"/>
  <c r="E24" i="7"/>
  <c r="C25" i="7"/>
  <c r="C24" i="7"/>
  <c r="L49" i="5" l="1"/>
  <c r="D13" i="8"/>
  <c r="E9" i="8" s="1"/>
  <c r="G20" i="5"/>
  <c r="G12" i="5"/>
  <c r="G13" i="5"/>
  <c r="G19" i="5"/>
  <c r="G21" i="5"/>
  <c r="G14" i="5"/>
  <c r="G22" i="5"/>
  <c r="G15" i="5"/>
  <c r="G16" i="5"/>
  <c r="G17" i="5"/>
  <c r="G3" i="5"/>
  <c r="I55" i="5" s="1"/>
  <c r="C3" i="5"/>
  <c r="L14" i="7"/>
  <c r="H14" i="7"/>
  <c r="D24" i="7"/>
  <c r="D23" i="7"/>
  <c r="D22" i="7"/>
  <c r="D21" i="7"/>
  <c r="D20" i="7"/>
  <c r="D19" i="7"/>
  <c r="D18" i="7"/>
  <c r="C19" i="7"/>
  <c r="C20" i="7"/>
  <c r="C21" i="7"/>
  <c r="C22" i="7"/>
  <c r="C23" i="7"/>
  <c r="C18" i="7"/>
  <c r="B23" i="7"/>
  <c r="B22" i="7"/>
  <c r="B21" i="7"/>
  <c r="B20" i="7"/>
  <c r="B19" i="7"/>
  <c r="B18" i="7"/>
  <c r="D48" i="5"/>
  <c r="D51" i="5" s="1"/>
  <c r="C90" i="4"/>
  <c r="C89" i="4"/>
  <c r="C88" i="4"/>
  <c r="B27" i="4"/>
  <c r="B38" i="4"/>
  <c r="B49" i="4"/>
  <c r="F33" i="6"/>
  <c r="E33" i="6"/>
  <c r="D33" i="6"/>
  <c r="C33" i="6"/>
  <c r="B33" i="6"/>
  <c r="K32" i="6"/>
  <c r="I32" i="6"/>
  <c r="H32" i="6"/>
  <c r="G32" i="6"/>
  <c r="K31" i="6"/>
  <c r="I31" i="6"/>
  <c r="H31" i="6"/>
  <c r="G31" i="6"/>
  <c r="K30" i="6"/>
  <c r="I30" i="6"/>
  <c r="H30" i="6"/>
  <c r="G30" i="6"/>
  <c r="K29" i="6"/>
  <c r="I29" i="6"/>
  <c r="H29" i="6"/>
  <c r="G29" i="6"/>
  <c r="K28" i="6"/>
  <c r="I28" i="6"/>
  <c r="H28" i="6"/>
  <c r="G28" i="6"/>
  <c r="K27" i="6"/>
  <c r="I27" i="6"/>
  <c r="H27" i="6"/>
  <c r="G27" i="6"/>
  <c r="K26" i="6"/>
  <c r="I26" i="6"/>
  <c r="H26" i="6"/>
  <c r="G26" i="6"/>
  <c r="K25" i="6"/>
  <c r="I25" i="6"/>
  <c r="H25" i="6"/>
  <c r="G25" i="6"/>
  <c r="K24" i="6"/>
  <c r="I24" i="6"/>
  <c r="H24" i="6"/>
  <c r="G24" i="6"/>
  <c r="K23" i="6"/>
  <c r="I23" i="6"/>
  <c r="H23" i="6"/>
  <c r="G23" i="6"/>
  <c r="K22" i="6"/>
  <c r="I22" i="6"/>
  <c r="H22" i="6"/>
  <c r="G22" i="6"/>
  <c r="K21" i="6"/>
  <c r="I21" i="6"/>
  <c r="H21" i="6"/>
  <c r="G21" i="6"/>
  <c r="K2" i="6"/>
  <c r="K3" i="6"/>
  <c r="K4" i="6"/>
  <c r="K5" i="6"/>
  <c r="K6" i="6"/>
  <c r="K8" i="6"/>
  <c r="K9" i="6"/>
  <c r="K10" i="6"/>
  <c r="K11" i="6"/>
  <c r="K12" i="6"/>
  <c r="K13" i="6"/>
  <c r="K7" i="6"/>
  <c r="H3" i="6"/>
  <c r="H4" i="6"/>
  <c r="H5" i="6"/>
  <c r="H6" i="6"/>
  <c r="H7" i="6"/>
  <c r="H8" i="6"/>
  <c r="H9" i="6"/>
  <c r="H10" i="6"/>
  <c r="H11" i="6"/>
  <c r="H12" i="6"/>
  <c r="H13" i="6"/>
  <c r="H2" i="6"/>
  <c r="I3" i="6"/>
  <c r="I4" i="6"/>
  <c r="I5" i="6"/>
  <c r="I6" i="6"/>
  <c r="I7" i="6"/>
  <c r="I8" i="6"/>
  <c r="I9" i="6"/>
  <c r="I10" i="6"/>
  <c r="I11" i="6"/>
  <c r="I12" i="6"/>
  <c r="I13" i="6"/>
  <c r="I2" i="6"/>
  <c r="G3" i="6"/>
  <c r="G4" i="6"/>
  <c r="G5" i="6"/>
  <c r="G6" i="6"/>
  <c r="G7" i="6"/>
  <c r="G8" i="6"/>
  <c r="G9" i="6"/>
  <c r="G10" i="6"/>
  <c r="G11" i="6"/>
  <c r="G12" i="6"/>
  <c r="G13" i="6"/>
  <c r="G2" i="6"/>
  <c r="C14" i="6"/>
  <c r="D14" i="6"/>
  <c r="E14" i="6"/>
  <c r="E15" i="6" s="1"/>
  <c r="F14" i="6"/>
  <c r="B14" i="6"/>
  <c r="D4" i="3"/>
  <c r="D5" i="3" s="1"/>
  <c r="D6" i="3" s="1"/>
  <c r="D7" i="3" s="1"/>
  <c r="D8" i="3" s="1"/>
  <c r="G22" i="3"/>
  <c r="G23" i="3"/>
  <c r="G24" i="3"/>
  <c r="G25" i="3"/>
  <c r="E6" i="8" l="1"/>
  <c r="E2" i="8"/>
  <c r="E8" i="8"/>
  <c r="E7" i="8"/>
  <c r="E5" i="8"/>
  <c r="E3" i="8"/>
  <c r="E4" i="8"/>
  <c r="E10" i="8"/>
  <c r="I14" i="6"/>
  <c r="K14" i="6"/>
  <c r="I33" i="6"/>
  <c r="D34" i="6"/>
  <c r="K33" i="6"/>
  <c r="E34" i="6"/>
  <c r="F34" i="6"/>
  <c r="F15" i="6"/>
  <c r="D15" i="6"/>
  <c r="D9" i="3"/>
  <c r="D10" i="3" s="1"/>
  <c r="D11" i="3" s="1"/>
  <c r="D12" i="3" s="1"/>
  <c r="D13" i="3" s="1"/>
  <c r="D14" i="3" s="1"/>
  <c r="D15" i="3" s="1"/>
  <c r="D16" i="3" s="1"/>
  <c r="D17" i="3" s="1"/>
  <c r="D18" i="3" s="1"/>
  <c r="D19" i="3" s="1"/>
  <c r="D20" i="3" s="1"/>
  <c r="D21" i="3" s="1"/>
  <c r="D22" i="3" s="1"/>
  <c r="D23" i="3" s="1"/>
  <c r="D24" i="3" s="1"/>
  <c r="D25" i="3" s="1"/>
  <c r="D26" i="3" s="1"/>
  <c r="D14" i="5"/>
  <c r="D13" i="5"/>
  <c r="D7" i="5"/>
  <c r="D8" i="5" s="1"/>
  <c r="D9" i="5" s="1"/>
  <c r="D10" i="5" s="1"/>
  <c r="D11" i="5" s="1"/>
  <c r="D12" i="5" s="1"/>
  <c r="C14" i="5"/>
  <c r="M48" i="4"/>
  <c r="L48" i="4"/>
  <c r="K48" i="4"/>
  <c r="J48" i="4"/>
  <c r="I48" i="4"/>
  <c r="H48" i="4"/>
  <c r="G48" i="4"/>
  <c r="F48" i="4"/>
  <c r="E48" i="4"/>
  <c r="D48" i="4"/>
  <c r="C48" i="4"/>
  <c r="B48" i="4"/>
  <c r="M37" i="4"/>
  <c r="L37" i="4"/>
  <c r="K37" i="4"/>
  <c r="J37" i="4"/>
  <c r="I37" i="4"/>
  <c r="H37" i="4"/>
  <c r="G37" i="4"/>
  <c r="F37" i="4"/>
  <c r="E37" i="4"/>
  <c r="D37" i="4"/>
  <c r="C37" i="4"/>
  <c r="B37" i="4"/>
  <c r="M26" i="4"/>
  <c r="L26" i="4"/>
  <c r="K26" i="4"/>
  <c r="J26" i="4"/>
  <c r="I26" i="4"/>
  <c r="H26" i="4"/>
  <c r="G26" i="4"/>
  <c r="F26" i="4"/>
  <c r="E26" i="4"/>
  <c r="D26" i="4"/>
  <c r="C26" i="4"/>
  <c r="B26" i="4"/>
  <c r="E27" i="3" l="1"/>
  <c r="F27" i="3"/>
  <c r="B50" i="5"/>
  <c r="B51" i="5" s="1"/>
  <c r="E31" i="5"/>
  <c r="E15" i="5" s="1"/>
  <c r="F30" i="3"/>
  <c r="F21" i="3" s="1"/>
  <c r="F29" i="3"/>
  <c r="D15" i="5"/>
  <c r="D30" i="5"/>
  <c r="D25" i="5"/>
  <c r="D26" i="5" s="1"/>
  <c r="D27" i="5" s="1"/>
  <c r="D28" i="5" s="1"/>
  <c r="D29" i="5" s="1"/>
  <c r="D27" i="3"/>
  <c r="A35" i="5" l="1"/>
  <c r="B35" i="5" s="1"/>
  <c r="E10" i="3" s="1"/>
  <c r="F9" i="3"/>
  <c r="F8" i="3"/>
  <c r="F16" i="3"/>
  <c r="F15" i="3"/>
  <c r="F14" i="3"/>
  <c r="F13" i="3"/>
  <c r="F12" i="3"/>
  <c r="F11" i="3"/>
  <c r="F18" i="3"/>
  <c r="F10" i="3"/>
  <c r="F17" i="3"/>
  <c r="E20" i="5"/>
  <c r="E16" i="5"/>
  <c r="G21" i="3"/>
  <c r="E14" i="5"/>
  <c r="F14" i="5" s="1"/>
  <c r="E19" i="5"/>
  <c r="E22" i="5"/>
  <c r="E21" i="5"/>
  <c r="E12" i="5"/>
  <c r="E13" i="5"/>
  <c r="F13" i="5" s="1"/>
  <c r="E17" i="5"/>
  <c r="E18" i="5"/>
  <c r="D16" i="5"/>
  <c r="F15" i="5"/>
  <c r="F31" i="3"/>
  <c r="F32" i="3"/>
  <c r="G32" i="3" s="1"/>
  <c r="D35" i="5" l="1"/>
  <c r="E3" i="3" s="1"/>
  <c r="B48" i="5"/>
  <c r="B49" i="5"/>
  <c r="C35" i="5"/>
  <c r="C37" i="5" s="1"/>
  <c r="F16" i="5"/>
  <c r="F28" i="3"/>
  <c r="D17" i="5"/>
  <c r="F17" i="5" s="1"/>
  <c r="G35" i="3"/>
  <c r="F33" i="3"/>
  <c r="E21" i="3" l="1"/>
  <c r="H21" i="3" s="1"/>
  <c r="D18" i="5"/>
  <c r="F18" i="5" s="1"/>
  <c r="F36" i="3"/>
  <c r="G36" i="3" s="1"/>
  <c r="J3" i="3" l="1"/>
  <c r="J27" i="3" s="1"/>
  <c r="D19" i="5"/>
  <c r="F19" i="5" s="1"/>
  <c r="D15" i="4"/>
  <c r="C7" i="5" s="1"/>
  <c r="C8" i="5" s="1"/>
  <c r="C15" i="4"/>
  <c r="C13" i="5" s="1"/>
  <c r="B15" i="4"/>
  <c r="D20" i="5" l="1"/>
  <c r="F20" i="5" s="1"/>
  <c r="C9" i="5"/>
  <c r="C30" i="5" s="1"/>
  <c r="D37" i="5" s="1"/>
  <c r="C3" i="3"/>
  <c r="C4" i="3" s="1"/>
  <c r="C5" i="3" s="1"/>
  <c r="C6" i="3" s="1"/>
  <c r="C10" i="3"/>
  <c r="C11" i="3" s="1"/>
  <c r="C12" i="3" s="1"/>
  <c r="G31" i="3" s="1"/>
  <c r="C9" i="3"/>
  <c r="C15" i="5"/>
  <c r="D21" i="5" l="1"/>
  <c r="F21" i="5" s="1"/>
  <c r="C10" i="5"/>
  <c r="C11" i="5" s="1"/>
  <c r="C12" i="5" s="1"/>
  <c r="C26" i="3"/>
  <c r="C13" i="3"/>
  <c r="C14" i="3" s="1"/>
  <c r="C15" i="3" s="1"/>
  <c r="C16" i="5"/>
  <c r="C7" i="3"/>
  <c r="C8" i="3" s="1"/>
  <c r="H3" i="3"/>
  <c r="C16" i="3" l="1"/>
  <c r="C17" i="3" s="1"/>
  <c r="C18" i="3" s="1"/>
  <c r="C19" i="3" s="1"/>
  <c r="G15" i="3"/>
  <c r="G33" i="3"/>
  <c r="G26" i="3"/>
  <c r="D22" i="5"/>
  <c r="F22" i="5" s="1"/>
  <c r="C17" i="5"/>
  <c r="C18" i="5" s="1"/>
  <c r="H10" i="3"/>
  <c r="H27" i="3" s="1"/>
  <c r="C20" i="3" l="1"/>
  <c r="G20" i="3" s="1"/>
  <c r="G19" i="3"/>
  <c r="D23" i="5"/>
  <c r="D24" i="5" s="1"/>
  <c r="C19" i="5"/>
  <c r="B37" i="5" s="1"/>
  <c r="A37" i="5" l="1"/>
  <c r="C20" i="5"/>
  <c r="C48" i="5" l="1"/>
  <c r="M55" i="5" s="1"/>
  <c r="L3" i="3" s="1"/>
  <c r="A38" i="5"/>
  <c r="C21" i="5"/>
  <c r="M49" i="5" l="1"/>
  <c r="C50" i="5"/>
  <c r="C49" i="5"/>
  <c r="C51" i="5"/>
  <c r="E48" i="5"/>
  <c r="C22" i="5"/>
  <c r="L27" i="3" l="1"/>
  <c r="M27" i="3"/>
  <c r="E50" i="5"/>
  <c r="F50" i="5" s="1"/>
  <c r="E49" i="5"/>
  <c r="F49" i="5" s="1"/>
  <c r="E51" i="5"/>
  <c r="F51" i="5" s="1"/>
  <c r="G51" i="5" s="1"/>
  <c r="I51" i="5" s="1"/>
  <c r="J51" i="5" s="1"/>
  <c r="N51" i="5" s="1"/>
  <c r="F48" i="5"/>
  <c r="C23" i="5"/>
  <c r="G49" i="5" l="1"/>
  <c r="G50" i="5"/>
  <c r="I50" i="5" s="1"/>
  <c r="J50" i="5" s="1"/>
  <c r="N50" i="5" s="1"/>
  <c r="G48" i="5"/>
  <c r="I48" i="5" s="1"/>
  <c r="C24" i="5"/>
  <c r="J48" i="5" l="1"/>
  <c r="F12" i="5" l="1"/>
  <c r="F31" i="5" s="1"/>
  <c r="B43" i="5" s="1"/>
  <c r="C43" i="5" l="1"/>
  <c r="E43" i="5" s="1"/>
  <c r="K48" i="5" s="1"/>
  <c r="N48" i="5" s="1"/>
  <c r="G8" i="3"/>
  <c r="G14" i="3"/>
  <c r="G13" i="3"/>
  <c r="G16" i="3"/>
  <c r="G17" i="3"/>
  <c r="G18" i="3"/>
  <c r="G10" i="3"/>
  <c r="G9" i="3"/>
  <c r="G11" i="3"/>
  <c r="G12" i="3"/>
  <c r="I3" i="3"/>
  <c r="I27" i="3" s="1"/>
  <c r="N3" i="3" s="1"/>
  <c r="D2" i="8" l="1"/>
  <c r="N27" i="3"/>
  <c r="G27" i="3"/>
  <c r="K3" i="3" s="1"/>
  <c r="E44" i="5" l="1"/>
  <c r="H49" i="5" s="1"/>
  <c r="I49" i="5" s="1"/>
  <c r="J49" i="5" s="1"/>
  <c r="N49" i="5" s="1"/>
  <c r="B44" i="5"/>
  <c r="K27" i="3"/>
  <c r="D3" i="8"/>
  <c r="O49" i="5" l="1"/>
  <c r="D4" i="8"/>
  <c r="D5" i="8" s="1"/>
  <c r="D6" i="8" s="1"/>
  <c r="D7" i="8" s="1"/>
  <c r="D8" i="8" s="1"/>
  <c r="D9" i="8" s="1"/>
  <c r="D10" i="8" s="1"/>
  <c r="D11" i="8" l="1"/>
  <c r="D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J27" authorId="0" shapeId="0" xr:uid="{761D094C-8D17-495A-B047-2E841B5BCFC9}">
      <text>
        <r>
          <rPr>
            <b/>
            <sz val="9"/>
            <color indexed="81"/>
            <rFont val="Tahoma"/>
            <family val="2"/>
          </rPr>
          <t>PC:</t>
        </r>
        <r>
          <rPr>
            <sz val="9"/>
            <color indexed="81"/>
            <rFont val="Tahoma"/>
            <family val="2"/>
          </rPr>
          <t xml:space="preserve">
margine CTE (condizioni tecnico economiche) fornitotìre invariate vedi "Vantaggio Cliente iDea VS Rid cella D48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source</author>
  </authors>
  <commentList>
    <comment ref="B8" authorId="0" shapeId="0" xr:uid="{F5B31EC3-FB4E-4F38-B4A8-BF9D4DC6CF09}">
      <text>
        <r>
          <rPr>
            <sz val="11"/>
            <color theme="1"/>
            <rFont val="Calibri"/>
            <family val="2"/>
            <scheme val="minor"/>
          </rPr>
          <t>Fonte fattore utilizzo (valore cautelativo 27% usato nelle tabelle costi): https://content.unareti.it/sites/default/files/2025-12/aggiornamento-relazione-tecnica-2026.pdf (Capitolo 4).</t>
        </r>
      </text>
    </comment>
    <comment ref="B9" authorId="0" shapeId="0" xr:uid="{EEA59B4D-B093-46C5-997A-49855C08B259}">
      <text>
        <r>
          <rPr>
            <sz val="11"/>
            <color theme="1"/>
            <rFont val="Calibri"/>
            <family val="2"/>
            <scheme val="minor"/>
          </rPr>
          <t>Fonte CAP disponibilità: https://content.unareti.it/sites/default/files/2025-12/aggiornamento-relazione-tecnica-2026.pdf (Capitolo 4, cap disponibilità 250.000 €/MW/anno).</t>
        </r>
      </text>
    </comment>
    <comment ref="B10" authorId="0" shapeId="0" xr:uid="{83DDAF25-736C-48A6-8AA6-5C26A1C06B97}">
      <text>
        <r>
          <rPr>
            <sz val="11"/>
            <color theme="1"/>
            <rFont val="Calibri"/>
            <family val="2"/>
            <scheme val="minor"/>
          </rPr>
          <t>Fonte CAP attivazione: https://content.unareti.it/sites/default/files/2025-12/aggiornamento-relazione-tecnica-2026.pdf (Capitolo 4, cap attivazione 300 €/MWh).</t>
        </r>
      </text>
    </comment>
    <comment ref="B11" authorId="0" shapeId="0" xr:uid="{870BAE02-DAB8-46AB-ABAC-99FACE367D36}">
      <text>
        <r>
          <rPr>
            <sz val="11"/>
            <color theme="1"/>
            <rFont val="Calibri"/>
            <family val="2"/>
            <scheme val="minor"/>
          </rPr>
          <t>Fonte extra premialità attivazione (25% sul prezzo aggiudicato in asta in seconda fase): https://content.unareti.it/sites/default/files/2025-12/aggiornamento-relazione-tecnica-2026.pdf (testo prima di Tabella 2).</t>
        </r>
      </text>
    </comment>
  </commentList>
</comments>
</file>

<file path=xl/sharedStrings.xml><?xml version="1.0" encoding="utf-8"?>
<sst xmlns="http://schemas.openxmlformats.org/spreadsheetml/2006/main" count="446" uniqueCount="253">
  <si>
    <t>Data</t>
  </si>
  <si>
    <t>Ora</t>
  </si>
  <si>
    <t>1</t>
  </si>
  <si>
    <t>2</t>
  </si>
  <si>
    <t>3</t>
  </si>
  <si>
    <t>4</t>
  </si>
  <si>
    <t>5</t>
  </si>
  <si>
    <t>6</t>
  </si>
  <si>
    <t>7</t>
  </si>
  <si>
    <t>8</t>
  </si>
  <si>
    <t>9</t>
  </si>
  <si>
    <t>10</t>
  </si>
  <si>
    <t>11</t>
  </si>
  <si>
    <t>12</t>
  </si>
  <si>
    <t>13</t>
  </si>
  <si>
    <t>14</t>
  </si>
  <si>
    <t>15</t>
  </si>
  <si>
    <t>16</t>
  </si>
  <si>
    <t>17</t>
  </si>
  <si>
    <t>18</t>
  </si>
  <si>
    <t>19</t>
  </si>
  <si>
    <t>20</t>
  </si>
  <si>
    <t>21</t>
  </si>
  <si>
    <t>22</t>
  </si>
  <si>
    <t>23</t>
  </si>
  <si>
    <t>24</t>
  </si>
  <si>
    <t>Spread</t>
  </si>
  <si>
    <t>F3</t>
  </si>
  <si>
    <t>Mese</t>
  </si>
  <si>
    <t>F1</t>
  </si>
  <si>
    <t>F2</t>
  </si>
  <si>
    <t>gennaio</t>
  </si>
  <si>
    <t>maggio</t>
  </si>
  <si>
    <t>febbraio</t>
  </si>
  <si>
    <t>marzo</t>
  </si>
  <si>
    <t>aprile</t>
  </si>
  <si>
    <t>luglio</t>
  </si>
  <si>
    <t>agosto</t>
  </si>
  <si>
    <t>sett</t>
  </si>
  <si>
    <t>ott</t>
  </si>
  <si>
    <t>nov</t>
  </si>
  <si>
    <t>dic</t>
  </si>
  <si>
    <t>PUN medio €/MWh</t>
  </si>
  <si>
    <t>RID</t>
  </si>
  <si>
    <t>Totale anno</t>
  </si>
  <si>
    <t>Residuo Cliente</t>
  </si>
  <si>
    <t xml:space="preserve"> La compensazione avviene in modo dinamico, considerando i fattori di mercato dell’energia, e non può in alcun caso superare la quantità di energia ceduta al mercato.</t>
  </si>
  <si>
    <t>Media GME</t>
  </si>
  <si>
    <t>GME</t>
  </si>
  <si>
    <t>GSE</t>
  </si>
  <si>
    <t>Zona</t>
  </si>
  <si>
    <t>gen.</t>
  </si>
  <si>
    <t>feb.</t>
  </si>
  <si>
    <t>mar.</t>
  </si>
  <si>
    <t>apr.</t>
  </si>
  <si>
    <t>mag.</t>
  </si>
  <si>
    <t>giu.</t>
  </si>
  <si>
    <t>lug.</t>
  </si>
  <si>
    <t>ago.</t>
  </si>
  <si>
    <t>set.</t>
  </si>
  <si>
    <t>ott.</t>
  </si>
  <si>
    <t>nov.</t>
  </si>
  <si>
    <t>dic.</t>
  </si>
  <si>
    <t>Centro Nord</t>
  </si>
  <si>
    <t>Centro Sud</t>
  </si>
  <si>
    <t>Nord</t>
  </si>
  <si>
    <t>Sardegna</t>
  </si>
  <si>
    <t>Sicilia</t>
  </si>
  <si>
    <t>Sud</t>
  </si>
  <si>
    <t>Calabria</t>
  </si>
  <si>
    <t>media  mese</t>
  </si>
  <si>
    <t>Media annuale</t>
  </si>
  <si>
    <t>Immissioni in rete kWh/anno</t>
  </si>
  <si>
    <t>Ora giorno</t>
  </si>
  <si>
    <t>iDea</t>
  </si>
  <si>
    <t>Produzione annuale</t>
  </si>
  <si>
    <t>Immissioni in rete</t>
  </si>
  <si>
    <t>Consumi Utenza</t>
  </si>
  <si>
    <t>Prosumer residenziale</t>
  </si>
  <si>
    <t>Tabella calcolo vendita energia immessa in rete RID / iDea</t>
  </si>
  <si>
    <t>Modalità</t>
  </si>
  <si>
    <t>Tasse</t>
  </si>
  <si>
    <t>Immissioni kWh/anno del Prosumer</t>
  </si>
  <si>
    <t>€/MWh media annuale 2024 PUN</t>
  </si>
  <si>
    <t>kWh da compensare (51% F3, 33% F2, 16% F1) al Prosumer</t>
  </si>
  <si>
    <t>Valori di vendita energia con RID riferiti ad Impianto Fotovoltaico da 4 kWp nord Italia: Produzione 4200, autoconsumo 1470 , immissioni 2730 , consumi 1500 KWh SENZA ACCUMULO</t>
  </si>
  <si>
    <t>Modalità di consumo dei 1500 kWh del prosumer: il consumo, da valori statistici, avviene: nel 16% in fascia F1, 33% in F2 e  51% F3.</t>
  </si>
  <si>
    <t>Valori economici RID vs iDea</t>
  </si>
  <si>
    <t>PZO medio (GSE) €/MWh</t>
  </si>
  <si>
    <t>F1 16%</t>
  </si>
  <si>
    <t>F2 33%</t>
  </si>
  <si>
    <t>F3 51%</t>
  </si>
  <si>
    <t xml:space="preserve">Costo medio kWh </t>
  </si>
  <si>
    <t>Spread Fornitore al kWh</t>
  </si>
  <si>
    <t>kWh consumati + perdite 10%</t>
  </si>
  <si>
    <t>Perdite 10%</t>
  </si>
  <si>
    <t>Totale Lordo</t>
  </si>
  <si>
    <t>Totale Netto</t>
  </si>
  <si>
    <t>IVA</t>
  </si>
  <si>
    <t>Totale bolletta IVA inclusa</t>
  </si>
  <si>
    <t>Costi</t>
  </si>
  <si>
    <t>Bolletta=  [kWh x (PUN Medio + Spread + Fissi + Perdite)] x IVA</t>
  </si>
  <si>
    <t>Costi lettura GSE</t>
  </si>
  <si>
    <t>Fissi (dispacciamento, trasporto, accise, PCV)</t>
  </si>
  <si>
    <t>Energia prodotta intervallo</t>
  </si>
  <si>
    <t>Pot Impianto</t>
  </si>
  <si>
    <t>Tipo</t>
  </si>
  <si>
    <t>Mono</t>
  </si>
  <si>
    <t>Batteria</t>
  </si>
  <si>
    <t>il sistema consente al fornitore che gestisce l’utenza elettrica di far aumentare, al cliente domestico possessore di impianto PV, i guadagni dalla cessione di energia prodotta e non consumata prendendola in prestito e rivendendola ad altri clienti (fascia F1). Quando il cliente preleverà l’energia dalla rete, il fornitore restituirà l’energia acquistandola sul mercato (fascia F1/F2/F3 ) a prezzi medi inferiori rispetto al valore di quella ricevuta in cessione dal cliente.Il cliente in questo modo valorizza l’energia immessa in rete al prezzo pieno del PUN poichè quando la preleva dalla rete utilizza la sua stessa energia non pagandola al fornitore. Se l’avesse venduta al GSE  avrebbe incassato il prezzo zonale  e su quell’importo avrebbe pagato i costi di misurazione e le imposte con l’aliquota marginale più alta. Il netto ricavo sarebbe stato circa la metà di quello che invece può ottenere con l’utilizzo del sistema. Il fornitore ha un’arma commerciale unica e incrementa il suo profitto su ogni utenza per effetto della differenza tra i KWh ricevuti e quelli restituiti al cliente garantendo allo stesso tempo una minor spesa annua in bolletta all’utente
 Inoltre: In presenza di batterie, il sistema abilita la cessione dell'energia nelle fasce orarie economicamente più favorevoli, utilizzando la capacità di accumulo per contribuire al bilanciamento della rete.</t>
  </si>
  <si>
    <t xml:space="preserve">mese </t>
  </si>
  <si>
    <t>kWh</t>
  </si>
  <si>
    <t>Gennaio</t>
  </si>
  <si>
    <t>Aprile</t>
  </si>
  <si>
    <t>Maggio</t>
  </si>
  <si>
    <t>Giugno</t>
  </si>
  <si>
    <t>Luglio</t>
  </si>
  <si>
    <t>Agosto</t>
  </si>
  <si>
    <t>Ottobre</t>
  </si>
  <si>
    <t>Novembre</t>
  </si>
  <si>
    <t>Dicembre</t>
  </si>
  <si>
    <t>Settembre</t>
  </si>
  <si>
    <t>Canone</t>
  </si>
  <si>
    <t>fissi Ivati</t>
  </si>
  <si>
    <t>energia Ivata</t>
  </si>
  <si>
    <t>Febbraio</t>
  </si>
  <si>
    <t>PVC</t>
  </si>
  <si>
    <t>Totale</t>
  </si>
  <si>
    <t>totale Bolletta</t>
  </si>
  <si>
    <t xml:space="preserve">Media </t>
  </si>
  <si>
    <t>Incidenza fissi totale</t>
  </si>
  <si>
    <t>Incidenza  con canone</t>
  </si>
  <si>
    <t>Incidenza oneri sistema</t>
  </si>
  <si>
    <t>Fattore incidenza in relazione energia</t>
  </si>
  <si>
    <t>Fascia Oraria</t>
  </si>
  <si>
    <t>Valore (€\kWh)</t>
  </si>
  <si>
    <t>Marzo</t>
  </si>
  <si>
    <t>Media</t>
  </si>
  <si>
    <t>giugno</t>
  </si>
  <si>
    <t>MESE</t>
  </si>
  <si>
    <t>MATERIA PRIMA €</t>
  </si>
  <si>
    <t>ALTRE VOCI SPESA ENERGIA €</t>
  </si>
  <si>
    <t>ONERI TRASPORTO €</t>
  </si>
  <si>
    <t>ONERI SISTEMA €</t>
  </si>
  <si>
    <t>TASSE €</t>
  </si>
  <si>
    <t>CONSUMO TOT KWh</t>
  </si>
  <si>
    <t>PRELEVATO RETE KWh</t>
  </si>
  <si>
    <t>PRELEVATO BATTERIA KWh</t>
  </si>
  <si>
    <t>AUTOCONSUMATO KWh</t>
  </si>
  <si>
    <t>IMMESSO BATTERIA KWh</t>
  </si>
  <si>
    <t>IMMESSO RETE KWh</t>
  </si>
  <si>
    <t>GEN</t>
  </si>
  <si>
    <t>FEB</t>
  </si>
  <si>
    <t>MAR</t>
  </si>
  <si>
    <t>APR</t>
  </si>
  <si>
    <t>MAG</t>
  </si>
  <si>
    <t>GIU</t>
  </si>
  <si>
    <t>LUG</t>
  </si>
  <si>
    <t>AGO</t>
  </si>
  <si>
    <t>SET</t>
  </si>
  <si>
    <t>OTT</t>
  </si>
  <si>
    <t>NOV</t>
  </si>
  <si>
    <t>DIC</t>
  </si>
  <si>
    <t>Arbitraggio batteria</t>
  </si>
  <si>
    <t xml:space="preserve">Mese </t>
  </si>
  <si>
    <t>Utilizzo batteria kWh giorno</t>
  </si>
  <si>
    <t>Residuo arbitraggio</t>
  </si>
  <si>
    <t>Totale arbitraggio disponibile</t>
  </si>
  <si>
    <t>Totale arbitraggio batteria</t>
  </si>
  <si>
    <t>Immesso con batteria arbitraggio</t>
  </si>
  <si>
    <t>Immissioni in rete kWh/anno con arbitraggio</t>
  </si>
  <si>
    <t>Energy Cloud</t>
  </si>
  <si>
    <t>Aste Flex/anno</t>
  </si>
  <si>
    <t>Durata Aste/mese</t>
  </si>
  <si>
    <t>Gestione batteria</t>
  </si>
  <si>
    <t>Prosumer iDea</t>
  </si>
  <si>
    <t>Prosumer RID</t>
  </si>
  <si>
    <t>Valore asta €/Mw</t>
  </si>
  <si>
    <t>Anno</t>
  </si>
  <si>
    <t>Tot</t>
  </si>
  <si>
    <t>MiNDFlex Milano/Rozzano 2026 – Stima ricavi per storage (potenza + attivazioni)</t>
  </si>
  <si>
    <t>Nota: i prezzi reali dipendono dall’esito d’asta; qui i valori default sono i CAP indicati da Unareti nel PDF (link nei commenti).</t>
  </si>
  <si>
    <t>INPUT UTENTE (celle gialle)</t>
  </si>
  <si>
    <t>Potenza picco disponibile (kW)</t>
  </si>
  <si>
    <t>kW</t>
  </si>
  <si>
    <t>Capacità energia batteria (kWh)</t>
  </si>
  <si>
    <t>Quota aggiudicata / partecipazione (%)</t>
  </si>
  <si>
    <t>%</t>
  </si>
  <si>
    <t>Fattore utilizzo attivazioni (%)</t>
  </si>
  <si>
    <t>Prezzo disponibilità (€/MW/anno)</t>
  </si>
  <si>
    <t>€/MW/anno</t>
  </si>
  <si>
    <t>Prezzo attivazione (€/MWh)</t>
  </si>
  <si>
    <t>€/MWh</t>
  </si>
  <si>
    <t>Extra premialità attivazione Fase 2 (%)</t>
  </si>
  <si>
    <t>PARAMETRI MILANO/ROZZANO 2026 (dal PDF Unareti)</t>
  </si>
  <si>
    <t>Fase</t>
  </si>
  <si>
    <t>Periodo</t>
  </si>
  <si>
    <t>Ore disponibilità</t>
  </si>
  <si>
    <t>Fasce (sintesi)</t>
  </si>
  <si>
    <t>Note</t>
  </si>
  <si>
    <t>Fase 1</t>
  </si>
  <si>
    <t>2 feb – 29 mag 2026</t>
  </si>
  <si>
    <t>14:00–22:00 (lun–ven, festivi esclusi)</t>
  </si>
  <si>
    <t>Schema regolamento 2025</t>
  </si>
  <si>
    <t>Fase 2</t>
  </si>
  <si>
    <t>1 giu – 31 dic 2026</t>
  </si>
  <si>
    <t>4h-slot; estate 3 fasce, autunno/inverno 2 fasce (lun–ven)</t>
  </si>
  <si>
    <t>Regolamento 2026 (previsto)</t>
  </si>
  <si>
    <t>CALCOLO RICAVI (usa CAP come default; modificabili negli input)</t>
  </si>
  <si>
    <t>Potenza offerta (MW)</t>
  </si>
  <si>
    <t>Durata massima a P_picco (h) = Capacità (kWh) / P (kW)</t>
  </si>
  <si>
    <t>Ore</t>
  </si>
  <si>
    <t>Ricavo disponibilità (€)</t>
  </si>
  <si>
    <t>Energia attivata stimata (kWh)</t>
  </si>
  <si>
    <t>Ricavo attivazione (€)</t>
  </si>
  <si>
    <t>Ricavo totale (€)</t>
  </si>
  <si>
    <t>Totale anno (Fase 1+2)</t>
  </si>
  <si>
    <t>KPI</t>
  </si>
  <si>
    <t>Ricavo annuo per kW di potenza (€/kW-anno)</t>
  </si>
  <si>
    <t>Ricavo annuo per kWh di capacità (€/kWh-anno) – indicativo</t>
  </si>
  <si>
    <t>Spiegazione formule:
• Ricavo disponibilità = PrezzoDisponibilità(€/MW/anno) × PotenzaOfferta(MW) × OreDisponibilità/8760 × QuotaAggiudicata.
• Energia attivata stimata = PotenzaPicco(kW) × OreDisponibilità × FattoreUtilizzo × QuotaAggiudicata.
• Ricavo attivazione = PrezzoAttivazione(€/MWh) × EnergiaAttivata(MWh).
Nota: il PDF parla di 'cap di prezzo' (massimo). Se vuoi una stima più realistica, sostituisci i prezzi con i valori medi/attesi delle aste.</t>
  </si>
  <si>
    <t>Immissioni valori con GSE (RID)</t>
  </si>
  <si>
    <t>Valori economici Energy Cloud iDea</t>
  </si>
  <si>
    <t>Ricavi  Energy Cloud</t>
  </si>
  <si>
    <t>Valore totale ottenuto della vendita delle immissioni a valore PZO</t>
  </si>
  <si>
    <t xml:space="preserve">Costi sostenuti da Energy Cloud per la compensazione in bolletta dei kWh prestati: 51% F3, 33% F2, 16% F1 </t>
  </si>
  <si>
    <t>Ricavo trattenuto da Energy Cloud per gestione immissioni</t>
  </si>
  <si>
    <t>Spread applicato da Energy Cloud per la fornitura dell'energia</t>
  </si>
  <si>
    <t>Note: La restituzione (cioè prelievi da rete) sono calcolati secondo nostri dati reali: nell'esempio il prosumer consuma  51% F3, 16% F1, 33% F2.</t>
  </si>
  <si>
    <t xml:space="preserve">Consumatore Energy Cloud </t>
  </si>
  <si>
    <t>Totale Bolletta</t>
  </si>
  <si>
    <t>Potenza impianto Watt</t>
  </si>
  <si>
    <t>Contributo Energia gestione energy Cloud</t>
  </si>
  <si>
    <t>10% sconto energia</t>
  </si>
  <si>
    <t>Utenza No iDea  Cloud</t>
  </si>
  <si>
    <t>Contributo RID</t>
  </si>
  <si>
    <t>Contributo Flessibilità iDea</t>
  </si>
  <si>
    <t>Flessibilita</t>
  </si>
  <si>
    <t>Contributo trading batteria</t>
  </si>
  <si>
    <t>Si</t>
  </si>
  <si>
    <t>Residuo vantaggio Enegy Cloud</t>
  </si>
  <si>
    <t>Credito residuo prosumer da usare per Marketplace o Ulteriore sconto succesivo in bolltetta</t>
  </si>
  <si>
    <t>Posizione</t>
  </si>
  <si>
    <t>Centro</t>
  </si>
  <si>
    <t>Energia immessa in rete</t>
  </si>
  <si>
    <t>Utente</t>
  </si>
  <si>
    <t>Energia prelevata (consumi)</t>
  </si>
  <si>
    <t>Fee Energy Cloud (€)</t>
  </si>
  <si>
    <t>Fee Flessibilità</t>
  </si>
  <si>
    <t>Fee Trading Batteria</t>
  </si>
  <si>
    <t>Energia autoconsumata</t>
  </si>
  <si>
    <t>Fotovoltaico SI</t>
  </si>
  <si>
    <t>Consumi Utenza senza impianto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</si>
</sst>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0\ &quot;kWh&quot;"/>
    <numFmt numFmtId="165" formatCode="_-* #,##0.0000\ &quot;€&quot;_-;\-* #,##0.0000\ &quot;€&quot;_-;_-* &quot;-&quot;??\ &quot;€&quot;_-;_-@_-"/>
    <numFmt numFmtId="166" formatCode="_-* #,##0.0000\ &quot;€&quot;_-;\-* #,##0.0000\ &quot;€&quot;_-;_-* &quot;-&quot;????\ &quot;€&quot;_-;_-@_-"/>
    <numFmt numFmtId="167" formatCode="#,##0.0000\ &quot;€&quot;;\-#,##0.0000\ &quot;€&quot;"/>
    <numFmt numFmtId="168" formatCode="#,##0.00\ &quot;€&quot;"/>
    <numFmt numFmtId="169" formatCode="0\ &quot;€/MWh&quot;"/>
    <numFmt numFmtId="170" formatCode="&quot;Spread applicato a&quot;\ 0\ &quot;kWh&quot;"/>
    <numFmt numFmtId="171" formatCode="&quot;Pari a &quot;0.000\ &quot;€ al kWh&quot;"/>
    <numFmt numFmtId="172" formatCode="0\ &quot;kWh/anno&quot;"/>
    <numFmt numFmtId="173" formatCode="0.0\ &quot;€/MWh&quot;"/>
    <numFmt numFmtId="174" formatCode="#,##0.00\ _€"/>
    <numFmt numFmtId="175" formatCode="#,##0.00000\ _€"/>
    <numFmt numFmtId="176" formatCode="#,##0.0000\ &quot;€&quot;"/>
    <numFmt numFmtId="177" formatCode="0.0"/>
    <numFmt numFmtId="178" formatCode="0.000"/>
    <numFmt numFmtId="179" formatCode="\€\ #,##0"/>
    <numFmt numFmtId="180" formatCode="\€\ #,##0.00"/>
    <numFmt numFmtId="181" formatCode="#,##0.0\ _€"/>
  </numFmts>
  <fonts count="6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C00000"/>
      <name val="Calibri"/>
      <family val="2"/>
      <scheme val="minor"/>
    </font>
    <font>
      <sz val="11"/>
      <name val="Calibri"/>
      <family val="2"/>
      <scheme val="minor"/>
    </font>
    <font>
      <sz val="11"/>
      <color rgb="FFFFFFFF"/>
      <name val="Calibri"/>
      <family val="2"/>
      <scheme val="minor"/>
    </font>
    <font>
      <sz val="11"/>
      <color rgb="FF388600"/>
      <name val="Calibri"/>
      <family val="2"/>
      <scheme val="minor"/>
    </font>
    <font>
      <sz val="11"/>
      <color rgb="FF004F88"/>
      <name val="Calibri"/>
      <family val="2"/>
      <scheme val="minor"/>
    </font>
    <font>
      <sz val="11"/>
      <color rgb="FF7030A0"/>
      <name val="Calibri"/>
      <family val="2"/>
      <scheme val="minor"/>
    </font>
    <font>
      <b/>
      <sz val="11"/>
      <color rgb="FF388600"/>
      <name val="Calibri"/>
      <family val="2"/>
      <scheme val="minor"/>
    </font>
    <font>
      <b/>
      <sz val="14"/>
      <color theme="1"/>
      <name val="Calibri"/>
      <family val="2"/>
      <scheme val="minor"/>
    </font>
    <font>
      <b/>
      <sz val="11"/>
      <name val="Calibri"/>
      <family val="2"/>
      <scheme val="minor"/>
    </font>
    <font>
      <b/>
      <sz val="11"/>
      <color rgb="FFC00000"/>
      <name val="Calibri"/>
      <family val="2"/>
      <scheme val="minor"/>
    </font>
    <font>
      <b/>
      <sz val="11"/>
      <color rgb="FFFF0000"/>
      <name val="Calibri"/>
      <family val="2"/>
      <scheme val="minor"/>
    </font>
    <font>
      <b/>
      <sz val="14"/>
      <name val="Calibri"/>
      <family val="2"/>
      <scheme val="minor"/>
    </font>
    <font>
      <b/>
      <sz val="14"/>
      <color theme="0"/>
      <name val="Calibri"/>
      <family val="2"/>
      <scheme val="minor"/>
    </font>
    <font>
      <b/>
      <sz val="14"/>
      <color rgb="FF318100"/>
      <name val="Calibri"/>
      <family val="2"/>
      <scheme val="minor"/>
    </font>
    <font>
      <sz val="14"/>
      <name val="Calibri"/>
      <family val="2"/>
      <scheme val="minor"/>
    </font>
    <font>
      <sz val="14"/>
      <color theme="1"/>
      <name val="Calibri"/>
      <family val="2"/>
      <scheme val="minor"/>
    </font>
    <font>
      <sz val="14"/>
      <color theme="0"/>
      <name val="Calibri"/>
      <family val="2"/>
      <scheme val="minor"/>
    </font>
    <font>
      <b/>
      <sz val="14"/>
      <color rgb="FFC00000"/>
      <name val="Calibri"/>
      <family val="2"/>
      <scheme val="minor"/>
    </font>
    <font>
      <u/>
      <sz val="11"/>
      <color theme="10"/>
      <name val="Calibri"/>
      <family val="2"/>
      <scheme val="minor"/>
    </font>
    <font>
      <b/>
      <u/>
      <sz val="11"/>
      <color theme="10"/>
      <name val="Calibri"/>
      <family val="2"/>
      <scheme val="minor"/>
    </font>
    <font>
      <b/>
      <sz val="11"/>
      <color rgb="FF007BB8"/>
      <name val="Calibri"/>
      <family val="2"/>
      <scheme val="minor"/>
    </font>
    <font>
      <b/>
      <sz val="11"/>
      <color rgb="FFFFFFFF"/>
      <name val="Calibri"/>
      <family val="2"/>
      <scheme val="minor"/>
    </font>
    <font>
      <b/>
      <sz val="14"/>
      <color rgb="FF0096D5"/>
      <name val="Calibri"/>
      <family val="2"/>
      <scheme val="minor"/>
    </font>
    <font>
      <b/>
      <sz val="14"/>
      <color rgb="FF00A53F"/>
      <name val="Calibri"/>
      <family val="2"/>
      <scheme val="minor"/>
    </font>
    <font>
      <b/>
      <sz val="14"/>
      <color rgb="FFFF0066"/>
      <name val="Calibri"/>
      <family val="2"/>
      <scheme val="minor"/>
    </font>
    <font>
      <b/>
      <sz val="14"/>
      <color rgb="FF00B050"/>
      <name val="Calibri"/>
      <family val="2"/>
      <scheme val="minor"/>
    </font>
    <font>
      <b/>
      <sz val="11"/>
      <color rgb="FF00B050"/>
      <name val="Calibri"/>
      <family val="2"/>
      <scheme val="minor"/>
    </font>
    <font>
      <b/>
      <sz val="14"/>
      <color rgb="FF9A0000"/>
      <name val="Calibri"/>
      <family val="2"/>
      <scheme val="minor"/>
    </font>
    <font>
      <sz val="9"/>
      <color indexed="81"/>
      <name val="Tahoma"/>
      <family val="2"/>
    </font>
    <font>
      <b/>
      <sz val="9"/>
      <color indexed="81"/>
      <name val="Tahoma"/>
      <family val="2"/>
    </font>
    <font>
      <b/>
      <sz val="11"/>
      <color rgb="FFF8F8F8"/>
      <name val="Calibri"/>
      <family val="2"/>
      <scheme val="minor"/>
    </font>
    <font>
      <sz val="8"/>
      <name val="Calibri"/>
      <family val="2"/>
      <scheme val="minor"/>
    </font>
    <font>
      <b/>
      <sz val="18"/>
      <color theme="1"/>
      <name val="Calibri"/>
      <family val="2"/>
      <scheme val="minor"/>
    </font>
    <font>
      <b/>
      <sz val="16"/>
      <color rgb="FFFFFFFF"/>
      <name val="Calibri"/>
      <family val="2"/>
    </font>
    <font>
      <i/>
      <sz val="10"/>
      <color rgb="FF1F1F1F"/>
      <name val="Calibri"/>
      <family val="2"/>
    </font>
    <font>
      <b/>
      <sz val="12"/>
      <color rgb="FFFFFFFF"/>
      <name val="Calibri"/>
      <family val="2"/>
    </font>
    <font>
      <sz val="11"/>
      <color rgb="FF000000"/>
      <name val="Calibri"/>
      <family val="2"/>
    </font>
    <font>
      <b/>
      <sz val="11"/>
      <color rgb="FF0000FF"/>
      <name val="Calibri"/>
      <family val="2"/>
    </font>
    <font>
      <sz val="10"/>
      <color rgb="FF666666"/>
      <name val="Calibri"/>
      <family val="2"/>
    </font>
    <font>
      <b/>
      <sz val="11"/>
      <color rgb="FFFFFFFF"/>
      <name val="Calibri"/>
      <family val="2"/>
    </font>
    <font>
      <b/>
      <sz val="11"/>
      <name val="Calibri"/>
      <family val="2"/>
    </font>
    <font>
      <b/>
      <sz val="11"/>
      <color rgb="FF000000"/>
      <name val="Calibri"/>
      <family val="2"/>
    </font>
    <font>
      <sz val="11"/>
      <name val="Calibri"/>
      <family val="2"/>
    </font>
    <font>
      <sz val="10"/>
      <color rgb="FF1F1F1F"/>
      <name val="Calibri"/>
      <family val="2"/>
    </font>
    <font>
      <b/>
      <sz val="14"/>
      <color rgb="FFFFFF00"/>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29B95C"/>
        <bgColor indexed="64"/>
      </patternFill>
    </fill>
    <fill>
      <patternFill patternType="solid">
        <fgColor theme="0"/>
        <bgColor indexed="64"/>
      </patternFill>
    </fill>
    <fill>
      <patternFill patternType="solid">
        <fgColor rgb="FF227ACB"/>
        <bgColor indexed="64"/>
      </patternFill>
    </fill>
    <fill>
      <patternFill patternType="solid">
        <fgColor rgb="FFFF7474"/>
        <bgColor indexed="64"/>
      </patternFill>
    </fill>
    <fill>
      <patternFill patternType="solid">
        <fgColor rgb="FFA3DBFF"/>
        <bgColor indexed="64"/>
      </patternFill>
    </fill>
    <fill>
      <patternFill patternType="solid">
        <fgColor rgb="FF00CC99"/>
        <bgColor indexed="64"/>
      </patternFill>
    </fill>
    <fill>
      <patternFill patternType="solid">
        <fgColor rgb="FFFFFFFF"/>
        <bgColor indexed="64"/>
      </patternFill>
    </fill>
    <fill>
      <patternFill patternType="solid">
        <fgColor rgb="FF00B050"/>
        <bgColor indexed="64"/>
      </patternFill>
    </fill>
    <fill>
      <patternFill patternType="solid">
        <fgColor rgb="FF92D050"/>
        <bgColor indexed="64"/>
      </patternFill>
    </fill>
    <fill>
      <patternFill patternType="solid">
        <fgColor rgb="FFAAE571"/>
        <bgColor indexed="64"/>
      </patternFill>
    </fill>
    <fill>
      <patternFill patternType="solid">
        <fgColor rgb="FF1F4E79"/>
      </patternFill>
    </fill>
    <fill>
      <patternFill patternType="solid">
        <fgColor rgb="FF2F5597"/>
      </patternFill>
    </fill>
    <fill>
      <patternFill patternType="solid">
        <fgColor rgb="FFFFF2CC"/>
      </patternFill>
    </fill>
    <fill>
      <patternFill patternType="solid">
        <fgColor rgb="FF305496"/>
      </patternFill>
    </fill>
    <fill>
      <patternFill patternType="solid">
        <fgColor rgb="FFD9E1F2"/>
      </patternFill>
    </fill>
    <fill>
      <patternFill patternType="solid">
        <fgColor rgb="FFE2EFDA"/>
      </patternFill>
    </fill>
    <fill>
      <patternFill patternType="solid">
        <fgColor theme="3" tint="0.79998168889431442"/>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rgb="FFDDDDDD"/>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0" fontId="36" fillId="0" borderId="0" applyNumberFormat="0" applyFill="0" applyBorder="0" applyAlignment="0" applyProtection="0"/>
    <xf numFmtId="0" fontId="1" fillId="0" borderId="0"/>
  </cellStyleXfs>
  <cellXfs count="395">
    <xf numFmtId="0" fontId="0" fillId="0" borderId="0" xfId="0"/>
    <xf numFmtId="0" fontId="0" fillId="0" borderId="12" xfId="0" applyBorder="1"/>
    <xf numFmtId="0" fontId="0" fillId="35" borderId="0" xfId="0" applyFill="1"/>
    <xf numFmtId="0" fontId="0" fillId="0" borderId="14" xfId="0" applyBorder="1"/>
    <xf numFmtId="0" fontId="0" fillId="0" borderId="20" xfId="0" applyBorder="1"/>
    <xf numFmtId="0" fontId="0" fillId="0" borderId="23" xfId="0" applyBorder="1"/>
    <xf numFmtId="0" fontId="0" fillId="0" borderId="24" xfId="0" applyBorder="1"/>
    <xf numFmtId="0" fontId="0" fillId="0" borderId="25" xfId="0" applyBorder="1"/>
    <xf numFmtId="0" fontId="16" fillId="33" borderId="20" xfId="0" applyFont="1" applyFill="1" applyBorder="1"/>
    <xf numFmtId="0" fontId="0" fillId="33" borderId="14" xfId="0" applyFill="1" applyBorder="1"/>
    <xf numFmtId="0" fontId="0" fillId="33" borderId="29" xfId="0" applyFill="1" applyBorder="1"/>
    <xf numFmtId="0" fontId="16" fillId="33" borderId="39" xfId="0" applyFont="1" applyFill="1" applyBorder="1" applyAlignment="1">
      <alignment horizontal="center" vertical="top"/>
    </xf>
    <xf numFmtId="0" fontId="16" fillId="33" borderId="40" xfId="0" applyFont="1" applyFill="1" applyBorder="1" applyAlignment="1">
      <alignment horizontal="center" vertical="top"/>
    </xf>
    <xf numFmtId="0" fontId="16" fillId="33" borderId="41" xfId="0" applyFont="1" applyFill="1" applyBorder="1" applyAlignment="1">
      <alignment horizontal="center" vertical="top"/>
    </xf>
    <xf numFmtId="0" fontId="16" fillId="33" borderId="14" xfId="0" applyFont="1" applyFill="1" applyBorder="1"/>
    <xf numFmtId="0" fontId="0" fillId="33" borderId="20" xfId="0" applyFill="1" applyBorder="1"/>
    <xf numFmtId="0" fontId="0" fillId="0" borderId="42" xfId="0" applyBorder="1"/>
    <xf numFmtId="0" fontId="0" fillId="33" borderId="42" xfId="0" applyFill="1" applyBorder="1"/>
    <xf numFmtId="0" fontId="0" fillId="35" borderId="32" xfId="0" applyFill="1" applyBorder="1"/>
    <xf numFmtId="0" fontId="0" fillId="35" borderId="43" xfId="0" applyFill="1" applyBorder="1"/>
    <xf numFmtId="0" fontId="0" fillId="33" borderId="34" xfId="0" applyFill="1" applyBorder="1"/>
    <xf numFmtId="0" fontId="0" fillId="33" borderId="35" xfId="0" applyFill="1" applyBorder="1"/>
    <xf numFmtId="0" fontId="16" fillId="33" borderId="21" xfId="0" applyFont="1" applyFill="1" applyBorder="1"/>
    <xf numFmtId="0" fontId="16" fillId="33" borderId="37" xfId="0" applyFont="1" applyFill="1" applyBorder="1"/>
    <xf numFmtId="0" fontId="16" fillId="33" borderId="38" xfId="0" applyFont="1" applyFill="1" applyBorder="1"/>
    <xf numFmtId="0" fontId="16" fillId="0" borderId="20" xfId="0" applyFont="1" applyBorder="1"/>
    <xf numFmtId="0" fontId="16" fillId="0" borderId="14" xfId="0" applyFont="1" applyBorder="1"/>
    <xf numFmtId="0" fontId="16" fillId="0" borderId="39" xfId="0" applyFont="1" applyBorder="1" applyAlignment="1">
      <alignment horizontal="center" vertical="top"/>
    </xf>
    <xf numFmtId="0" fontId="16" fillId="0" borderId="40" xfId="0" applyFont="1" applyBorder="1" applyAlignment="1">
      <alignment horizontal="center" vertical="top"/>
    </xf>
    <xf numFmtId="0" fontId="16" fillId="0" borderId="41" xfId="0" applyFont="1" applyBorder="1" applyAlignment="1">
      <alignment horizontal="center" vertical="top"/>
    </xf>
    <xf numFmtId="0" fontId="16" fillId="0" borderId="42" xfId="0" applyFont="1" applyBorder="1"/>
    <xf numFmtId="0" fontId="16" fillId="0" borderId="21" xfId="0" applyFont="1" applyBorder="1"/>
    <xf numFmtId="0" fontId="16" fillId="0" borderId="37" xfId="0" applyFont="1" applyBorder="1"/>
    <xf numFmtId="0" fontId="16" fillId="0" borderId="38" xfId="0" applyFont="1" applyBorder="1"/>
    <xf numFmtId="0" fontId="0" fillId="33" borderId="0" xfId="0" applyFill="1"/>
    <xf numFmtId="0" fontId="0" fillId="0" borderId="0" xfId="0" applyAlignment="1">
      <alignment horizontal="center"/>
    </xf>
    <xf numFmtId="0" fontId="0" fillId="42" borderId="0" xfId="0" applyFill="1" applyAlignment="1">
      <alignment horizontal="center"/>
    </xf>
    <xf numFmtId="0" fontId="0" fillId="42" borderId="0" xfId="0" applyFill="1"/>
    <xf numFmtId="0" fontId="16" fillId="33" borderId="14" xfId="0" applyFont="1" applyFill="1" applyBorder="1" applyAlignment="1">
      <alignment horizontal="left" vertical="top"/>
    </xf>
    <xf numFmtId="0" fontId="16" fillId="33" borderId="14" xfId="0" applyFont="1" applyFill="1" applyBorder="1" applyAlignment="1">
      <alignment horizontal="left" vertical="top" wrapText="1"/>
    </xf>
    <xf numFmtId="0" fontId="16" fillId="33" borderId="14" xfId="0" applyFont="1" applyFill="1" applyBorder="1" applyAlignment="1">
      <alignment vertical="center" wrapText="1"/>
    </xf>
    <xf numFmtId="0" fontId="0" fillId="42" borderId="14" xfId="0" applyFill="1" applyBorder="1" applyAlignment="1">
      <alignment horizontal="center"/>
    </xf>
    <xf numFmtId="0" fontId="0" fillId="33" borderId="14" xfId="0" applyFill="1" applyBorder="1" applyAlignment="1">
      <alignment horizontal="center"/>
    </xf>
    <xf numFmtId="0" fontId="0" fillId="43" borderId="27" xfId="0" applyFill="1" applyBorder="1"/>
    <xf numFmtId="0" fontId="16" fillId="33" borderId="39" xfId="0" applyFont="1" applyFill="1" applyBorder="1"/>
    <xf numFmtId="0" fontId="16" fillId="33" borderId="40" xfId="0" applyFont="1" applyFill="1" applyBorder="1" applyAlignment="1">
      <alignment vertical="top" wrapText="1"/>
    </xf>
    <xf numFmtId="0" fontId="16" fillId="33" borderId="45" xfId="0" applyFont="1" applyFill="1" applyBorder="1" applyAlignment="1">
      <alignment vertical="top" wrapText="1"/>
    </xf>
    <xf numFmtId="0" fontId="16" fillId="33" borderId="39" xfId="0" applyFont="1" applyFill="1" applyBorder="1" applyAlignment="1">
      <alignment vertical="top" wrapText="1"/>
    </xf>
    <xf numFmtId="0" fontId="16" fillId="33" borderId="46" xfId="0" applyFont="1" applyFill="1" applyBorder="1" applyAlignment="1">
      <alignment vertical="top" wrapText="1"/>
    </xf>
    <xf numFmtId="44" fontId="0" fillId="0" borderId="14" xfId="0" applyNumberFormat="1" applyBorder="1"/>
    <xf numFmtId="168" fontId="0" fillId="0" borderId="14" xfId="0" applyNumberFormat="1" applyBorder="1"/>
    <xf numFmtId="168" fontId="0" fillId="0" borderId="16" xfId="0" applyNumberFormat="1" applyBorder="1"/>
    <xf numFmtId="10" fontId="16" fillId="0" borderId="20" xfId="0" applyNumberFormat="1" applyFont="1" applyBorder="1"/>
    <xf numFmtId="10" fontId="16" fillId="0" borderId="14" xfId="0" applyNumberFormat="1" applyFont="1" applyBorder="1"/>
    <xf numFmtId="0" fontId="16" fillId="33" borderId="44" xfId="0" applyFont="1" applyFill="1" applyBorder="1"/>
    <xf numFmtId="0" fontId="16" fillId="33" borderId="28" xfId="0" applyFont="1" applyFill="1" applyBorder="1"/>
    <xf numFmtId="44" fontId="16" fillId="33" borderId="28" xfId="0" applyNumberFormat="1" applyFont="1" applyFill="1" applyBorder="1"/>
    <xf numFmtId="44" fontId="16" fillId="33" borderId="31" xfId="0" applyNumberFormat="1" applyFont="1" applyFill="1" applyBorder="1"/>
    <xf numFmtId="0" fontId="0" fillId="33" borderId="13" xfId="0" applyFill="1" applyBorder="1"/>
    <xf numFmtId="0" fontId="0" fillId="33" borderId="24" xfId="0" applyFill="1" applyBorder="1"/>
    <xf numFmtId="10" fontId="0" fillId="33" borderId="24" xfId="0" applyNumberFormat="1" applyFill="1" applyBorder="1"/>
    <xf numFmtId="0" fontId="16" fillId="33" borderId="47" xfId="0" applyFont="1" applyFill="1" applyBorder="1"/>
    <xf numFmtId="44" fontId="16" fillId="33" borderId="37" xfId="0" applyNumberFormat="1" applyFont="1" applyFill="1" applyBorder="1"/>
    <xf numFmtId="44" fontId="16" fillId="33" borderId="38" xfId="0" applyNumberFormat="1" applyFont="1" applyFill="1" applyBorder="1"/>
    <xf numFmtId="168" fontId="0" fillId="0" borderId="0" xfId="0" applyNumberFormat="1"/>
    <xf numFmtId="0" fontId="39" fillId="40" borderId="14" xfId="0" applyFont="1" applyFill="1" applyBorder="1" applyAlignment="1">
      <alignment vertical="center" wrapText="1"/>
    </xf>
    <xf numFmtId="0" fontId="20" fillId="40" borderId="14" xfId="0" applyFont="1" applyFill="1" applyBorder="1"/>
    <xf numFmtId="174" fontId="37" fillId="33" borderId="14" xfId="43" applyNumberFormat="1" applyFont="1" applyFill="1" applyBorder="1" applyProtection="1"/>
    <xf numFmtId="174" fontId="28" fillId="0" borderId="14" xfId="42" applyNumberFormat="1" applyFont="1" applyBorder="1" applyProtection="1"/>
    <xf numFmtId="174" fontId="26" fillId="35" borderId="42" xfId="42" applyNumberFormat="1" applyFont="1" applyFill="1" applyBorder="1" applyProtection="1"/>
    <xf numFmtId="174" fontId="28" fillId="35" borderId="42" xfId="42" applyNumberFormat="1" applyFont="1" applyFill="1" applyBorder="1" applyProtection="1"/>
    <xf numFmtId="174" fontId="13" fillId="35" borderId="0" xfId="42" applyNumberFormat="1" applyFont="1" applyFill="1" applyBorder="1" applyProtection="1"/>
    <xf numFmtId="174" fontId="16" fillId="33" borderId="38" xfId="42" applyNumberFormat="1" applyFont="1" applyFill="1" applyBorder="1" applyProtection="1"/>
    <xf numFmtId="174" fontId="24" fillId="35" borderId="0" xfId="42" applyNumberFormat="1" applyFont="1" applyFill="1" applyBorder="1" applyProtection="1"/>
    <xf numFmtId="174" fontId="17" fillId="35" borderId="0" xfId="42" applyNumberFormat="1" applyFont="1" applyFill="1" applyBorder="1" applyAlignment="1" applyProtection="1">
      <alignment horizontal="right"/>
    </xf>
    <xf numFmtId="174" fontId="13" fillId="0" borderId="0" xfId="42" applyNumberFormat="1" applyFont="1" applyFill="1" applyBorder="1" applyAlignment="1" applyProtection="1">
      <alignment horizontal="right"/>
    </xf>
    <xf numFmtId="174" fontId="13" fillId="0" borderId="0" xfId="42" applyNumberFormat="1" applyFont="1" applyFill="1" applyBorder="1" applyProtection="1"/>
    <xf numFmtId="174" fontId="26" fillId="33" borderId="14" xfId="0" applyNumberFormat="1" applyFont="1" applyFill="1" applyBorder="1" applyProtection="1">
      <protection locked="0"/>
    </xf>
    <xf numFmtId="0" fontId="0" fillId="0" borderId="14" xfId="0" applyBorder="1" applyProtection="1">
      <protection hidden="1"/>
    </xf>
    <xf numFmtId="0" fontId="0" fillId="0" borderId="0" xfId="0" applyProtection="1">
      <protection hidden="1"/>
    </xf>
    <xf numFmtId="0" fontId="20" fillId="35" borderId="0" xfId="0" applyFont="1" applyFill="1" applyProtection="1">
      <protection hidden="1"/>
    </xf>
    <xf numFmtId="0" fontId="20" fillId="0" borderId="0" xfId="0" applyFont="1" applyProtection="1">
      <protection hidden="1"/>
    </xf>
    <xf numFmtId="0" fontId="20" fillId="35" borderId="14" xfId="0" applyFont="1" applyFill="1" applyBorder="1" applyProtection="1">
      <protection hidden="1"/>
    </xf>
    <xf numFmtId="0" fontId="20" fillId="35" borderId="14" xfId="0" applyFont="1" applyFill="1" applyBorder="1" applyAlignment="1" applyProtection="1">
      <alignment wrapText="1"/>
      <protection hidden="1"/>
    </xf>
    <xf numFmtId="0" fontId="20" fillId="35" borderId="0" xfId="0" applyFont="1" applyFill="1" applyAlignment="1" applyProtection="1">
      <alignment wrapText="1"/>
      <protection hidden="1"/>
    </xf>
    <xf numFmtId="0" fontId="20" fillId="35" borderId="14" xfId="0" applyFont="1" applyFill="1" applyBorder="1" applyProtection="1">
      <protection locked="0"/>
    </xf>
    <xf numFmtId="168" fontId="20" fillId="35" borderId="14" xfId="0" applyNumberFormat="1" applyFont="1" applyFill="1" applyBorder="1" applyProtection="1">
      <protection hidden="1"/>
    </xf>
    <xf numFmtId="168" fontId="20" fillId="35" borderId="14" xfId="0" applyNumberFormat="1" applyFont="1" applyFill="1" applyBorder="1" applyProtection="1">
      <protection locked="0"/>
    </xf>
    <xf numFmtId="0" fontId="39" fillId="35" borderId="0" xfId="0" applyFont="1" applyFill="1" applyProtection="1">
      <protection hidden="1"/>
    </xf>
    <xf numFmtId="168" fontId="39" fillId="35" borderId="0" xfId="0" applyNumberFormat="1" applyFont="1" applyFill="1" applyProtection="1">
      <protection hidden="1"/>
    </xf>
    <xf numFmtId="0" fontId="54" fillId="0" borderId="52" xfId="44" applyFont="1" applyBorder="1" applyAlignment="1" applyProtection="1">
      <alignment horizontal="left" vertical="center" wrapText="1"/>
      <protection hidden="1"/>
    </xf>
    <xf numFmtId="0" fontId="56" fillId="0" borderId="52" xfId="44" applyFont="1" applyBorder="1" applyAlignment="1" applyProtection="1">
      <alignment horizontal="left" vertical="center" wrapText="1"/>
      <protection hidden="1"/>
    </xf>
    <xf numFmtId="0" fontId="57" fillId="47" borderId="53" xfId="44" applyFont="1" applyFill="1" applyBorder="1" applyAlignment="1" applyProtection="1">
      <alignment horizontal="center" vertical="center" wrapText="1"/>
      <protection hidden="1"/>
    </xf>
    <xf numFmtId="0" fontId="0" fillId="0" borderId="53" xfId="44" applyFont="1" applyBorder="1" applyAlignment="1" applyProtection="1">
      <alignment horizontal="left" vertical="center" wrapText="1"/>
      <protection hidden="1"/>
    </xf>
    <xf numFmtId="1" fontId="0" fillId="0" borderId="53" xfId="44" applyNumberFormat="1" applyFont="1" applyBorder="1" applyAlignment="1" applyProtection="1">
      <alignment horizontal="right" vertical="center" wrapText="1"/>
      <protection hidden="1"/>
    </xf>
    <xf numFmtId="0" fontId="58" fillId="48" borderId="53" xfId="44" applyFont="1" applyFill="1" applyBorder="1" applyAlignment="1" applyProtection="1">
      <alignment horizontal="left" vertical="center" wrapText="1"/>
      <protection hidden="1"/>
    </xf>
    <xf numFmtId="0" fontId="0" fillId="48" borderId="53" xfId="44" applyFont="1" applyFill="1" applyBorder="1" applyAlignment="1" applyProtection="1">
      <alignment horizontal="left" vertical="center" wrapText="1"/>
      <protection hidden="1"/>
    </xf>
    <xf numFmtId="1" fontId="0" fillId="48" borderId="53" xfId="44" applyNumberFormat="1" applyFont="1" applyFill="1" applyBorder="1" applyAlignment="1" applyProtection="1">
      <alignment horizontal="right" vertical="center" wrapText="1"/>
      <protection hidden="1"/>
    </xf>
    <xf numFmtId="0" fontId="54" fillId="0" borderId="0" xfId="44" applyFont="1" applyAlignment="1" applyProtection="1">
      <alignment horizontal="left" vertical="center" wrapText="1"/>
      <protection hidden="1"/>
    </xf>
    <xf numFmtId="178" fontId="59" fillId="49" borderId="53" xfId="44" applyNumberFormat="1" applyFont="1" applyFill="1" applyBorder="1" applyAlignment="1" applyProtection="1">
      <alignment horizontal="right" vertical="center" wrapText="1"/>
      <protection hidden="1"/>
    </xf>
    <xf numFmtId="2" fontId="59" fillId="49" borderId="53" xfId="44" applyNumberFormat="1" applyFont="1" applyFill="1" applyBorder="1" applyAlignment="1" applyProtection="1">
      <alignment horizontal="right" vertical="center" wrapText="1"/>
      <protection hidden="1"/>
    </xf>
    <xf numFmtId="0" fontId="60" fillId="0" borderId="53" xfId="44" applyFont="1" applyBorder="1" applyAlignment="1" applyProtection="1">
      <alignment horizontal="left" vertical="center" wrapText="1"/>
      <protection hidden="1"/>
    </xf>
    <xf numFmtId="179" fontId="0" fillId="0" borderId="53" xfId="44" applyNumberFormat="1" applyFont="1" applyBorder="1" applyAlignment="1" applyProtection="1">
      <alignment horizontal="right" vertical="center" wrapText="1"/>
      <protection hidden="1"/>
    </xf>
    <xf numFmtId="3" fontId="0" fillId="0" borderId="53" xfId="44" applyNumberFormat="1" applyFont="1" applyBorder="1" applyAlignment="1" applyProtection="1">
      <alignment horizontal="right" vertical="center" wrapText="1"/>
      <protection hidden="1"/>
    </xf>
    <xf numFmtId="1" fontId="58" fillId="48" borderId="53" xfId="44" applyNumberFormat="1" applyFont="1" applyFill="1" applyBorder="1" applyAlignment="1" applyProtection="1">
      <alignment horizontal="right" vertical="center" wrapText="1"/>
      <protection hidden="1"/>
    </xf>
    <xf numFmtId="179" fontId="58" fillId="48" borderId="53" xfId="44" applyNumberFormat="1" applyFont="1" applyFill="1" applyBorder="1" applyAlignment="1" applyProtection="1">
      <alignment horizontal="right" vertical="center" wrapText="1"/>
      <protection hidden="1"/>
    </xf>
    <xf numFmtId="3" fontId="58" fillId="48" borderId="53" xfId="44" applyNumberFormat="1" applyFont="1" applyFill="1" applyBorder="1" applyAlignment="1" applyProtection="1">
      <alignment horizontal="right" vertical="center" wrapText="1"/>
      <protection hidden="1"/>
    </xf>
    <xf numFmtId="180" fontId="59" fillId="49" borderId="53" xfId="44" applyNumberFormat="1" applyFont="1" applyFill="1" applyBorder="1" applyAlignment="1" applyProtection="1">
      <alignment horizontal="right" vertical="center" wrapText="1"/>
      <protection hidden="1"/>
    </xf>
    <xf numFmtId="0" fontId="0" fillId="38" borderId="14" xfId="0" applyFill="1" applyBorder="1" applyProtection="1">
      <protection hidden="1"/>
    </xf>
    <xf numFmtId="0" fontId="16" fillId="38" borderId="34" xfId="0" applyFont="1" applyFill="1" applyBorder="1" applyAlignment="1" applyProtection="1">
      <alignment horizontal="center" vertical="center" wrapText="1"/>
      <protection hidden="1"/>
    </xf>
    <xf numFmtId="0" fontId="16" fillId="38" borderId="29" xfId="0" applyFont="1" applyFill="1" applyBorder="1" applyAlignment="1" applyProtection="1">
      <alignment horizontal="center" vertical="center" wrapText="1"/>
      <protection hidden="1"/>
    </xf>
    <xf numFmtId="0" fontId="16" fillId="33" borderId="29" xfId="0" applyFont="1" applyFill="1" applyBorder="1" applyAlignment="1" applyProtection="1">
      <alignment horizontal="center" vertical="center" wrapText="1"/>
      <protection hidden="1"/>
    </xf>
    <xf numFmtId="0" fontId="16" fillId="38" borderId="33" xfId="0" applyFont="1" applyFill="1" applyBorder="1" applyAlignment="1" applyProtection="1">
      <alignment horizontal="center" vertical="center" wrapText="1"/>
      <protection hidden="1"/>
    </xf>
    <xf numFmtId="170" fontId="16" fillId="33" borderId="33" xfId="0" applyNumberFormat="1" applyFont="1" applyFill="1" applyBorder="1" applyAlignment="1" applyProtection="1">
      <alignment horizontal="center" vertical="center" wrapText="1"/>
      <protection hidden="1"/>
    </xf>
    <xf numFmtId="0" fontId="16" fillId="38" borderId="14" xfId="0" applyFont="1" applyFill="1" applyBorder="1" applyAlignment="1" applyProtection="1">
      <alignment horizontal="center" vertical="center"/>
      <protection hidden="1"/>
    </xf>
    <xf numFmtId="0" fontId="0" fillId="0" borderId="20" xfId="0" applyBorder="1" applyProtection="1">
      <protection hidden="1"/>
    </xf>
    <xf numFmtId="169" fontId="19" fillId="0" borderId="14" xfId="42" applyNumberFormat="1" applyFont="1" applyBorder="1" applyProtection="1">
      <protection hidden="1"/>
    </xf>
    <xf numFmtId="164" fontId="19" fillId="0" borderId="14" xfId="0" applyNumberFormat="1" applyFont="1" applyBorder="1" applyProtection="1">
      <protection hidden="1"/>
    </xf>
    <xf numFmtId="167" fontId="0" fillId="0" borderId="14" xfId="42" applyNumberFormat="1" applyFont="1" applyBorder="1" applyProtection="1">
      <protection hidden="1"/>
    </xf>
    <xf numFmtId="173" fontId="19" fillId="33" borderId="14" xfId="0" applyNumberFormat="1" applyFont="1" applyFill="1" applyBorder="1" applyProtection="1">
      <protection hidden="1"/>
    </xf>
    <xf numFmtId="164" fontId="0" fillId="0" borderId="14" xfId="0" applyNumberFormat="1" applyBorder="1" applyProtection="1">
      <protection hidden="1"/>
    </xf>
    <xf numFmtId="164" fontId="16" fillId="34" borderId="14" xfId="0" applyNumberFormat="1" applyFont="1" applyFill="1" applyBorder="1" applyProtection="1">
      <protection hidden="1"/>
    </xf>
    <xf numFmtId="165" fontId="0" fillId="0" borderId="14" xfId="42" applyNumberFormat="1" applyFont="1" applyBorder="1" applyProtection="1">
      <protection hidden="1"/>
    </xf>
    <xf numFmtId="164" fontId="0" fillId="36" borderId="14" xfId="0" applyNumberFormat="1" applyFill="1" applyBorder="1" applyAlignment="1" applyProtection="1">
      <alignment horizontal="center"/>
      <protection hidden="1"/>
    </xf>
    <xf numFmtId="168" fontId="0" fillId="36" borderId="16" xfId="0" applyNumberFormat="1" applyFill="1" applyBorder="1" applyAlignment="1" applyProtection="1">
      <alignment horizontal="center" vertical="top"/>
      <protection hidden="1"/>
    </xf>
    <xf numFmtId="164" fontId="0" fillId="37" borderId="14" xfId="0" applyNumberFormat="1" applyFill="1" applyBorder="1" applyAlignment="1" applyProtection="1">
      <alignment horizontal="center" vertical="center"/>
      <protection hidden="1"/>
    </xf>
    <xf numFmtId="168" fontId="14" fillId="37" borderId="16" xfId="0" applyNumberFormat="1" applyFont="1" applyFill="1" applyBorder="1" applyProtection="1">
      <protection hidden="1"/>
    </xf>
    <xf numFmtId="0" fontId="16" fillId="38" borderId="21" xfId="0" applyFont="1" applyFill="1" applyBorder="1" applyProtection="1">
      <protection hidden="1"/>
    </xf>
    <xf numFmtId="0" fontId="16" fillId="38" borderId="37" xfId="0" applyFont="1" applyFill="1" applyBorder="1" applyProtection="1">
      <protection hidden="1"/>
    </xf>
    <xf numFmtId="173" fontId="26" fillId="33" borderId="37" xfId="0" applyNumberFormat="1" applyFont="1" applyFill="1" applyBorder="1" applyProtection="1">
      <protection hidden="1"/>
    </xf>
    <xf numFmtId="172" fontId="16" fillId="38" borderId="37" xfId="0" applyNumberFormat="1" applyFont="1" applyFill="1" applyBorder="1" applyProtection="1">
      <protection hidden="1"/>
    </xf>
    <xf numFmtId="164" fontId="48" fillId="40" borderId="28" xfId="0" applyNumberFormat="1" applyFont="1" applyFill="1" applyBorder="1" applyProtection="1">
      <protection hidden="1"/>
    </xf>
    <xf numFmtId="167" fontId="16" fillId="38" borderId="37" xfId="42" applyNumberFormat="1" applyFont="1" applyFill="1" applyBorder="1" applyProtection="1">
      <protection hidden="1"/>
    </xf>
    <xf numFmtId="168" fontId="16" fillId="38" borderId="22" xfId="0" applyNumberFormat="1" applyFont="1" applyFill="1" applyBorder="1" applyProtection="1">
      <protection hidden="1"/>
    </xf>
    <xf numFmtId="168" fontId="16" fillId="38" borderId="37" xfId="0" applyNumberFormat="1" applyFont="1" applyFill="1" applyBorder="1" applyProtection="1">
      <protection hidden="1"/>
    </xf>
    <xf numFmtId="168" fontId="16" fillId="33" borderId="22" xfId="0" applyNumberFormat="1" applyFont="1" applyFill="1" applyBorder="1" applyProtection="1">
      <protection hidden="1"/>
    </xf>
    <xf numFmtId="166" fontId="16" fillId="38" borderId="22" xfId="0" applyNumberFormat="1" applyFont="1" applyFill="1" applyBorder="1" applyProtection="1">
      <protection hidden="1"/>
    </xf>
    <xf numFmtId="168" fontId="16" fillId="38" borderId="14" xfId="0" applyNumberFormat="1" applyFont="1" applyFill="1" applyBorder="1" applyAlignment="1" applyProtection="1">
      <alignment horizontal="right" vertical="center"/>
      <protection hidden="1"/>
    </xf>
    <xf numFmtId="168" fontId="16" fillId="38" borderId="14" xfId="0" applyNumberFormat="1" applyFont="1" applyFill="1" applyBorder="1" applyProtection="1">
      <protection hidden="1"/>
    </xf>
    <xf numFmtId="0" fontId="0" fillId="35" borderId="0" xfId="0" applyFill="1" applyProtection="1">
      <protection hidden="1"/>
    </xf>
    <xf numFmtId="172" fontId="16" fillId="38" borderId="14" xfId="0" applyNumberFormat="1" applyFont="1" applyFill="1" applyBorder="1" applyProtection="1">
      <protection hidden="1"/>
    </xf>
    <xf numFmtId="44" fontId="0" fillId="35" borderId="0" xfId="42" applyFont="1" applyFill="1" applyProtection="1">
      <protection hidden="1"/>
    </xf>
    <xf numFmtId="171" fontId="26" fillId="35" borderId="30" xfId="0" applyNumberFormat="1" applyFont="1" applyFill="1" applyBorder="1" applyProtection="1">
      <protection hidden="1"/>
    </xf>
    <xf numFmtId="168" fontId="19" fillId="35" borderId="0" xfId="0" applyNumberFormat="1" applyFont="1" applyFill="1" applyProtection="1">
      <protection hidden="1"/>
    </xf>
    <xf numFmtId="0" fontId="19" fillId="35" borderId="0" xfId="0" applyFont="1" applyFill="1" applyProtection="1">
      <protection hidden="1"/>
    </xf>
    <xf numFmtId="0" fontId="16" fillId="35" borderId="0" xfId="0" applyFont="1" applyFill="1" applyAlignment="1" applyProtection="1">
      <alignment horizontal="center" vertical="center" wrapText="1"/>
      <protection hidden="1"/>
    </xf>
    <xf numFmtId="0" fontId="48" fillId="35" borderId="0" xfId="0" applyFont="1" applyFill="1" applyAlignment="1" applyProtection="1">
      <alignment horizontal="center" vertical="center" wrapText="1"/>
      <protection hidden="1"/>
    </xf>
    <xf numFmtId="168" fontId="0" fillId="0" borderId="0" xfId="0" applyNumberFormat="1" applyProtection="1">
      <protection hidden="1"/>
    </xf>
    <xf numFmtId="164" fontId="0" fillId="0" borderId="0" xfId="0" applyNumberFormat="1" applyProtection="1">
      <protection hidden="1"/>
    </xf>
    <xf numFmtId="165" fontId="0" fillId="35" borderId="0" xfId="42" applyNumberFormat="1" applyFont="1" applyFill="1" applyBorder="1" applyProtection="1">
      <protection hidden="1"/>
    </xf>
    <xf numFmtId="44" fontId="20" fillId="35" borderId="0" xfId="42" applyFont="1" applyFill="1" applyBorder="1" applyProtection="1">
      <protection hidden="1"/>
    </xf>
    <xf numFmtId="0" fontId="0" fillId="35" borderId="0" xfId="0" applyFill="1" applyAlignment="1" applyProtection="1">
      <alignment wrapText="1"/>
      <protection hidden="1"/>
    </xf>
    <xf numFmtId="167" fontId="0" fillId="35" borderId="0" xfId="42" applyNumberFormat="1" applyFont="1" applyFill="1" applyBorder="1" applyAlignment="1" applyProtection="1">
      <alignment horizontal="right"/>
      <protection hidden="1"/>
    </xf>
    <xf numFmtId="44" fontId="20" fillId="35" borderId="0" xfId="42" applyFont="1" applyFill="1" applyBorder="1" applyAlignment="1" applyProtection="1">
      <alignment horizontal="right"/>
      <protection hidden="1"/>
    </xf>
    <xf numFmtId="164" fontId="0" fillId="35" borderId="0" xfId="0" applyNumberFormat="1" applyFill="1" applyAlignment="1" applyProtection="1">
      <alignment horizontal="left"/>
      <protection hidden="1"/>
    </xf>
    <xf numFmtId="0" fontId="20" fillId="35" borderId="0" xfId="0" applyFont="1" applyFill="1" applyAlignment="1" applyProtection="1">
      <alignment horizontal="left"/>
      <protection hidden="1"/>
    </xf>
    <xf numFmtId="174" fontId="0" fillId="38" borderId="14" xfId="0" applyNumberFormat="1" applyFill="1" applyBorder="1" applyProtection="1">
      <protection locked="0"/>
    </xf>
    <xf numFmtId="174" fontId="13" fillId="35" borderId="0" xfId="0" applyNumberFormat="1" applyFont="1" applyFill="1" applyAlignment="1">
      <alignment horizontal="center" vertical="center"/>
    </xf>
    <xf numFmtId="174" fontId="17" fillId="35" borderId="0" xfId="0" applyNumberFormat="1" applyFont="1" applyFill="1" applyAlignment="1">
      <alignment horizontal="center" vertical="center"/>
    </xf>
    <xf numFmtId="174" fontId="0" fillId="0" borderId="0" xfId="0" applyNumberFormat="1"/>
    <xf numFmtId="174" fontId="25" fillId="33" borderId="14" xfId="0" applyNumberFormat="1" applyFont="1" applyFill="1" applyBorder="1" applyAlignment="1">
      <alignment horizontal="left" vertical="top" wrapText="1"/>
    </xf>
    <xf numFmtId="174" fontId="25" fillId="33" borderId="37" xfId="0" applyNumberFormat="1" applyFont="1" applyFill="1" applyBorder="1" applyAlignment="1">
      <alignment horizontal="center" vertical="center" wrapText="1"/>
    </xf>
    <xf numFmtId="0" fontId="39" fillId="35" borderId="0" xfId="0" applyFont="1" applyFill="1" applyAlignment="1">
      <alignment horizontal="center" vertical="center"/>
    </xf>
    <xf numFmtId="174" fontId="25" fillId="35" borderId="43" xfId="0" applyNumberFormat="1" applyFont="1" applyFill="1" applyBorder="1" applyAlignment="1">
      <alignment horizontal="center" vertical="center" wrapText="1"/>
    </xf>
    <xf numFmtId="174" fontId="25" fillId="35" borderId="27" xfId="0" applyNumberFormat="1" applyFont="1" applyFill="1" applyBorder="1" applyAlignment="1">
      <alignment horizontal="center" vertical="center" wrapText="1"/>
    </xf>
    <xf numFmtId="174" fontId="25" fillId="35" borderId="0" xfId="0" applyNumberFormat="1" applyFont="1" applyFill="1" applyAlignment="1">
      <alignment horizontal="left" vertical="top" wrapText="1"/>
    </xf>
    <xf numFmtId="174" fontId="0" fillId="35" borderId="0" xfId="0" applyNumberFormat="1" applyFill="1"/>
    <xf numFmtId="174" fontId="25" fillId="40" borderId="0" xfId="0" applyNumberFormat="1" applyFont="1" applyFill="1" applyAlignment="1">
      <alignment horizontal="center" vertical="center" wrapText="1"/>
    </xf>
    <xf numFmtId="174" fontId="16" fillId="33" borderId="20" xfId="0" applyNumberFormat="1" applyFont="1" applyFill="1" applyBorder="1"/>
    <xf numFmtId="174" fontId="16" fillId="33" borderId="14" xfId="0" applyNumberFormat="1" applyFont="1" applyFill="1" applyBorder="1"/>
    <xf numFmtId="174" fontId="26" fillId="33" borderId="42" xfId="0" applyNumberFormat="1" applyFont="1" applyFill="1" applyBorder="1"/>
    <xf numFmtId="174" fontId="39" fillId="40" borderId="0" xfId="0" applyNumberFormat="1" applyFont="1" applyFill="1"/>
    <xf numFmtId="174" fontId="26" fillId="40" borderId="0" xfId="0" applyNumberFormat="1" applyFont="1" applyFill="1"/>
    <xf numFmtId="174" fontId="26" fillId="35" borderId="0" xfId="0" applyNumberFormat="1" applyFont="1" applyFill="1" applyAlignment="1">
      <alignment horizontal="center" vertical="center"/>
    </xf>
    <xf numFmtId="174" fontId="17" fillId="35" borderId="0" xfId="0" applyNumberFormat="1" applyFont="1" applyFill="1"/>
    <xf numFmtId="174" fontId="0" fillId="0" borderId="20" xfId="0" applyNumberFormat="1" applyBorder="1"/>
    <xf numFmtId="174" fontId="16" fillId="0" borderId="14" xfId="0" applyNumberFormat="1" applyFont="1" applyBorder="1"/>
    <xf numFmtId="174" fontId="19" fillId="35" borderId="0" xfId="0" applyNumberFormat="1" applyFont="1" applyFill="1"/>
    <xf numFmtId="174" fontId="17" fillId="35" borderId="0" xfId="0" applyNumberFormat="1" applyFont="1" applyFill="1" applyAlignment="1">
      <alignment horizontal="center"/>
    </xf>
    <xf numFmtId="174" fontId="13" fillId="35" borderId="0" xfId="0" applyNumberFormat="1" applyFont="1" applyFill="1"/>
    <xf numFmtId="174" fontId="16" fillId="35" borderId="14" xfId="0" applyNumberFormat="1" applyFont="1" applyFill="1" applyBorder="1"/>
    <xf numFmtId="174" fontId="17" fillId="35" borderId="0" xfId="0" applyNumberFormat="1" applyFont="1" applyFill="1" applyAlignment="1">
      <alignment horizontal="left" indent="2"/>
    </xf>
    <xf numFmtId="174" fontId="16" fillId="34" borderId="14" xfId="0" applyNumberFormat="1" applyFont="1" applyFill="1" applyBorder="1"/>
    <xf numFmtId="174" fontId="38" fillId="40" borderId="0" xfId="0" applyNumberFormat="1" applyFont="1" applyFill="1"/>
    <xf numFmtId="174" fontId="19" fillId="0" borderId="0" xfId="0" applyNumberFormat="1" applyFont="1"/>
    <xf numFmtId="174" fontId="0" fillId="0" borderId="0" xfId="0" applyNumberFormat="1" applyAlignment="1">
      <alignment horizontal="center" vertical="center"/>
    </xf>
    <xf numFmtId="174" fontId="0" fillId="33" borderId="21" xfId="0" applyNumberFormat="1" applyFill="1" applyBorder="1"/>
    <xf numFmtId="174" fontId="0" fillId="33" borderId="37" xfId="0" applyNumberFormat="1" applyFill="1" applyBorder="1"/>
    <xf numFmtId="174" fontId="16" fillId="33" borderId="37" xfId="0" applyNumberFormat="1" applyFont="1" applyFill="1" applyBorder="1"/>
    <xf numFmtId="174" fontId="0" fillId="40" borderId="0" xfId="0" applyNumberFormat="1" applyFill="1"/>
    <xf numFmtId="174" fontId="29" fillId="33" borderId="40" xfId="0" applyNumberFormat="1" applyFont="1" applyFill="1" applyBorder="1" applyAlignment="1">
      <alignment horizontal="center" vertical="center" wrapText="1"/>
    </xf>
    <xf numFmtId="174" fontId="29" fillId="33" borderId="41" xfId="0" applyNumberFormat="1" applyFont="1" applyFill="1" applyBorder="1" applyAlignment="1">
      <alignment horizontal="center" vertical="center" wrapText="1"/>
    </xf>
    <xf numFmtId="174" fontId="29" fillId="35" borderId="0" xfId="0" applyNumberFormat="1" applyFont="1" applyFill="1" applyAlignment="1">
      <alignment horizontal="center" vertical="center" wrapText="1"/>
    </xf>
    <xf numFmtId="174" fontId="29" fillId="33" borderId="20" xfId="0" applyNumberFormat="1" applyFont="1" applyFill="1" applyBorder="1" applyAlignment="1">
      <alignment horizontal="center" vertical="center" wrapText="1"/>
    </xf>
    <xf numFmtId="174" fontId="40" fillId="33" borderId="14" xfId="0" applyNumberFormat="1" applyFont="1" applyFill="1" applyBorder="1" applyAlignment="1">
      <alignment horizontal="center" vertical="center" wrapText="1"/>
    </xf>
    <xf numFmtId="174" fontId="41" fillId="33" borderId="14" xfId="0" applyNumberFormat="1" applyFont="1" applyFill="1" applyBorder="1" applyAlignment="1">
      <alignment horizontal="center" vertical="center" wrapText="1"/>
    </xf>
    <xf numFmtId="174" fontId="42" fillId="33" borderId="42" xfId="0" applyNumberFormat="1" applyFont="1" applyFill="1" applyBorder="1" applyAlignment="1">
      <alignment horizontal="center" vertical="center" wrapText="1"/>
    </xf>
    <xf numFmtId="174" fontId="30" fillId="35" borderId="0" xfId="0" applyNumberFormat="1" applyFont="1" applyFill="1" applyAlignment="1">
      <alignment horizontal="center" vertical="center" wrapText="1"/>
    </xf>
    <xf numFmtId="174" fontId="29" fillId="33" borderId="21" xfId="0" applyNumberFormat="1" applyFont="1" applyFill="1" applyBorder="1" applyAlignment="1">
      <alignment horizontal="center" vertical="center" wrapText="1"/>
    </xf>
    <xf numFmtId="174" fontId="40" fillId="33" borderId="37" xfId="0" applyNumberFormat="1" applyFont="1" applyFill="1" applyBorder="1" applyAlignment="1">
      <alignment horizontal="center" vertical="center" wrapText="1"/>
    </xf>
    <xf numFmtId="174" fontId="41" fillId="33" borderId="37" xfId="0" applyNumberFormat="1" applyFont="1" applyFill="1" applyBorder="1" applyAlignment="1">
      <alignment horizontal="center" vertical="center" wrapText="1"/>
    </xf>
    <xf numFmtId="174" fontId="42" fillId="33" borderId="38" xfId="0" applyNumberFormat="1" applyFont="1" applyFill="1" applyBorder="1" applyAlignment="1">
      <alignment horizontal="center" vertical="center" wrapText="1"/>
    </xf>
    <xf numFmtId="174" fontId="29" fillId="33" borderId="44" xfId="0" applyNumberFormat="1" applyFont="1" applyFill="1" applyBorder="1" applyAlignment="1">
      <alignment horizontal="center" vertical="center" wrapText="1"/>
    </xf>
    <xf numFmtId="174" fontId="40" fillId="33" borderId="28" xfId="0" applyNumberFormat="1" applyFont="1" applyFill="1" applyBorder="1" applyAlignment="1">
      <alignment horizontal="center" vertical="center" wrapText="1"/>
    </xf>
    <xf numFmtId="174" fontId="41" fillId="33" borderId="28" xfId="0" applyNumberFormat="1" applyFont="1" applyFill="1" applyBorder="1" applyAlignment="1">
      <alignment horizontal="center" vertical="center" wrapText="1"/>
    </xf>
    <xf numFmtId="174" fontId="42" fillId="33" borderId="36" xfId="0" applyNumberFormat="1" applyFont="1" applyFill="1" applyBorder="1" applyAlignment="1">
      <alignment horizontal="center" vertical="center" wrapText="1"/>
    </xf>
    <xf numFmtId="174" fontId="29" fillId="35" borderId="39" xfId="0" applyNumberFormat="1" applyFont="1" applyFill="1" applyBorder="1" applyAlignment="1">
      <alignment horizontal="center" vertical="center" wrapText="1"/>
    </xf>
    <xf numFmtId="174" fontId="29" fillId="35" borderId="0" xfId="0" applyNumberFormat="1" applyFont="1" applyFill="1" applyAlignment="1">
      <alignment horizontal="center" vertical="center"/>
    </xf>
    <xf numFmtId="174" fontId="35" fillId="33" borderId="20" xfId="0" applyNumberFormat="1" applyFont="1" applyFill="1" applyBorder="1" applyAlignment="1">
      <alignment horizontal="center" vertical="center" wrapText="1"/>
    </xf>
    <xf numFmtId="174" fontId="35" fillId="35" borderId="0" xfId="0" applyNumberFormat="1" applyFont="1" applyFill="1" applyAlignment="1">
      <alignment horizontal="center" vertical="center" wrapText="1"/>
    </xf>
    <xf numFmtId="174" fontId="45" fillId="35" borderId="0" xfId="0" applyNumberFormat="1" applyFont="1" applyFill="1" applyAlignment="1">
      <alignment horizontal="center" vertical="center"/>
    </xf>
    <xf numFmtId="174" fontId="32" fillId="35" borderId="0" xfId="0" applyNumberFormat="1" applyFont="1" applyFill="1" applyAlignment="1">
      <alignment horizontal="center" vertical="center"/>
    </xf>
    <xf numFmtId="174" fontId="41" fillId="33" borderId="21" xfId="0" applyNumberFormat="1" applyFont="1" applyFill="1" applyBorder="1" applyAlignment="1">
      <alignment horizontal="center" vertical="center" wrapText="1"/>
    </xf>
    <xf numFmtId="174" fontId="31" fillId="35" borderId="0" xfId="0" applyNumberFormat="1" applyFont="1" applyFill="1" applyAlignment="1">
      <alignment horizontal="center" vertical="center" wrapText="1"/>
    </xf>
    <xf numFmtId="174" fontId="41" fillId="35" borderId="0" xfId="0" applyNumberFormat="1" applyFont="1" applyFill="1" applyAlignment="1">
      <alignment horizontal="center" vertical="center"/>
    </xf>
    <xf numFmtId="174" fontId="30" fillId="35" borderId="0" xfId="0" applyNumberFormat="1" applyFont="1" applyFill="1" applyAlignment="1">
      <alignment horizontal="left" vertical="center" wrapText="1"/>
    </xf>
    <xf numFmtId="174" fontId="30" fillId="35" borderId="0" xfId="0" applyNumberFormat="1" applyFont="1" applyFill="1" applyAlignment="1">
      <alignment horizontal="center" vertical="center"/>
    </xf>
    <xf numFmtId="174" fontId="34" fillId="35" borderId="0" xfId="0" applyNumberFormat="1" applyFont="1" applyFill="1"/>
    <xf numFmtId="174" fontId="33" fillId="0" borderId="0" xfId="0" applyNumberFormat="1" applyFont="1"/>
    <xf numFmtId="174" fontId="32" fillId="0" borderId="0" xfId="0" applyNumberFormat="1" applyFont="1"/>
    <xf numFmtId="174" fontId="32" fillId="35" borderId="0" xfId="0" applyNumberFormat="1" applyFont="1" applyFill="1"/>
    <xf numFmtId="174" fontId="19" fillId="35" borderId="0" xfId="0" applyNumberFormat="1" applyFont="1" applyFill="1" applyAlignment="1">
      <alignment vertical="center"/>
    </xf>
    <xf numFmtId="174" fontId="25" fillId="33" borderId="14" xfId="0" applyNumberFormat="1" applyFont="1" applyFill="1" applyBorder="1" applyAlignment="1">
      <alignment horizontal="center" vertical="center" wrapText="1"/>
    </xf>
    <xf numFmtId="174" fontId="29" fillId="33" borderId="14" xfId="0" applyNumberFormat="1" applyFont="1" applyFill="1" applyBorder="1" applyAlignment="1">
      <alignment horizontal="center" vertical="center" wrapText="1"/>
    </xf>
    <xf numFmtId="174" fontId="19" fillId="35" borderId="0" xfId="0" applyNumberFormat="1" applyFont="1" applyFill="1" applyAlignment="1">
      <alignment horizontal="center" vertical="center"/>
    </xf>
    <xf numFmtId="174" fontId="35" fillId="33" borderId="14" xfId="0" applyNumberFormat="1" applyFont="1" applyFill="1" applyBorder="1" applyAlignment="1">
      <alignment horizontal="center"/>
    </xf>
    <xf numFmtId="176" fontId="35" fillId="35" borderId="14" xfId="0" applyNumberFormat="1" applyFont="1" applyFill="1" applyBorder="1" applyAlignment="1">
      <alignment horizontal="center" vertical="center"/>
    </xf>
    <xf numFmtId="168" fontId="35" fillId="33" borderId="14" xfId="0" applyNumberFormat="1" applyFont="1" applyFill="1" applyBorder="1" applyAlignment="1">
      <alignment horizontal="center" vertical="center"/>
    </xf>
    <xf numFmtId="174" fontId="29" fillId="35" borderId="0" xfId="0" applyNumberFormat="1" applyFont="1" applyFill="1" applyAlignment="1">
      <alignment horizontal="left" vertical="center"/>
    </xf>
    <xf numFmtId="174" fontId="29" fillId="35" borderId="0" xfId="0" applyNumberFormat="1" applyFont="1" applyFill="1" applyAlignment="1">
      <alignment horizontal="center" vertical="top"/>
    </xf>
    <xf numFmtId="174" fontId="26" fillId="35" borderId="0" xfId="0" applyNumberFormat="1" applyFont="1" applyFill="1" applyAlignment="1">
      <alignment horizontal="left" vertical="top"/>
    </xf>
    <xf numFmtId="174" fontId="43" fillId="33" borderId="14" xfId="0" applyNumberFormat="1" applyFont="1" applyFill="1" applyBorder="1" applyAlignment="1">
      <alignment horizontal="center"/>
    </xf>
    <xf numFmtId="176" fontId="43" fillId="0" borderId="14" xfId="0" applyNumberFormat="1" applyFont="1" applyBorder="1" applyAlignment="1">
      <alignment horizontal="center" vertical="center"/>
    </xf>
    <xf numFmtId="176" fontId="43" fillId="35" borderId="14" xfId="0" applyNumberFormat="1" applyFont="1" applyFill="1" applyBorder="1" applyAlignment="1">
      <alignment horizontal="center" vertical="center"/>
    </xf>
    <xf numFmtId="168" fontId="43" fillId="33" borderId="14" xfId="0" applyNumberFormat="1" applyFont="1" applyFill="1" applyBorder="1" applyAlignment="1">
      <alignment horizontal="center" vertical="center"/>
    </xf>
    <xf numFmtId="168" fontId="41" fillId="33" borderId="14" xfId="0" applyNumberFormat="1" applyFont="1" applyFill="1" applyBorder="1" applyAlignment="1">
      <alignment horizontal="center" vertical="center"/>
    </xf>
    <xf numFmtId="174" fontId="29" fillId="35" borderId="0" xfId="0" applyNumberFormat="1" applyFont="1" applyFill="1" applyAlignment="1">
      <alignment horizontal="left"/>
    </xf>
    <xf numFmtId="174" fontId="43" fillId="33" borderId="14" xfId="0" applyNumberFormat="1" applyFont="1" applyFill="1" applyBorder="1" applyAlignment="1">
      <alignment horizontal="center" wrapText="1"/>
    </xf>
    <xf numFmtId="174" fontId="35" fillId="33" borderId="14" xfId="0" applyNumberFormat="1" applyFont="1" applyFill="1" applyBorder="1" applyAlignment="1">
      <alignment horizontal="center" wrapText="1"/>
    </xf>
    <xf numFmtId="176" fontId="35" fillId="0" borderId="14" xfId="0" applyNumberFormat="1" applyFont="1" applyBorder="1" applyAlignment="1">
      <alignment horizontal="center" vertical="center"/>
    </xf>
    <xf numFmtId="168" fontId="29" fillId="35" borderId="0" xfId="0" applyNumberFormat="1" applyFont="1" applyFill="1" applyAlignment="1">
      <alignment horizontal="left" vertical="center"/>
    </xf>
    <xf numFmtId="174" fontId="44" fillId="35" borderId="0" xfId="0" applyNumberFormat="1" applyFont="1" applyFill="1"/>
    <xf numFmtId="174" fontId="44" fillId="35" borderId="0" xfId="0" applyNumberFormat="1" applyFont="1" applyFill="1" applyAlignment="1">
      <alignment horizontal="center" vertical="center"/>
    </xf>
    <xf numFmtId="174" fontId="29" fillId="35" borderId="0" xfId="0" applyNumberFormat="1" applyFont="1" applyFill="1"/>
    <xf numFmtId="174" fontId="16" fillId="41" borderId="14" xfId="0" applyNumberFormat="1" applyFont="1" applyFill="1" applyBorder="1" applyAlignment="1">
      <alignment vertical="top" wrapText="1"/>
    </xf>
    <xf numFmtId="174" fontId="16" fillId="38" borderId="14" xfId="0" applyNumberFormat="1" applyFont="1" applyFill="1" applyBorder="1" applyAlignment="1">
      <alignment vertical="top" wrapText="1"/>
    </xf>
    <xf numFmtId="174" fontId="20" fillId="35" borderId="0" xfId="0" applyNumberFormat="1" applyFont="1" applyFill="1"/>
    <xf numFmtId="174" fontId="20" fillId="35" borderId="14" xfId="0" applyNumberFormat="1" applyFont="1" applyFill="1" applyBorder="1"/>
    <xf numFmtId="174" fontId="26" fillId="35" borderId="0" xfId="0" applyNumberFormat="1" applyFont="1" applyFill="1"/>
    <xf numFmtId="174" fontId="25" fillId="35" borderId="0" xfId="0" applyNumberFormat="1" applyFont="1" applyFill="1" applyAlignment="1">
      <alignment horizontal="center" wrapText="1"/>
    </xf>
    <xf numFmtId="174" fontId="29" fillId="35" borderId="0" xfId="0" applyNumberFormat="1" applyFont="1" applyFill="1" applyAlignment="1">
      <alignment horizontal="center" wrapText="1"/>
    </xf>
    <xf numFmtId="174" fontId="0" fillId="35" borderId="0" xfId="0" applyNumberFormat="1" applyFill="1" applyAlignment="1">
      <alignment horizontal="center" vertical="center"/>
    </xf>
    <xf numFmtId="174" fontId="16" fillId="35" borderId="0" xfId="0" applyNumberFormat="1" applyFont="1" applyFill="1"/>
    <xf numFmtId="174" fontId="27" fillId="35" borderId="0" xfId="0" applyNumberFormat="1" applyFont="1" applyFill="1"/>
    <xf numFmtId="174" fontId="28" fillId="35" borderId="0" xfId="0" applyNumberFormat="1" applyFont="1" applyFill="1"/>
    <xf numFmtId="174" fontId="0" fillId="35" borderId="0" xfId="0" applyNumberFormat="1" applyFill="1" applyAlignment="1">
      <alignment horizontal="center"/>
    </xf>
    <xf numFmtId="174" fontId="18" fillId="35" borderId="0" xfId="0" applyNumberFormat="1" applyFont="1" applyFill="1"/>
    <xf numFmtId="174" fontId="21" fillId="35" borderId="0" xfId="0" applyNumberFormat="1" applyFont="1" applyFill="1"/>
    <xf numFmtId="174" fontId="24" fillId="35" borderId="0" xfId="0" applyNumberFormat="1" applyFont="1" applyFill="1"/>
    <xf numFmtId="174" fontId="22" fillId="35" borderId="0" xfId="0" applyNumberFormat="1" applyFont="1" applyFill="1"/>
    <xf numFmtId="174" fontId="23" fillId="35" borderId="0" xfId="0" applyNumberFormat="1" applyFont="1" applyFill="1" applyAlignment="1">
      <alignment horizontal="left" indent="2"/>
    </xf>
    <xf numFmtId="174" fontId="20" fillId="35" borderId="0" xfId="0" applyNumberFormat="1" applyFont="1" applyFill="1" applyAlignment="1">
      <alignment horizontal="left" vertical="top" wrapText="1"/>
    </xf>
    <xf numFmtId="174" fontId="20" fillId="35" borderId="0" xfId="0" applyNumberFormat="1" applyFont="1" applyFill="1" applyAlignment="1">
      <alignment horizontal="right"/>
    </xf>
    <xf numFmtId="174" fontId="17" fillId="35" borderId="0" xfId="0" applyNumberFormat="1" applyFont="1" applyFill="1" applyAlignment="1">
      <alignment horizontal="left" vertical="top" wrapText="1"/>
    </xf>
    <xf numFmtId="174" fontId="17" fillId="35" borderId="0" xfId="0" applyNumberFormat="1" applyFont="1" applyFill="1" applyAlignment="1">
      <alignment vertical="top" wrapText="1"/>
    </xf>
    <xf numFmtId="174" fontId="17" fillId="35" borderId="0" xfId="0" applyNumberFormat="1" applyFont="1" applyFill="1" applyAlignment="1">
      <alignment horizontal="right"/>
    </xf>
    <xf numFmtId="174" fontId="13" fillId="0" borderId="0" xfId="0" applyNumberFormat="1" applyFont="1" applyAlignment="1">
      <alignment vertical="top" wrapText="1"/>
    </xf>
    <xf numFmtId="174" fontId="13" fillId="0" borderId="0" xfId="0" applyNumberFormat="1" applyFont="1"/>
    <xf numFmtId="174" fontId="0" fillId="38" borderId="14" xfId="0" applyNumberFormat="1" applyFill="1" applyBorder="1"/>
    <xf numFmtId="174" fontId="25" fillId="33" borderId="16" xfId="0" applyNumberFormat="1" applyFont="1" applyFill="1" applyBorder="1" applyAlignment="1">
      <alignment horizontal="center" vertical="center" wrapText="1"/>
    </xf>
    <xf numFmtId="168" fontId="35" fillId="33" borderId="16" xfId="0" applyNumberFormat="1" applyFont="1" applyFill="1" applyBorder="1" applyAlignment="1">
      <alignment horizontal="center" vertical="center"/>
    </xf>
    <xf numFmtId="168" fontId="43" fillId="33" borderId="16" xfId="0" applyNumberFormat="1" applyFont="1" applyFill="1" applyBorder="1" applyAlignment="1">
      <alignment horizontal="center" vertical="center"/>
    </xf>
    <xf numFmtId="174" fontId="26" fillId="33" borderId="14" xfId="0" applyNumberFormat="1" applyFont="1" applyFill="1" applyBorder="1" applyAlignment="1">
      <alignment vertical="top" wrapText="1"/>
    </xf>
    <xf numFmtId="174" fontId="16" fillId="33" borderId="14" xfId="0" applyNumberFormat="1" applyFont="1" applyFill="1" applyBorder="1" applyAlignment="1">
      <alignment horizontal="left" vertical="top"/>
    </xf>
    <xf numFmtId="174" fontId="26" fillId="38" borderId="14" xfId="0" applyNumberFormat="1" applyFont="1" applyFill="1" applyBorder="1" applyAlignment="1">
      <alignment horizontal="center" vertical="center"/>
    </xf>
    <xf numFmtId="166" fontId="16" fillId="38" borderId="14" xfId="0" applyNumberFormat="1" applyFont="1" applyFill="1" applyBorder="1" applyProtection="1">
      <protection hidden="1"/>
    </xf>
    <xf numFmtId="174" fontId="62" fillId="33" borderId="42" xfId="0" applyNumberFormat="1" applyFont="1" applyFill="1" applyBorder="1" applyAlignment="1">
      <alignment horizontal="left" vertical="top" wrapText="1"/>
    </xf>
    <xf numFmtId="0" fontId="62" fillId="33" borderId="38" xfId="0" applyFont="1" applyFill="1" applyBorder="1" applyAlignment="1">
      <alignment horizontal="center" vertical="center" wrapText="1"/>
    </xf>
    <xf numFmtId="174" fontId="26" fillId="33" borderId="14" xfId="0" applyNumberFormat="1" applyFont="1" applyFill="1" applyBorder="1" applyAlignment="1" applyProtection="1">
      <alignment horizontal="center" vertical="center"/>
      <protection locked="0"/>
    </xf>
    <xf numFmtId="181" fontId="35" fillId="35" borderId="14" xfId="0" applyNumberFormat="1" applyFont="1" applyFill="1" applyBorder="1" applyAlignment="1">
      <alignment horizontal="center" vertical="center"/>
    </xf>
    <xf numFmtId="181" fontId="43" fillId="0" borderId="14" xfId="0" applyNumberFormat="1" applyFont="1" applyBorder="1" applyAlignment="1">
      <alignment horizontal="center" vertical="center"/>
    </xf>
    <xf numFmtId="181" fontId="35" fillId="0" borderId="14" xfId="0" applyNumberFormat="1" applyFont="1" applyBorder="1" applyAlignment="1">
      <alignment horizontal="center" vertical="center"/>
    </xf>
    <xf numFmtId="168" fontId="35" fillId="35" borderId="14" xfId="0" applyNumberFormat="1" applyFont="1" applyFill="1" applyBorder="1" applyAlignment="1">
      <alignment horizontal="center" vertical="center" wrapText="1"/>
    </xf>
    <xf numFmtId="168" fontId="35" fillId="33" borderId="42" xfId="0" applyNumberFormat="1" applyFont="1" applyFill="1" applyBorder="1" applyAlignment="1">
      <alignment horizontal="center" vertical="center" wrapText="1"/>
    </xf>
    <xf numFmtId="168" fontId="41" fillId="35" borderId="37" xfId="0" applyNumberFormat="1" applyFont="1" applyFill="1" applyBorder="1" applyAlignment="1">
      <alignment horizontal="center" vertical="center" wrapText="1"/>
    </xf>
    <xf numFmtId="168" fontId="31" fillId="33" borderId="38" xfId="0" applyNumberFormat="1" applyFont="1" applyFill="1" applyBorder="1" applyAlignment="1">
      <alignment horizontal="center" vertical="center" wrapText="1"/>
    </xf>
    <xf numFmtId="168" fontId="45" fillId="33" borderId="14" xfId="0" applyNumberFormat="1" applyFont="1" applyFill="1" applyBorder="1" applyAlignment="1">
      <alignment horizontal="center" vertical="center"/>
    </xf>
    <xf numFmtId="174" fontId="19" fillId="38" borderId="14" xfId="0" applyNumberFormat="1" applyFont="1" applyFill="1" applyBorder="1"/>
    <xf numFmtId="44" fontId="58" fillId="50" borderId="54" xfId="44" applyNumberFormat="1" applyFont="1" applyFill="1" applyBorder="1" applyAlignment="1" applyProtection="1">
      <alignment horizontal="right" vertical="center" wrapText="1"/>
      <protection hidden="1"/>
    </xf>
    <xf numFmtId="174" fontId="39" fillId="35" borderId="0" xfId="0" applyNumberFormat="1" applyFont="1" applyFill="1" applyAlignment="1">
      <alignment horizontal="center" vertical="center"/>
    </xf>
    <xf numFmtId="174" fontId="19" fillId="38" borderId="14" xfId="0" applyNumberFormat="1" applyFont="1" applyFill="1" applyBorder="1" applyProtection="1">
      <protection locked="0"/>
    </xf>
    <xf numFmtId="2" fontId="55" fillId="46" borderId="53" xfId="44" applyNumberFormat="1" applyFont="1" applyFill="1" applyBorder="1" applyAlignment="1" applyProtection="1">
      <alignment horizontal="right" vertical="center" wrapText="1"/>
      <protection hidden="1"/>
    </xf>
    <xf numFmtId="177" fontId="55" fillId="46" borderId="53" xfId="44" applyNumberFormat="1" applyFont="1" applyFill="1" applyBorder="1" applyAlignment="1" applyProtection="1">
      <alignment horizontal="right" vertical="center" wrapText="1"/>
      <protection hidden="1"/>
    </xf>
    <xf numFmtId="3" fontId="55" fillId="46" borderId="53" xfId="44" applyNumberFormat="1" applyFont="1" applyFill="1" applyBorder="1" applyAlignment="1" applyProtection="1">
      <alignment horizontal="right" vertical="center" wrapText="1"/>
      <protection hidden="1"/>
    </xf>
    <xf numFmtId="0" fontId="16" fillId="38" borderId="14" xfId="0" applyFont="1" applyFill="1" applyBorder="1" applyAlignment="1" applyProtection="1">
      <alignment vertical="center" wrapText="1"/>
      <protection hidden="1"/>
    </xf>
    <xf numFmtId="0" fontId="16" fillId="38" borderId="29" xfId="0" applyFont="1" applyFill="1" applyBorder="1" applyAlignment="1" applyProtection="1">
      <alignment vertical="center" wrapText="1"/>
      <protection hidden="1"/>
    </xf>
    <xf numFmtId="173" fontId="14" fillId="33" borderId="14" xfId="0" applyNumberFormat="1" applyFont="1" applyFill="1" applyBorder="1" applyProtection="1">
      <protection hidden="1"/>
    </xf>
    <xf numFmtId="174" fontId="29" fillId="33" borderId="17" xfId="0" applyNumberFormat="1" applyFont="1" applyFill="1" applyBorder="1" applyAlignment="1">
      <alignment horizontal="center" vertical="center" wrapText="1"/>
    </xf>
    <xf numFmtId="174" fontId="29" fillId="33" borderId="18" xfId="0" applyNumberFormat="1" applyFont="1" applyFill="1" applyBorder="1" applyAlignment="1">
      <alignment horizontal="center" vertical="center" wrapText="1"/>
    </xf>
    <xf numFmtId="174" fontId="29" fillId="33" borderId="19" xfId="0" applyNumberFormat="1" applyFont="1" applyFill="1" applyBorder="1" applyAlignment="1">
      <alignment horizontal="center" vertical="center" wrapText="1"/>
    </xf>
    <xf numFmtId="174" fontId="25" fillId="33" borderId="10" xfId="0" applyNumberFormat="1" applyFont="1" applyFill="1" applyBorder="1" applyAlignment="1">
      <alignment horizontal="left" vertical="top" wrapText="1"/>
    </xf>
    <xf numFmtId="174" fontId="25" fillId="33" borderId="15" xfId="0" applyNumberFormat="1" applyFont="1" applyFill="1" applyBorder="1" applyAlignment="1">
      <alignment horizontal="left" vertical="top" wrapText="1"/>
    </xf>
    <xf numFmtId="174" fontId="25" fillId="33" borderId="11" xfId="0" applyNumberFormat="1" applyFont="1" applyFill="1" applyBorder="1" applyAlignment="1">
      <alignment horizontal="left" vertical="top" wrapText="1"/>
    </xf>
    <xf numFmtId="174" fontId="16" fillId="33" borderId="20" xfId="0" applyNumberFormat="1" applyFont="1" applyFill="1" applyBorder="1" applyAlignment="1">
      <alignment horizontal="center" vertical="center" wrapText="1"/>
    </xf>
    <xf numFmtId="174" fontId="16" fillId="33" borderId="21" xfId="0" applyNumberFormat="1" applyFont="1" applyFill="1" applyBorder="1" applyAlignment="1">
      <alignment horizontal="center" vertical="center" wrapText="1"/>
    </xf>
    <xf numFmtId="174" fontId="29" fillId="33" borderId="39" xfId="0" applyNumberFormat="1" applyFont="1" applyFill="1" applyBorder="1" applyAlignment="1">
      <alignment horizontal="center" vertical="center" wrapText="1"/>
    </xf>
    <xf numFmtId="174" fontId="29" fillId="33" borderId="40" xfId="0" applyNumberFormat="1" applyFont="1" applyFill="1" applyBorder="1" applyAlignment="1">
      <alignment horizontal="center" vertical="center" wrapText="1"/>
    </xf>
    <xf numFmtId="174" fontId="29" fillId="33" borderId="41" xfId="0" applyNumberFormat="1" applyFont="1" applyFill="1" applyBorder="1" applyAlignment="1">
      <alignment horizontal="center" vertical="center" wrapText="1"/>
    </xf>
    <xf numFmtId="174" fontId="29" fillId="33" borderId="10" xfId="0" applyNumberFormat="1" applyFont="1" applyFill="1" applyBorder="1" applyAlignment="1">
      <alignment horizontal="center" vertical="center" wrapText="1"/>
    </xf>
    <xf numFmtId="174" fontId="29" fillId="33" borderId="15" xfId="0" applyNumberFormat="1" applyFont="1" applyFill="1" applyBorder="1" applyAlignment="1">
      <alignment horizontal="center" vertical="center" wrapText="1"/>
    </xf>
    <xf numFmtId="174" fontId="29" fillId="33" borderId="11" xfId="0" applyNumberFormat="1" applyFont="1" applyFill="1" applyBorder="1" applyAlignment="1">
      <alignment horizontal="center" vertical="center" wrapText="1"/>
    </xf>
    <xf numFmtId="175" fontId="29" fillId="33" borderId="21" xfId="0" applyNumberFormat="1" applyFont="1" applyFill="1" applyBorder="1" applyAlignment="1">
      <alignment horizontal="center" vertical="center" wrapText="1"/>
    </xf>
    <xf numFmtId="175" fontId="29" fillId="33" borderId="37" xfId="0" applyNumberFormat="1" applyFont="1" applyFill="1" applyBorder="1" applyAlignment="1">
      <alignment horizontal="center" vertical="center" wrapText="1"/>
    </xf>
    <xf numFmtId="175" fontId="29" fillId="33" borderId="38" xfId="0" applyNumberFormat="1" applyFont="1" applyFill="1" applyBorder="1" applyAlignment="1">
      <alignment horizontal="center" vertical="center" wrapText="1"/>
    </xf>
    <xf numFmtId="174" fontId="25" fillId="33" borderId="39" xfId="0" applyNumberFormat="1" applyFont="1" applyFill="1" applyBorder="1" applyAlignment="1">
      <alignment vertical="center" wrapText="1"/>
    </xf>
    <xf numFmtId="174" fontId="25" fillId="33" borderId="40" xfId="0" applyNumberFormat="1" applyFont="1" applyFill="1" applyBorder="1" applyAlignment="1">
      <alignment vertical="center" wrapText="1"/>
    </xf>
    <xf numFmtId="174" fontId="25" fillId="33" borderId="41" xfId="0" applyNumberFormat="1" applyFont="1" applyFill="1" applyBorder="1" applyAlignment="1">
      <alignment vertical="center" wrapText="1"/>
    </xf>
    <xf numFmtId="174" fontId="29" fillId="35" borderId="0" xfId="0" applyNumberFormat="1" applyFont="1" applyFill="1" applyAlignment="1">
      <alignment horizontal="center" vertical="center"/>
    </xf>
    <xf numFmtId="0" fontId="0" fillId="0" borderId="0" xfId="0"/>
    <xf numFmtId="174" fontId="25" fillId="35" borderId="0" xfId="0" applyNumberFormat="1" applyFont="1" applyFill="1" applyAlignment="1">
      <alignment horizontal="center" wrapText="1"/>
    </xf>
    <xf numFmtId="174" fontId="29" fillId="35" borderId="0" xfId="0" applyNumberFormat="1" applyFont="1" applyFill="1" applyAlignment="1">
      <alignment horizontal="center" vertical="center" wrapText="1"/>
    </xf>
    <xf numFmtId="174" fontId="25" fillId="33" borderId="16" xfId="0" applyNumberFormat="1" applyFont="1" applyFill="1" applyBorder="1" applyAlignment="1">
      <alignment horizontal="center" vertical="center"/>
    </xf>
    <xf numFmtId="174" fontId="25" fillId="33" borderId="50" xfId="0" applyNumberFormat="1" applyFont="1" applyFill="1" applyBorder="1" applyAlignment="1">
      <alignment horizontal="center" vertical="center"/>
    </xf>
    <xf numFmtId="174" fontId="25" fillId="33" borderId="51" xfId="0" applyNumberFormat="1" applyFont="1" applyFill="1" applyBorder="1" applyAlignment="1">
      <alignment horizontal="center" vertical="center"/>
    </xf>
    <xf numFmtId="0" fontId="16" fillId="33" borderId="17" xfId="0" applyFont="1" applyFill="1" applyBorder="1" applyAlignment="1">
      <alignment horizontal="center"/>
    </xf>
    <xf numFmtId="0" fontId="16" fillId="33" borderId="18" xfId="0" applyFont="1" applyFill="1" applyBorder="1" applyAlignment="1">
      <alignment horizontal="center"/>
    </xf>
    <xf numFmtId="0" fontId="16" fillId="33" borderId="19" xfId="0" applyFont="1" applyFill="1" applyBorder="1" applyAlignment="1">
      <alignment horizontal="center"/>
    </xf>
    <xf numFmtId="0" fontId="14" fillId="39" borderId="17" xfId="0" applyFont="1" applyFill="1" applyBorder="1" applyAlignment="1">
      <alignment horizontal="center"/>
    </xf>
    <xf numFmtId="0" fontId="14" fillId="39" borderId="18" xfId="0" applyFont="1" applyFill="1" applyBorder="1" applyAlignment="1">
      <alignment horizontal="center"/>
    </xf>
    <xf numFmtId="0" fontId="14" fillId="39" borderId="19" xfId="0" applyFont="1" applyFill="1" applyBorder="1" applyAlignment="1">
      <alignment horizontal="center"/>
    </xf>
    <xf numFmtId="0" fontId="25" fillId="38" borderId="14" xfId="0" applyFont="1" applyFill="1" applyBorder="1" applyAlignment="1" applyProtection="1">
      <alignment horizontal="center" vertical="center" wrapText="1"/>
      <protection hidden="1"/>
    </xf>
    <xf numFmtId="168" fontId="19" fillId="38" borderId="28" xfId="0" applyNumberFormat="1" applyFont="1" applyFill="1" applyBorder="1" applyAlignment="1" applyProtection="1">
      <alignment horizontal="center" vertical="center"/>
      <protection hidden="1"/>
    </xf>
    <xf numFmtId="168" fontId="19" fillId="38" borderId="27" xfId="0" applyNumberFormat="1" applyFont="1" applyFill="1" applyBorder="1" applyAlignment="1" applyProtection="1">
      <alignment horizontal="center" vertical="center"/>
      <protection hidden="1"/>
    </xf>
    <xf numFmtId="168" fontId="19" fillId="38" borderId="29" xfId="0" applyNumberFormat="1" applyFont="1" applyFill="1" applyBorder="1" applyAlignment="1" applyProtection="1">
      <alignment horizontal="center" vertical="center"/>
      <protection hidden="1"/>
    </xf>
    <xf numFmtId="0" fontId="20" fillId="33" borderId="10" xfId="0" applyFont="1" applyFill="1" applyBorder="1" applyAlignment="1" applyProtection="1">
      <alignment wrapText="1"/>
      <protection hidden="1"/>
    </xf>
    <xf numFmtId="0" fontId="20" fillId="33" borderId="15" xfId="0" applyFont="1" applyFill="1" applyBorder="1" applyAlignment="1" applyProtection="1">
      <alignment wrapText="1"/>
      <protection hidden="1"/>
    </xf>
    <xf numFmtId="0" fontId="20" fillId="33" borderId="11" xfId="0" applyFont="1" applyFill="1" applyBorder="1" applyAlignment="1" applyProtection="1">
      <alignment wrapText="1"/>
      <protection hidden="1"/>
    </xf>
    <xf numFmtId="0" fontId="20" fillId="33" borderId="12" xfId="0" applyFont="1" applyFill="1" applyBorder="1" applyAlignment="1" applyProtection="1">
      <alignment wrapText="1"/>
      <protection hidden="1"/>
    </xf>
    <xf numFmtId="0" fontId="20" fillId="33" borderId="0" xfId="0" applyFont="1" applyFill="1" applyAlignment="1" applyProtection="1">
      <alignment wrapText="1"/>
      <protection hidden="1"/>
    </xf>
    <xf numFmtId="0" fontId="20" fillId="33" borderId="23" xfId="0" applyFont="1" applyFill="1" applyBorder="1" applyAlignment="1" applyProtection="1">
      <alignment wrapText="1"/>
      <protection hidden="1"/>
    </xf>
    <xf numFmtId="0" fontId="20" fillId="33" borderId="13" xfId="0" applyFont="1" applyFill="1" applyBorder="1" applyAlignment="1" applyProtection="1">
      <alignment wrapText="1"/>
      <protection hidden="1"/>
    </xf>
    <xf numFmtId="0" fontId="20" fillId="33" borderId="24" xfId="0" applyFont="1" applyFill="1" applyBorder="1" applyAlignment="1" applyProtection="1">
      <alignment wrapText="1"/>
      <protection hidden="1"/>
    </xf>
    <xf numFmtId="0" fontId="20" fillId="33" borderId="25" xfId="0" applyFont="1" applyFill="1" applyBorder="1" applyAlignment="1" applyProtection="1">
      <alignment wrapText="1"/>
      <protection hidden="1"/>
    </xf>
    <xf numFmtId="164" fontId="16" fillId="33" borderId="28" xfId="0" applyNumberFormat="1" applyFont="1" applyFill="1" applyBorder="1" applyAlignment="1" applyProtection="1">
      <alignment horizontal="center" vertical="center"/>
      <protection hidden="1"/>
    </xf>
    <xf numFmtId="164" fontId="16" fillId="33" borderId="27" xfId="0" applyNumberFormat="1" applyFont="1" applyFill="1" applyBorder="1" applyAlignment="1" applyProtection="1">
      <alignment horizontal="center" vertical="center"/>
      <protection hidden="1"/>
    </xf>
    <xf numFmtId="164" fontId="16" fillId="33" borderId="29" xfId="0" applyNumberFormat="1" applyFont="1" applyFill="1" applyBorder="1" applyAlignment="1" applyProtection="1">
      <alignment horizontal="center" vertical="center"/>
      <protection hidden="1"/>
    </xf>
    <xf numFmtId="164" fontId="0" fillId="37" borderId="28" xfId="0" applyNumberFormat="1" applyFill="1" applyBorder="1" applyAlignment="1" applyProtection="1">
      <alignment horizontal="center" vertical="center"/>
      <protection hidden="1"/>
    </xf>
    <xf numFmtId="164" fontId="0" fillId="37" borderId="27" xfId="0" applyNumberFormat="1" applyFill="1" applyBorder="1" applyAlignment="1" applyProtection="1">
      <alignment horizontal="center" vertical="center"/>
      <protection hidden="1"/>
    </xf>
    <xf numFmtId="164" fontId="0" fillId="37" borderId="29" xfId="0" applyNumberFormat="1" applyFill="1" applyBorder="1" applyAlignment="1" applyProtection="1">
      <alignment horizontal="center" vertical="center"/>
      <protection hidden="1"/>
    </xf>
    <xf numFmtId="164" fontId="0" fillId="36" borderId="28" xfId="0" applyNumberFormat="1" applyFill="1" applyBorder="1" applyAlignment="1" applyProtection="1">
      <alignment horizontal="center" vertical="center"/>
      <protection hidden="1"/>
    </xf>
    <xf numFmtId="164" fontId="0" fillId="36" borderId="27" xfId="0" applyNumberFormat="1" applyFill="1" applyBorder="1" applyAlignment="1" applyProtection="1">
      <alignment horizontal="center" vertical="center"/>
      <protection hidden="1"/>
    </xf>
    <xf numFmtId="164" fontId="0" fillId="36" borderId="29" xfId="0" applyNumberFormat="1" applyFill="1" applyBorder="1" applyAlignment="1" applyProtection="1">
      <alignment horizontal="center" vertical="center"/>
      <protection hidden="1"/>
    </xf>
    <xf numFmtId="168" fontId="19" fillId="37" borderId="31" xfId="0" applyNumberFormat="1" applyFont="1" applyFill="1" applyBorder="1" applyAlignment="1" applyProtection="1">
      <alignment horizontal="center" vertical="center" wrapText="1"/>
      <protection hidden="1"/>
    </xf>
    <xf numFmtId="168" fontId="19" fillId="37" borderId="32" xfId="0" applyNumberFormat="1" applyFont="1" applyFill="1" applyBorder="1" applyAlignment="1" applyProtection="1">
      <alignment horizontal="center" vertical="center" wrapText="1"/>
      <protection hidden="1"/>
    </xf>
    <xf numFmtId="168" fontId="19" fillId="37" borderId="33" xfId="0" applyNumberFormat="1" applyFont="1" applyFill="1" applyBorder="1" applyAlignment="1" applyProtection="1">
      <alignment horizontal="center" vertical="center" wrapText="1"/>
      <protection hidden="1"/>
    </xf>
    <xf numFmtId="168" fontId="0" fillId="33" borderId="31" xfId="0" applyNumberFormat="1" applyFill="1" applyBorder="1" applyAlignment="1" applyProtection="1">
      <alignment horizontal="center" vertical="center"/>
      <protection hidden="1"/>
    </xf>
    <xf numFmtId="168" fontId="0" fillId="33" borderId="32" xfId="0" applyNumberFormat="1" applyFill="1" applyBorder="1" applyAlignment="1" applyProtection="1">
      <alignment horizontal="center" vertical="center"/>
      <protection hidden="1"/>
    </xf>
    <xf numFmtId="168" fontId="0" fillId="33" borderId="33" xfId="0" applyNumberFormat="1" applyFill="1" applyBorder="1" applyAlignment="1" applyProtection="1">
      <alignment horizontal="center" vertical="center"/>
      <protection hidden="1"/>
    </xf>
    <xf numFmtId="168" fontId="0" fillId="36" borderId="31" xfId="0" applyNumberFormat="1" applyFill="1" applyBorder="1" applyAlignment="1" applyProtection="1">
      <alignment horizontal="center" vertical="center"/>
      <protection hidden="1"/>
    </xf>
    <xf numFmtId="168" fontId="0" fillId="36" borderId="32" xfId="0" applyNumberFormat="1" applyFill="1" applyBorder="1" applyAlignment="1" applyProtection="1">
      <alignment horizontal="center" vertical="center"/>
      <protection hidden="1"/>
    </xf>
    <xf numFmtId="168" fontId="0" fillId="36" borderId="33" xfId="0" applyNumberFormat="1" applyFill="1" applyBorder="1" applyAlignment="1" applyProtection="1">
      <alignment horizontal="center" vertical="center"/>
      <protection hidden="1"/>
    </xf>
    <xf numFmtId="0" fontId="0" fillId="0" borderId="0" xfId="0" applyAlignment="1" applyProtection="1">
      <alignment vertical="center" wrapText="1"/>
      <protection hidden="1"/>
    </xf>
    <xf numFmtId="0" fontId="16" fillId="33" borderId="10" xfId="0" applyFont="1" applyFill="1" applyBorder="1" applyAlignment="1" applyProtection="1">
      <alignment horizontal="center" vertical="center" wrapText="1"/>
      <protection hidden="1"/>
    </xf>
    <xf numFmtId="0" fontId="16" fillId="33" borderId="26" xfId="0" applyFont="1" applyFill="1" applyBorder="1" applyAlignment="1" applyProtection="1">
      <alignment horizontal="center" vertical="center" wrapText="1"/>
      <protection hidden="1"/>
    </xf>
    <xf numFmtId="168" fontId="0" fillId="38" borderId="28" xfId="0" applyNumberFormat="1" applyFill="1" applyBorder="1" applyAlignment="1" applyProtection="1">
      <alignment horizontal="center" vertical="center"/>
      <protection hidden="1"/>
    </xf>
    <xf numFmtId="168" fontId="0" fillId="38" borderId="27" xfId="0" applyNumberFormat="1" applyFill="1" applyBorder="1" applyAlignment="1" applyProtection="1">
      <alignment horizontal="center" vertical="center"/>
      <protection hidden="1"/>
    </xf>
    <xf numFmtId="168" fontId="0" fillId="38" borderId="29" xfId="0" applyNumberFormat="1" applyFill="1" applyBorder="1" applyAlignment="1" applyProtection="1">
      <alignment horizontal="center" vertical="center"/>
      <protection hidden="1"/>
    </xf>
    <xf numFmtId="168" fontId="16" fillId="38" borderId="28" xfId="0" applyNumberFormat="1" applyFont="1" applyFill="1" applyBorder="1" applyAlignment="1" applyProtection="1">
      <alignment vertical="center"/>
      <protection hidden="1"/>
    </xf>
    <xf numFmtId="0" fontId="16" fillId="38" borderId="27" xfId="0" applyFont="1" applyFill="1" applyBorder="1" applyAlignment="1" applyProtection="1">
      <alignment vertical="center"/>
      <protection hidden="1"/>
    </xf>
    <xf numFmtId="0" fontId="16" fillId="38" borderId="29" xfId="0" applyFont="1" applyFill="1" applyBorder="1" applyAlignment="1" applyProtection="1">
      <alignment vertical="center"/>
      <protection hidden="1"/>
    </xf>
    <xf numFmtId="168" fontId="0" fillId="38" borderId="31" xfId="0" applyNumberFormat="1" applyFill="1" applyBorder="1" applyAlignment="1" applyProtection="1">
      <alignment horizontal="center" vertical="center"/>
      <protection hidden="1"/>
    </xf>
    <xf numFmtId="168" fontId="0" fillId="38" borderId="32" xfId="0" applyNumberFormat="1" applyFill="1" applyBorder="1" applyAlignment="1" applyProtection="1">
      <alignment horizontal="center" vertical="center"/>
      <protection hidden="1"/>
    </xf>
    <xf numFmtId="168" fontId="0" fillId="38" borderId="33" xfId="0" applyNumberFormat="1" applyFill="1" applyBorder="1" applyAlignment="1" applyProtection="1">
      <alignment horizontal="center" vertical="center"/>
      <protection hidden="1"/>
    </xf>
    <xf numFmtId="0" fontId="16" fillId="35" borderId="0" xfId="0" applyFont="1" applyFill="1" applyAlignment="1" applyProtection="1">
      <alignment horizontal="center" vertical="center"/>
      <protection hidden="1"/>
    </xf>
    <xf numFmtId="168" fontId="0" fillId="36" borderId="28" xfId="0" applyNumberFormat="1" applyFill="1" applyBorder="1" applyAlignment="1" applyProtection="1">
      <alignment horizontal="center" vertical="center"/>
      <protection hidden="1"/>
    </xf>
    <xf numFmtId="168" fontId="0" fillId="36" borderId="27" xfId="0" applyNumberFormat="1" applyFill="1" applyBorder="1" applyAlignment="1" applyProtection="1">
      <alignment horizontal="center" vertical="center"/>
      <protection hidden="1"/>
    </xf>
    <xf numFmtId="168" fontId="0" fillId="36" borderId="29" xfId="0" applyNumberFormat="1" applyFill="1" applyBorder="1" applyAlignment="1" applyProtection="1">
      <alignment horizontal="center" vertical="center"/>
      <protection hidden="1"/>
    </xf>
    <xf numFmtId="168" fontId="0" fillId="33" borderId="28" xfId="0" applyNumberFormat="1" applyFill="1" applyBorder="1" applyAlignment="1" applyProtection="1">
      <alignment horizontal="center" vertical="center" wrapText="1"/>
      <protection hidden="1"/>
    </xf>
    <xf numFmtId="168" fontId="0" fillId="33" borderId="27" xfId="0" applyNumberFormat="1" applyFill="1" applyBorder="1" applyAlignment="1" applyProtection="1">
      <alignment horizontal="center" vertical="center" wrapText="1"/>
      <protection hidden="1"/>
    </xf>
    <xf numFmtId="168" fontId="0" fillId="33" borderId="29" xfId="0" applyNumberFormat="1" applyFill="1" applyBorder="1" applyAlignment="1" applyProtection="1">
      <alignment horizontal="center" vertical="center" wrapText="1"/>
      <protection hidden="1"/>
    </xf>
    <xf numFmtId="0" fontId="50" fillId="33" borderId="17" xfId="0" applyFont="1" applyFill="1" applyBorder="1" applyAlignment="1">
      <alignment horizontal="center" vertical="center"/>
    </xf>
    <xf numFmtId="0" fontId="50" fillId="33" borderId="18" xfId="0" applyFont="1" applyFill="1" applyBorder="1" applyAlignment="1">
      <alignment horizontal="center" vertical="center"/>
    </xf>
    <xf numFmtId="0" fontId="50" fillId="33" borderId="19" xfId="0" applyFont="1" applyFill="1" applyBorder="1" applyAlignment="1">
      <alignment horizontal="center" vertical="center"/>
    </xf>
    <xf numFmtId="0" fontId="39" fillId="40" borderId="48" xfId="0" applyFont="1" applyFill="1" applyBorder="1" applyAlignment="1">
      <alignment horizontal="center" vertical="center"/>
    </xf>
    <xf numFmtId="0" fontId="39" fillId="40" borderId="49" xfId="0" applyFont="1" applyFill="1" applyBorder="1" applyAlignment="1">
      <alignment horizontal="center"/>
    </xf>
    <xf numFmtId="0" fontId="20" fillId="40" borderId="14" xfId="0" applyFont="1" applyFill="1" applyBorder="1" applyAlignment="1">
      <alignment horizontal="center"/>
    </xf>
    <xf numFmtId="0" fontId="61" fillId="0" borderId="0" xfId="44" applyFont="1" applyAlignment="1" applyProtection="1">
      <alignment horizontal="left" vertical="center" wrapText="1"/>
      <protection hidden="1"/>
    </xf>
    <xf numFmtId="0" fontId="0" fillId="0" borderId="0" xfId="44" applyFont="1" applyAlignment="1" applyProtection="1">
      <alignment horizontal="left" vertical="center" wrapText="1"/>
      <protection hidden="1"/>
    </xf>
    <xf numFmtId="0" fontId="51" fillId="44" borderId="0" xfId="44" applyFont="1" applyFill="1" applyAlignment="1" applyProtection="1">
      <alignment horizontal="left" vertical="center" wrapText="1"/>
      <protection hidden="1"/>
    </xf>
    <xf numFmtId="0" fontId="0" fillId="0" borderId="0" xfId="0" applyProtection="1">
      <protection hidden="1"/>
    </xf>
    <xf numFmtId="0" fontId="52" fillId="0" borderId="0" xfId="44" applyFont="1" applyAlignment="1" applyProtection="1">
      <alignment horizontal="left" vertical="center" wrapText="1"/>
      <protection hidden="1"/>
    </xf>
    <xf numFmtId="0" fontId="53" fillId="45" borderId="0" xfId="44" applyFont="1" applyFill="1" applyAlignment="1" applyProtection="1">
      <alignment horizontal="left" vertical="center" wrapText="1"/>
      <protection hidden="1"/>
    </xf>
    <xf numFmtId="174" fontId="35" fillId="33" borderId="14" xfId="0" applyNumberFormat="1" applyFont="1" applyFill="1" applyBorder="1" applyAlignment="1">
      <alignment horizontal="center" vertical="center" wrapText="1"/>
    </xf>
    <xf numFmtId="174" fontId="26" fillId="38" borderId="14" xfId="0" applyNumberFormat="1" applyFont="1" applyFill="1" applyBorder="1" applyProtection="1">
      <protection locked="0"/>
    </xf>
    <xf numFmtId="0" fontId="0" fillId="38" borderId="14" xfId="0" applyFill="1" applyBorder="1" applyAlignment="1" applyProtection="1">
      <alignment wrapText="1"/>
      <protection locked="0"/>
    </xf>
  </cellXfs>
  <cellStyles count="45">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3"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 xfId="44" xr:uid="{2EB3C819-3D3C-452B-AF5F-852966984F39}"/>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 name="Valuta" xfId="42" builtinId="4"/>
  </cellStyles>
  <dxfs count="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A3DBFF"/>
      <color rgb="FFFFFFFF"/>
      <color rgb="FFFFFF00"/>
      <color rgb="FF00B050"/>
      <color rgb="FFF8F8F8"/>
      <color rgb="FFFF0066"/>
      <color rgb="FF00CC99"/>
      <color rgb="FFFF7474"/>
      <color rgb="FF227ACB"/>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jp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5</xdr:col>
      <xdr:colOff>283105</xdr:colOff>
      <xdr:row>36</xdr:row>
      <xdr:rowOff>22151</xdr:rowOff>
    </xdr:from>
    <xdr:to>
      <xdr:col>6</xdr:col>
      <xdr:colOff>436562</xdr:colOff>
      <xdr:row>58</xdr:row>
      <xdr:rowOff>80979</xdr:rowOff>
    </xdr:to>
    <xdr:pic>
      <xdr:nvPicPr>
        <xdr:cNvPr id="3" name="Immagine 2">
          <a:extLst>
            <a:ext uri="{FF2B5EF4-FFF2-40B4-BE49-F238E27FC236}">
              <a16:creationId xmlns:a16="http://schemas.microsoft.com/office/drawing/2014/main" id="{BAFEFAD9-FF84-F4F1-FD41-DD0BF63A7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605" y="8277151"/>
          <a:ext cx="2084916" cy="4371536"/>
        </a:xfrm>
        <a:prstGeom prst="rect">
          <a:avLst/>
        </a:prstGeom>
      </xdr:spPr>
    </xdr:pic>
    <xdr:clientData/>
  </xdr:twoCellAnchor>
  <xdr:twoCellAnchor editAs="oneCell">
    <xdr:from>
      <xdr:col>2</xdr:col>
      <xdr:colOff>280549</xdr:colOff>
      <xdr:row>36</xdr:row>
      <xdr:rowOff>37331</xdr:rowOff>
    </xdr:from>
    <xdr:to>
      <xdr:col>3</xdr:col>
      <xdr:colOff>544786</xdr:colOff>
      <xdr:row>58</xdr:row>
      <xdr:rowOff>56747</xdr:rowOff>
    </xdr:to>
    <xdr:pic>
      <xdr:nvPicPr>
        <xdr:cNvPr id="5" name="Immagine 4">
          <a:extLst>
            <a:ext uri="{FF2B5EF4-FFF2-40B4-BE49-F238E27FC236}">
              <a16:creationId xmlns:a16="http://schemas.microsoft.com/office/drawing/2014/main" id="{57EE66CE-DF74-DF4D-F3EA-F2C6DC92F4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80849" y="8514581"/>
          <a:ext cx="2093037" cy="4439016"/>
        </a:xfrm>
        <a:prstGeom prst="rect">
          <a:avLst/>
        </a:prstGeom>
      </xdr:spPr>
    </xdr:pic>
    <xdr:clientData/>
  </xdr:twoCellAnchor>
  <xdr:twoCellAnchor editAs="oneCell">
    <xdr:from>
      <xdr:col>3</xdr:col>
      <xdr:colOff>628650</xdr:colOff>
      <xdr:row>36</xdr:row>
      <xdr:rowOff>38100</xdr:rowOff>
    </xdr:from>
    <xdr:to>
      <xdr:col>5</xdr:col>
      <xdr:colOff>151268</xdr:colOff>
      <xdr:row>58</xdr:row>
      <xdr:rowOff>76200</xdr:rowOff>
    </xdr:to>
    <xdr:pic>
      <xdr:nvPicPr>
        <xdr:cNvPr id="7" name="Immagine 6">
          <a:extLst>
            <a:ext uri="{FF2B5EF4-FFF2-40B4-BE49-F238E27FC236}">
              <a16:creationId xmlns:a16="http://schemas.microsoft.com/office/drawing/2014/main" id="{32AE9532-CC25-BA7D-FB38-90A1B0AB11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57750" y="8515350"/>
          <a:ext cx="2012174" cy="4457700"/>
        </a:xfrm>
        <a:prstGeom prst="rect">
          <a:avLst/>
        </a:prstGeom>
      </xdr:spPr>
    </xdr:pic>
    <xdr:clientData/>
  </xdr:twoCellAnchor>
  <xdr:twoCellAnchor editAs="oneCell">
    <xdr:from>
      <xdr:col>3</xdr:col>
      <xdr:colOff>635001</xdr:colOff>
      <xdr:row>58</xdr:row>
      <xdr:rowOff>119062</xdr:rowOff>
    </xdr:from>
    <xdr:to>
      <xdr:col>5</xdr:col>
      <xdr:colOff>166331</xdr:colOff>
      <xdr:row>82</xdr:row>
      <xdr:rowOff>27690</xdr:rowOff>
    </xdr:to>
    <xdr:pic>
      <xdr:nvPicPr>
        <xdr:cNvPr id="9" name="Immagine 8">
          <a:extLst>
            <a:ext uri="{FF2B5EF4-FFF2-40B4-BE49-F238E27FC236}">
              <a16:creationId xmlns:a16="http://schemas.microsoft.com/office/drawing/2014/main" id="{2FB254CA-8A0A-D287-4055-9F17795B37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55105" y="12686770"/>
          <a:ext cx="2010832" cy="4353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47665</xdr:colOff>
      <xdr:row>58</xdr:row>
      <xdr:rowOff>126066</xdr:rowOff>
    </xdr:from>
    <xdr:to>
      <xdr:col>9</xdr:col>
      <xdr:colOff>1083160</xdr:colOff>
      <xdr:row>90</xdr:row>
      <xdr:rowOff>58910</xdr:rowOff>
    </xdr:to>
    <xdr:pic>
      <xdr:nvPicPr>
        <xdr:cNvPr id="27" name="Immagine 26">
          <a:extLst>
            <a:ext uri="{FF2B5EF4-FFF2-40B4-BE49-F238E27FC236}">
              <a16:creationId xmlns:a16="http://schemas.microsoft.com/office/drawing/2014/main" id="{A93ACD5A-4209-0495-3CC6-E61A6B272C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80827" y="11920257"/>
          <a:ext cx="2744392" cy="6208138"/>
        </a:xfrm>
        <a:prstGeom prst="rect">
          <a:avLst/>
        </a:prstGeom>
      </xdr:spPr>
    </xdr:pic>
    <xdr:clientData/>
  </xdr:twoCellAnchor>
  <xdr:twoCellAnchor editAs="oneCell">
    <xdr:from>
      <xdr:col>8</xdr:col>
      <xdr:colOff>24590</xdr:colOff>
      <xdr:row>26</xdr:row>
      <xdr:rowOff>140042</xdr:rowOff>
    </xdr:from>
    <xdr:to>
      <xdr:col>9</xdr:col>
      <xdr:colOff>912360</xdr:colOff>
      <xdr:row>57</xdr:row>
      <xdr:rowOff>0</xdr:rowOff>
    </xdr:to>
    <xdr:pic>
      <xdr:nvPicPr>
        <xdr:cNvPr id="29" name="Immagine 28">
          <a:extLst>
            <a:ext uri="{FF2B5EF4-FFF2-40B4-BE49-F238E27FC236}">
              <a16:creationId xmlns:a16="http://schemas.microsoft.com/office/drawing/2014/main" id="{6B696663-D9F6-B1E7-5025-5B42FA38A6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43571" y="5455227"/>
          <a:ext cx="2604622" cy="5692551"/>
        </a:xfrm>
        <a:prstGeom prst="rect">
          <a:avLst/>
        </a:prstGeom>
      </xdr:spPr>
    </xdr:pic>
    <xdr:clientData/>
  </xdr:twoCellAnchor>
  <xdr:twoCellAnchor editAs="oneCell">
    <xdr:from>
      <xdr:col>8</xdr:col>
      <xdr:colOff>72270</xdr:colOff>
      <xdr:row>91</xdr:row>
      <xdr:rowOff>97774</xdr:rowOff>
    </xdr:from>
    <xdr:to>
      <xdr:col>9</xdr:col>
      <xdr:colOff>1171583</xdr:colOff>
      <xdr:row>124</xdr:row>
      <xdr:rowOff>11313</xdr:rowOff>
    </xdr:to>
    <xdr:pic>
      <xdr:nvPicPr>
        <xdr:cNvPr id="31" name="Immagine 30">
          <a:extLst>
            <a:ext uri="{FF2B5EF4-FFF2-40B4-BE49-F238E27FC236}">
              <a16:creationId xmlns:a16="http://schemas.microsoft.com/office/drawing/2014/main" id="{5C7ACCFD-522E-55E7-4987-BBA93F2716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05432" y="18363362"/>
          <a:ext cx="2808210" cy="6372006"/>
        </a:xfrm>
        <a:prstGeom prst="rect">
          <a:avLst/>
        </a:prstGeom>
      </xdr:spPr>
    </xdr:pic>
    <xdr:clientData/>
  </xdr:twoCellAnchor>
  <xdr:twoCellAnchor editAs="oneCell">
    <xdr:from>
      <xdr:col>3</xdr:col>
      <xdr:colOff>1330</xdr:colOff>
      <xdr:row>26</xdr:row>
      <xdr:rowOff>171506</xdr:rowOff>
    </xdr:from>
    <xdr:to>
      <xdr:col>5</xdr:col>
      <xdr:colOff>235117</xdr:colOff>
      <xdr:row>57</xdr:row>
      <xdr:rowOff>35278</xdr:rowOff>
    </xdr:to>
    <xdr:pic>
      <xdr:nvPicPr>
        <xdr:cNvPr id="33" name="Immagine 32">
          <a:extLst>
            <a:ext uri="{FF2B5EF4-FFF2-40B4-BE49-F238E27FC236}">
              <a16:creationId xmlns:a16="http://schemas.microsoft.com/office/drawing/2014/main" id="{8A4AA44B-51F8-8107-9536-14AA5C1005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40682" y="5486691"/>
          <a:ext cx="2762028" cy="5696365"/>
        </a:xfrm>
        <a:prstGeom prst="rect">
          <a:avLst/>
        </a:prstGeom>
      </xdr:spPr>
    </xdr:pic>
    <xdr:clientData/>
  </xdr:twoCellAnchor>
  <xdr:twoCellAnchor editAs="oneCell">
    <xdr:from>
      <xdr:col>0</xdr:col>
      <xdr:colOff>821150</xdr:colOff>
      <xdr:row>27</xdr:row>
      <xdr:rowOff>1997</xdr:rowOff>
    </xdr:from>
    <xdr:to>
      <xdr:col>2</xdr:col>
      <xdr:colOff>1581377</xdr:colOff>
      <xdr:row>57</xdr:row>
      <xdr:rowOff>37941</xdr:rowOff>
    </xdr:to>
    <xdr:pic>
      <xdr:nvPicPr>
        <xdr:cNvPr id="35" name="Immagine 34">
          <a:extLst>
            <a:ext uri="{FF2B5EF4-FFF2-40B4-BE49-F238E27FC236}">
              <a16:creationId xmlns:a16="http://schemas.microsoft.com/office/drawing/2014/main" id="{133915CE-67CC-C40E-8B2B-E008AC8EBF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1150" y="5505330"/>
          <a:ext cx="2747542" cy="5680389"/>
        </a:xfrm>
        <a:prstGeom prst="rect">
          <a:avLst/>
        </a:prstGeom>
      </xdr:spPr>
    </xdr:pic>
    <xdr:clientData/>
  </xdr:twoCellAnchor>
  <xdr:twoCellAnchor editAs="oneCell">
    <xdr:from>
      <xdr:col>3</xdr:col>
      <xdr:colOff>13997</xdr:colOff>
      <xdr:row>58</xdr:row>
      <xdr:rowOff>186492</xdr:rowOff>
    </xdr:from>
    <xdr:to>
      <xdr:col>5</xdr:col>
      <xdr:colOff>296286</xdr:colOff>
      <xdr:row>89</xdr:row>
      <xdr:rowOff>154142</xdr:rowOff>
    </xdr:to>
    <xdr:pic>
      <xdr:nvPicPr>
        <xdr:cNvPr id="37" name="Immagine 36">
          <a:extLst>
            <a:ext uri="{FF2B5EF4-FFF2-40B4-BE49-F238E27FC236}">
              <a16:creationId xmlns:a16="http://schemas.microsoft.com/office/drawing/2014/main" id="{D016D5DA-0E81-0CC6-BA5E-162CCCDDAE2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950063" y="11980683"/>
          <a:ext cx="2817620" cy="6046841"/>
        </a:xfrm>
        <a:prstGeom prst="rect">
          <a:avLst/>
        </a:prstGeom>
      </xdr:spPr>
    </xdr:pic>
    <xdr:clientData/>
  </xdr:twoCellAnchor>
  <xdr:twoCellAnchor editAs="oneCell">
    <xdr:from>
      <xdr:col>5</xdr:col>
      <xdr:colOff>417377</xdr:colOff>
      <xdr:row>58</xdr:row>
      <xdr:rowOff>166253</xdr:rowOff>
    </xdr:from>
    <xdr:to>
      <xdr:col>7</xdr:col>
      <xdr:colOff>1299059</xdr:colOff>
      <xdr:row>89</xdr:row>
      <xdr:rowOff>133903</xdr:rowOff>
    </xdr:to>
    <xdr:pic>
      <xdr:nvPicPr>
        <xdr:cNvPr id="39" name="Immagine 38">
          <a:extLst>
            <a:ext uri="{FF2B5EF4-FFF2-40B4-BE49-F238E27FC236}">
              <a16:creationId xmlns:a16="http://schemas.microsoft.com/office/drawing/2014/main" id="{D78A8403-9B83-12C8-BCA0-FCD8089525D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88774" y="11960444"/>
          <a:ext cx="2800689" cy="6046841"/>
        </a:xfrm>
        <a:prstGeom prst="rect">
          <a:avLst/>
        </a:prstGeom>
      </xdr:spPr>
    </xdr:pic>
    <xdr:clientData/>
  </xdr:twoCellAnchor>
  <xdr:twoCellAnchor editAs="oneCell">
    <xdr:from>
      <xdr:col>1</xdr:col>
      <xdr:colOff>15305</xdr:colOff>
      <xdr:row>58</xdr:row>
      <xdr:rowOff>194270</xdr:rowOff>
    </xdr:from>
    <xdr:to>
      <xdr:col>2</xdr:col>
      <xdr:colOff>1675809</xdr:colOff>
      <xdr:row>89</xdr:row>
      <xdr:rowOff>161920</xdr:rowOff>
    </xdr:to>
    <xdr:pic>
      <xdr:nvPicPr>
        <xdr:cNvPr id="41" name="Immagine 40">
          <a:extLst>
            <a:ext uri="{FF2B5EF4-FFF2-40B4-BE49-F238E27FC236}">
              <a16:creationId xmlns:a16="http://schemas.microsoft.com/office/drawing/2014/main" id="{0A45BDFA-EDE8-8AC9-8424-DE35528CC10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5746" y="11988461"/>
          <a:ext cx="2809107" cy="6046841"/>
        </a:xfrm>
        <a:prstGeom prst="rect">
          <a:avLst/>
        </a:prstGeom>
      </xdr:spPr>
    </xdr:pic>
    <xdr:clientData/>
  </xdr:twoCellAnchor>
  <xdr:twoCellAnchor editAs="oneCell">
    <xdr:from>
      <xdr:col>5</xdr:col>
      <xdr:colOff>350697</xdr:colOff>
      <xdr:row>26</xdr:row>
      <xdr:rowOff>97601</xdr:rowOff>
    </xdr:from>
    <xdr:to>
      <xdr:col>7</xdr:col>
      <xdr:colOff>1258373</xdr:colOff>
      <xdr:row>57</xdr:row>
      <xdr:rowOff>74794</xdr:rowOff>
    </xdr:to>
    <xdr:pic>
      <xdr:nvPicPr>
        <xdr:cNvPr id="43" name="Immagine 42">
          <a:extLst>
            <a:ext uri="{FF2B5EF4-FFF2-40B4-BE49-F238E27FC236}">
              <a16:creationId xmlns:a16="http://schemas.microsoft.com/office/drawing/2014/main" id="{FF207BB5-9691-A507-A732-D4D4A6D0ADF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827697" y="5463351"/>
          <a:ext cx="2812676" cy="5882693"/>
        </a:xfrm>
        <a:prstGeom prst="rect">
          <a:avLst/>
        </a:prstGeom>
      </xdr:spPr>
    </xdr:pic>
    <xdr:clientData/>
  </xdr:twoCellAnchor>
  <xdr:twoCellAnchor editAs="oneCell">
    <xdr:from>
      <xdr:col>5</xdr:col>
      <xdr:colOff>532280</xdr:colOff>
      <xdr:row>91</xdr:row>
      <xdr:rowOff>95897</xdr:rowOff>
    </xdr:from>
    <xdr:to>
      <xdr:col>7</xdr:col>
      <xdr:colOff>1401558</xdr:colOff>
      <xdr:row>122</xdr:row>
      <xdr:rowOff>78065</xdr:rowOff>
    </xdr:to>
    <xdr:pic>
      <xdr:nvPicPr>
        <xdr:cNvPr id="45" name="Immagine 44">
          <a:extLst>
            <a:ext uri="{FF2B5EF4-FFF2-40B4-BE49-F238E27FC236}">
              <a16:creationId xmlns:a16="http://schemas.microsoft.com/office/drawing/2014/main" id="{EE57EB62-0D90-78BB-8B96-FB8EF8E3C26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003677" y="18361485"/>
          <a:ext cx="2788285" cy="6061359"/>
        </a:xfrm>
        <a:prstGeom prst="rect">
          <a:avLst/>
        </a:prstGeom>
      </xdr:spPr>
    </xdr:pic>
    <xdr:clientData/>
  </xdr:twoCellAnchor>
  <xdr:twoCellAnchor editAs="oneCell">
    <xdr:from>
      <xdr:col>3</xdr:col>
      <xdr:colOff>43101</xdr:colOff>
      <xdr:row>91</xdr:row>
      <xdr:rowOff>98052</xdr:rowOff>
    </xdr:from>
    <xdr:to>
      <xdr:col>5</xdr:col>
      <xdr:colOff>320877</xdr:colOff>
      <xdr:row>124</xdr:row>
      <xdr:rowOff>149340</xdr:rowOff>
    </xdr:to>
    <xdr:pic>
      <xdr:nvPicPr>
        <xdr:cNvPr id="47" name="Immagine 46">
          <a:extLst>
            <a:ext uri="{FF2B5EF4-FFF2-40B4-BE49-F238E27FC236}">
              <a16:creationId xmlns:a16="http://schemas.microsoft.com/office/drawing/2014/main" id="{9B5847AA-87A3-28EF-F61D-37026044AFC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979167" y="18363640"/>
          <a:ext cx="2813107" cy="6522685"/>
        </a:xfrm>
        <a:prstGeom prst="rect">
          <a:avLst/>
        </a:prstGeom>
      </xdr:spPr>
    </xdr:pic>
    <xdr:clientData/>
  </xdr:twoCellAnchor>
  <xdr:twoCellAnchor editAs="oneCell">
    <xdr:from>
      <xdr:col>1</xdr:col>
      <xdr:colOff>37712</xdr:colOff>
      <xdr:row>91</xdr:row>
      <xdr:rowOff>98052</xdr:rowOff>
    </xdr:from>
    <xdr:to>
      <xdr:col>2</xdr:col>
      <xdr:colOff>1677435</xdr:colOff>
      <xdr:row>124</xdr:row>
      <xdr:rowOff>149340</xdr:rowOff>
    </xdr:to>
    <xdr:pic>
      <xdr:nvPicPr>
        <xdr:cNvPr id="49" name="Immagine 48">
          <a:extLst>
            <a:ext uri="{FF2B5EF4-FFF2-40B4-BE49-F238E27FC236}">
              <a16:creationId xmlns:a16="http://schemas.microsoft.com/office/drawing/2014/main" id="{CB660FBD-81DE-4233-616F-E98AD980500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78153" y="18363640"/>
          <a:ext cx="2788326" cy="65226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190500</xdr:colOff>
      <xdr:row>37</xdr:row>
      <xdr:rowOff>38100</xdr:rowOff>
    </xdr:to>
    <xdr:sp macro="" textlink="">
      <xdr:nvSpPr>
        <xdr:cNvPr id="4" name="AutoShape 5">
          <a:extLst>
            <a:ext uri="{FF2B5EF4-FFF2-40B4-BE49-F238E27FC236}">
              <a16:creationId xmlns:a16="http://schemas.microsoft.com/office/drawing/2014/main" id="{6DEE847A-0B3E-4EC5-B2FE-B104BDEC4D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se.it/ricerca?q=Prezzi+medi+mensili+per+fascia+oraria+e%252"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43C8-87AE-4AD9-B667-A94081EEF521}">
  <dimension ref="A1:AB73"/>
  <sheetViews>
    <sheetView tabSelected="1" topLeftCell="A45" zoomScale="80" zoomScaleNormal="80" workbookViewId="0">
      <selection activeCell="E58" sqref="E58"/>
    </sheetView>
  </sheetViews>
  <sheetFormatPr defaultColWidth="9.140625" defaultRowHeight="15" x14ac:dyDescent="0.25"/>
  <cols>
    <col min="1" max="1" width="18.42578125" style="159" customWidth="1"/>
    <col min="2" max="2" width="28.5703125" style="159" customWidth="1"/>
    <col min="3" max="3" width="21.28515625" style="159" customWidth="1"/>
    <col min="4" max="4" width="23.5703125" style="159" customWidth="1"/>
    <col min="5" max="5" width="28.5703125" style="159" customWidth="1"/>
    <col min="6" max="6" width="28" style="159" customWidth="1"/>
    <col min="7" max="8" width="43.28515625" style="159" customWidth="1"/>
    <col min="9" max="9" width="19.28515625" style="159" customWidth="1"/>
    <col min="10" max="10" width="21.85546875" style="159" customWidth="1"/>
    <col min="11" max="13" width="36.5703125" style="159" customWidth="1"/>
    <col min="14" max="17" width="21.85546875" style="159" customWidth="1"/>
    <col min="18" max="18" width="24" style="159" customWidth="1"/>
    <col min="19" max="20" width="15.5703125" style="159" customWidth="1"/>
    <col min="21" max="21" width="16.140625" style="159" bestFit="1" customWidth="1"/>
    <col min="22" max="23" width="9.140625" style="159"/>
    <col min="24" max="24" width="31.5703125" style="159" customWidth="1"/>
    <col min="25" max="25" width="31.85546875" style="159" customWidth="1"/>
    <col min="26" max="26" width="10.7109375" style="159" bestFit="1" customWidth="1"/>
    <col min="27" max="27" width="20.28515625" style="159" customWidth="1"/>
    <col min="28" max="28" width="21.42578125" style="159" customWidth="1"/>
    <col min="29" max="16384" width="9.140625" style="159"/>
  </cols>
  <sheetData>
    <row r="1" spans="1:28" ht="42.75" customHeight="1" x14ac:dyDescent="0.25">
      <c r="A1" s="300" t="s">
        <v>85</v>
      </c>
      <c r="B1" s="301"/>
      <c r="C1" s="301"/>
      <c r="D1" s="301"/>
      <c r="E1" s="301"/>
      <c r="F1" s="302"/>
      <c r="G1" s="157"/>
      <c r="H1" s="157"/>
      <c r="I1" s="157"/>
      <c r="J1" s="158"/>
      <c r="K1" s="158"/>
      <c r="L1" s="158"/>
      <c r="M1" s="158"/>
      <c r="N1" s="158"/>
      <c r="O1" s="158"/>
      <c r="P1" s="158"/>
      <c r="Q1" s="158"/>
      <c r="R1" s="158"/>
      <c r="S1" s="158"/>
      <c r="T1" s="158"/>
      <c r="U1" s="158"/>
      <c r="V1" s="158"/>
      <c r="W1" s="158"/>
      <c r="X1" s="158"/>
      <c r="Y1" s="158"/>
      <c r="Z1" s="158"/>
      <c r="AA1" s="158"/>
      <c r="AB1" s="158"/>
    </row>
    <row r="2" spans="1:28" ht="42.75" customHeight="1" x14ac:dyDescent="0.25">
      <c r="A2" s="303" t="s">
        <v>78</v>
      </c>
      <c r="B2" s="160" t="s">
        <v>231</v>
      </c>
      <c r="C2" s="160" t="s">
        <v>75</v>
      </c>
      <c r="D2" s="160" t="s">
        <v>76</v>
      </c>
      <c r="E2" s="160" t="s">
        <v>77</v>
      </c>
      <c r="F2" s="276"/>
      <c r="G2" s="157"/>
      <c r="H2" s="157"/>
      <c r="I2" s="157"/>
      <c r="J2" s="158"/>
      <c r="K2" s="158"/>
      <c r="L2" s="158"/>
      <c r="M2" s="158"/>
      <c r="N2" s="158"/>
      <c r="O2" s="158"/>
      <c r="P2" s="158"/>
      <c r="Q2" s="158"/>
      <c r="R2" s="158"/>
      <c r="S2" s="158"/>
      <c r="T2" s="158"/>
      <c r="U2" s="158"/>
      <c r="V2" s="158"/>
      <c r="W2" s="158"/>
      <c r="X2" s="158"/>
      <c r="Y2" s="158"/>
      <c r="Z2" s="158"/>
      <c r="AA2" s="158"/>
      <c r="AB2" s="158"/>
    </row>
    <row r="3" spans="1:28" ht="42.75" customHeight="1" thickBot="1" x14ac:dyDescent="0.3">
      <c r="A3" s="304"/>
      <c r="B3" s="161">
        <f>G55*1000</f>
        <v>6000</v>
      </c>
      <c r="C3" s="161">
        <f>B55</f>
        <v>7200</v>
      </c>
      <c r="D3" s="161">
        <f>C55</f>
        <v>3500</v>
      </c>
      <c r="E3" s="161">
        <f>E55</f>
        <v>1800</v>
      </c>
      <c r="F3" s="277">
        <v>0</v>
      </c>
      <c r="G3" s="162">
        <f>1-F3</f>
        <v>1</v>
      </c>
      <c r="H3" s="162"/>
      <c r="I3" s="157"/>
      <c r="J3" s="158"/>
      <c r="K3" s="158"/>
      <c r="L3" s="158"/>
      <c r="M3" s="158"/>
      <c r="N3" s="158"/>
      <c r="O3" s="158"/>
      <c r="P3" s="158"/>
      <c r="Q3" s="158"/>
      <c r="R3" s="158"/>
      <c r="S3" s="158"/>
      <c r="T3" s="158"/>
      <c r="U3" s="158"/>
      <c r="V3" s="158"/>
      <c r="W3" s="158"/>
      <c r="X3" s="158"/>
      <c r="Y3" s="158"/>
      <c r="Z3" s="158"/>
      <c r="AA3" s="158"/>
      <c r="AB3" s="158"/>
    </row>
    <row r="4" spans="1:28" s="166" customFormat="1" ht="42.75" customHeight="1" thickBot="1" x14ac:dyDescent="0.3">
      <c r="A4" s="163"/>
      <c r="B4" s="164"/>
      <c r="C4" s="164"/>
      <c r="D4" s="164"/>
      <c r="E4" s="164"/>
      <c r="F4" s="165"/>
      <c r="G4" s="157"/>
      <c r="H4" s="157"/>
      <c r="I4" s="157"/>
      <c r="J4" s="158"/>
      <c r="K4" s="158"/>
      <c r="L4" s="158"/>
      <c r="M4" s="158"/>
      <c r="N4" s="158"/>
      <c r="O4" s="158"/>
      <c r="P4" s="158"/>
      <c r="Q4" s="158"/>
      <c r="R4" s="158"/>
      <c r="S4" s="158"/>
      <c r="T4" s="158"/>
      <c r="U4" s="158"/>
      <c r="V4" s="158"/>
      <c r="W4" s="158"/>
      <c r="X4" s="158"/>
      <c r="Y4" s="158"/>
      <c r="Z4" s="158"/>
      <c r="AA4" s="158"/>
      <c r="AB4" s="158"/>
    </row>
    <row r="5" spans="1:28" ht="42.75" customHeight="1" x14ac:dyDescent="0.25">
      <c r="A5" s="314" t="s">
        <v>79</v>
      </c>
      <c r="B5" s="315"/>
      <c r="C5" s="315"/>
      <c r="D5" s="315"/>
      <c r="E5" s="315"/>
      <c r="F5" s="316"/>
      <c r="G5" s="167"/>
      <c r="H5" s="167"/>
      <c r="I5" s="167"/>
      <c r="J5" s="158"/>
      <c r="K5" s="158"/>
      <c r="L5" s="158"/>
      <c r="M5" s="158"/>
      <c r="N5" s="158"/>
      <c r="O5" s="158"/>
      <c r="P5" s="158"/>
      <c r="Q5" s="158"/>
      <c r="R5" s="158"/>
      <c r="S5" s="158"/>
      <c r="T5" s="158"/>
      <c r="U5" s="158"/>
      <c r="V5" s="158"/>
      <c r="W5" s="158"/>
      <c r="X5" s="158"/>
      <c r="Y5" s="158"/>
      <c r="Z5" s="158"/>
      <c r="AA5" s="158"/>
      <c r="AB5" s="158"/>
    </row>
    <row r="6" spans="1:28" x14ac:dyDescent="0.25">
      <c r="A6" s="168" t="s">
        <v>0</v>
      </c>
      <c r="B6" s="169" t="s">
        <v>73</v>
      </c>
      <c r="C6" s="169" t="s">
        <v>42</v>
      </c>
      <c r="D6" s="67" t="s">
        <v>88</v>
      </c>
      <c r="E6" s="169" t="s">
        <v>72</v>
      </c>
      <c r="F6" s="170" t="s">
        <v>221</v>
      </c>
      <c r="G6" s="171" t="s">
        <v>170</v>
      </c>
      <c r="H6" s="171"/>
      <c r="I6" s="172"/>
      <c r="J6" s="173"/>
      <c r="K6" s="173"/>
      <c r="L6" s="173"/>
      <c r="M6" s="173"/>
      <c r="N6" s="173"/>
      <c r="O6" s="173"/>
      <c r="P6" s="173"/>
      <c r="Q6" s="173"/>
      <c r="R6" s="174"/>
      <c r="S6" s="174"/>
      <c r="T6" s="174"/>
      <c r="U6" s="174"/>
      <c r="V6" s="174"/>
      <c r="W6" s="174"/>
      <c r="X6" s="174"/>
      <c r="Y6" s="174"/>
      <c r="Z6" s="174"/>
      <c r="AA6" s="174"/>
      <c r="AB6" s="174"/>
    </row>
    <row r="7" spans="1:28" x14ac:dyDescent="0.25">
      <c r="A7" s="175">
        <v>2024</v>
      </c>
      <c r="B7" s="176" t="s">
        <v>2</v>
      </c>
      <c r="C7" s="68">
        <f>'Prezzi medi anno PUN e RID'!D15</f>
        <v>98.351666666666674</v>
      </c>
      <c r="D7" s="68">
        <f>'Prezzi medi anno PUN e RID'!B49</f>
        <v>85.606309523809514</v>
      </c>
      <c r="E7" s="176">
        <v>0</v>
      </c>
      <c r="F7" s="69">
        <v>0</v>
      </c>
      <c r="G7" s="171">
        <v>0</v>
      </c>
      <c r="H7" s="171"/>
      <c r="I7" s="172"/>
      <c r="J7" s="177"/>
      <c r="K7" s="177"/>
      <c r="L7" s="177"/>
      <c r="M7" s="177"/>
      <c r="N7" s="177"/>
      <c r="O7" s="177"/>
      <c r="P7" s="177"/>
      <c r="Q7" s="177"/>
      <c r="R7" s="174"/>
      <c r="S7" s="174"/>
      <c r="T7" s="174"/>
      <c r="U7" s="174"/>
      <c r="V7" s="174"/>
      <c r="W7" s="174"/>
      <c r="X7" s="174"/>
      <c r="Y7" s="174"/>
      <c r="Z7" s="174"/>
      <c r="AA7" s="174"/>
      <c r="AB7" s="174"/>
    </row>
    <row r="8" spans="1:28" x14ac:dyDescent="0.25">
      <c r="A8" s="175">
        <v>2024</v>
      </c>
      <c r="B8" s="176" t="s">
        <v>3</v>
      </c>
      <c r="C8" s="68">
        <f>C7</f>
        <v>98.351666666666674</v>
      </c>
      <c r="D8" s="68">
        <f>D7</f>
        <v>85.606309523809514</v>
      </c>
      <c r="E8" s="176">
        <v>0</v>
      </c>
      <c r="F8" s="69">
        <v>0</v>
      </c>
      <c r="G8" s="171">
        <v>0</v>
      </c>
      <c r="H8" s="171"/>
      <c r="I8" s="172"/>
      <c r="J8" s="177"/>
      <c r="K8" s="177"/>
      <c r="L8" s="177"/>
      <c r="M8" s="177"/>
      <c r="N8" s="177"/>
      <c r="O8" s="177"/>
      <c r="P8" s="177"/>
      <c r="Q8" s="177"/>
      <c r="R8" s="174"/>
      <c r="S8" s="174"/>
      <c r="T8" s="174"/>
      <c r="U8" s="174"/>
      <c r="V8" s="174"/>
      <c r="W8" s="174"/>
      <c r="X8" s="174"/>
      <c r="Y8" s="174"/>
      <c r="Z8" s="174"/>
      <c r="AA8" s="174"/>
      <c r="AB8" s="174"/>
    </row>
    <row r="9" spans="1:28" x14ac:dyDescent="0.25">
      <c r="A9" s="175">
        <v>2024</v>
      </c>
      <c r="B9" s="176" t="s">
        <v>4</v>
      </c>
      <c r="C9" s="68">
        <f t="shared" ref="C9:D12" si="0">C8</f>
        <v>98.351666666666674</v>
      </c>
      <c r="D9" s="68">
        <f t="shared" si="0"/>
        <v>85.606309523809514</v>
      </c>
      <c r="E9" s="176">
        <v>0</v>
      </c>
      <c r="F9" s="69">
        <v>0</v>
      </c>
      <c r="G9" s="171">
        <v>0</v>
      </c>
      <c r="H9" s="171"/>
      <c r="I9" s="172"/>
      <c r="J9" s="177"/>
      <c r="K9" s="177"/>
      <c r="L9" s="177"/>
      <c r="M9" s="177"/>
      <c r="N9" s="177"/>
      <c r="O9" s="177"/>
      <c r="P9" s="177"/>
      <c r="Q9" s="177"/>
      <c r="R9" s="174"/>
      <c r="S9" s="174"/>
      <c r="T9" s="174"/>
      <c r="U9" s="174"/>
      <c r="V9" s="174"/>
      <c r="W9" s="174"/>
      <c r="X9" s="158"/>
      <c r="Y9" s="158"/>
      <c r="Z9" s="158"/>
      <c r="AA9" s="158"/>
      <c r="AB9" s="158"/>
    </row>
    <row r="10" spans="1:28" x14ac:dyDescent="0.25">
      <c r="A10" s="175">
        <v>2024</v>
      </c>
      <c r="B10" s="176" t="s">
        <v>5</v>
      </c>
      <c r="C10" s="68">
        <f t="shared" si="0"/>
        <v>98.351666666666674</v>
      </c>
      <c r="D10" s="68">
        <f t="shared" si="0"/>
        <v>85.606309523809514</v>
      </c>
      <c r="E10" s="176">
        <v>0</v>
      </c>
      <c r="F10" s="69">
        <v>0</v>
      </c>
      <c r="G10" s="171">
        <v>0</v>
      </c>
      <c r="H10" s="171"/>
      <c r="I10" s="172"/>
      <c r="J10" s="177"/>
      <c r="K10" s="177"/>
      <c r="L10" s="177"/>
      <c r="M10" s="177"/>
      <c r="N10" s="177"/>
      <c r="O10" s="177"/>
      <c r="P10" s="177"/>
      <c r="Q10" s="177"/>
      <c r="R10" s="174"/>
      <c r="S10" s="174"/>
      <c r="T10" s="174"/>
      <c r="U10" s="174"/>
      <c r="V10" s="174"/>
      <c r="W10" s="178"/>
      <c r="X10" s="179"/>
      <c r="Y10" s="179"/>
      <c r="Z10" s="179"/>
      <c r="AA10" s="179"/>
      <c r="AB10" s="179"/>
    </row>
    <row r="11" spans="1:28" x14ac:dyDescent="0.25">
      <c r="A11" s="175">
        <v>2024</v>
      </c>
      <c r="B11" s="176" t="s">
        <v>6</v>
      </c>
      <c r="C11" s="68">
        <f t="shared" si="0"/>
        <v>98.351666666666674</v>
      </c>
      <c r="D11" s="68">
        <f t="shared" si="0"/>
        <v>85.606309523809514</v>
      </c>
      <c r="E11" s="180">
        <v>0</v>
      </c>
      <c r="F11" s="69">
        <v>0</v>
      </c>
      <c r="G11" s="171">
        <v>0</v>
      </c>
      <c r="H11" s="171"/>
      <c r="I11" s="172"/>
      <c r="J11" s="177"/>
      <c r="K11" s="177"/>
      <c r="L11" s="177"/>
      <c r="M11" s="177"/>
      <c r="N11" s="177"/>
      <c r="O11" s="177"/>
      <c r="P11" s="177"/>
      <c r="Q11" s="177"/>
      <c r="R11" s="174"/>
      <c r="S11" s="174"/>
      <c r="T11" s="174"/>
      <c r="U11" s="181"/>
      <c r="V11" s="174"/>
      <c r="W11" s="174"/>
      <c r="X11" s="174"/>
      <c r="Y11" s="174"/>
      <c r="Z11" s="174"/>
      <c r="AA11" s="174"/>
      <c r="AB11" s="174"/>
    </row>
    <row r="12" spans="1:28" x14ac:dyDescent="0.25">
      <c r="A12" s="175">
        <v>2024</v>
      </c>
      <c r="B12" s="176" t="s">
        <v>7</v>
      </c>
      <c r="C12" s="68">
        <f t="shared" si="0"/>
        <v>98.351666666666674</v>
      </c>
      <c r="D12" s="68">
        <f t="shared" si="0"/>
        <v>85.606309523809514</v>
      </c>
      <c r="E12" s="182">
        <f>E31/36</f>
        <v>97.222222222222229</v>
      </c>
      <c r="F12" s="70">
        <f>((E12*D12))/1000</f>
        <v>8.322835648148148</v>
      </c>
      <c r="G12" s="171">
        <f>G31/36</f>
        <v>15.08138888888889</v>
      </c>
      <c r="H12" s="171"/>
      <c r="I12" s="183"/>
      <c r="J12" s="177"/>
      <c r="K12" s="177"/>
      <c r="L12" s="177"/>
      <c r="M12" s="177"/>
      <c r="N12" s="177"/>
      <c r="O12" s="177"/>
      <c r="P12" s="177"/>
      <c r="Q12" s="177"/>
      <c r="R12" s="174"/>
      <c r="S12" s="174"/>
      <c r="T12" s="174"/>
      <c r="U12" s="174"/>
      <c r="V12" s="174"/>
      <c r="W12" s="174"/>
      <c r="X12" s="174"/>
      <c r="Y12" s="174"/>
      <c r="Z12" s="174"/>
      <c r="AA12" s="178"/>
      <c r="AB12" s="174"/>
    </row>
    <row r="13" spans="1:28" x14ac:dyDescent="0.25">
      <c r="A13" s="175">
        <v>2024</v>
      </c>
      <c r="B13" s="176" t="s">
        <v>8</v>
      </c>
      <c r="C13" s="68">
        <f>'Prezzi medi anno PUN e RID'!C15</f>
        <v>120.31666666666671</v>
      </c>
      <c r="D13" s="68">
        <f>'Prezzi medi anno PUN e RID'!B38</f>
        <v>98.726428571428571</v>
      </c>
      <c r="E13" s="182">
        <f>E31/21.6</f>
        <v>162.03703703703704</v>
      </c>
      <c r="F13" s="70">
        <f>((E13*D13))/1000</f>
        <v>15.997337962962963</v>
      </c>
      <c r="G13" s="171">
        <f>G31/21.6</f>
        <v>25.13564814814815</v>
      </c>
      <c r="H13" s="171"/>
      <c r="I13" s="183"/>
      <c r="J13" s="177"/>
      <c r="K13" s="177"/>
      <c r="L13" s="177"/>
      <c r="M13" s="177"/>
      <c r="N13" s="177"/>
      <c r="O13" s="177"/>
      <c r="P13" s="177"/>
      <c r="Q13" s="177"/>
      <c r="R13" s="174"/>
      <c r="S13" s="174"/>
      <c r="T13" s="174"/>
      <c r="U13" s="174"/>
      <c r="V13" s="174"/>
      <c r="W13" s="174"/>
      <c r="X13" s="174"/>
      <c r="Y13" s="174"/>
      <c r="Z13" s="174"/>
      <c r="AA13" s="158"/>
      <c r="AB13" s="174"/>
    </row>
    <row r="14" spans="1:28" x14ac:dyDescent="0.25">
      <c r="A14" s="175">
        <v>2024</v>
      </c>
      <c r="B14" s="176" t="s">
        <v>9</v>
      </c>
      <c r="C14" s="68">
        <f>'Prezzi medi anno PUN e RID'!B15</f>
        <v>113.77333333333333</v>
      </c>
      <c r="D14" s="68">
        <f>'Prezzi medi anno PUN e RID'!B27</f>
        <v>103.70845238095239</v>
      </c>
      <c r="E14" s="182">
        <f>E31/13.5</f>
        <v>259.25925925925924</v>
      </c>
      <c r="F14" s="70">
        <f>((E14*D14))/1000</f>
        <v>26.887376543209879</v>
      </c>
      <c r="G14" s="171">
        <f>G31/13.5</f>
        <v>40.217037037037045</v>
      </c>
      <c r="H14" s="171"/>
      <c r="I14" s="183"/>
      <c r="J14" s="177"/>
      <c r="K14" s="177"/>
      <c r="L14" s="177"/>
      <c r="M14" s="177"/>
      <c r="N14" s="177"/>
      <c r="O14" s="177"/>
      <c r="P14" s="177"/>
      <c r="Q14" s="177"/>
      <c r="R14" s="174"/>
      <c r="S14" s="174"/>
      <c r="T14" s="174"/>
      <c r="U14" s="174"/>
      <c r="V14" s="174"/>
      <c r="W14" s="174"/>
      <c r="X14" s="174"/>
      <c r="Y14" s="174"/>
      <c r="Z14" s="174"/>
      <c r="AA14" s="174"/>
      <c r="AB14" s="174"/>
    </row>
    <row r="15" spans="1:28" x14ac:dyDescent="0.25">
      <c r="A15" s="175">
        <v>2024</v>
      </c>
      <c r="B15" s="176" t="s">
        <v>10</v>
      </c>
      <c r="C15" s="68">
        <f>C14</f>
        <v>113.77333333333333</v>
      </c>
      <c r="D15" s="68">
        <f>D14</f>
        <v>103.70845238095239</v>
      </c>
      <c r="E15" s="182">
        <f>E31/9</f>
        <v>388.88888888888891</v>
      </c>
      <c r="F15" s="70">
        <f>((E15*D15))/1000</f>
        <v>40.331064814814823</v>
      </c>
      <c r="G15" s="171">
        <f>G31/9</f>
        <v>60.32555555555556</v>
      </c>
      <c r="H15" s="171"/>
      <c r="I15" s="183"/>
      <c r="J15" s="177"/>
      <c r="K15" s="177"/>
      <c r="L15" s="177"/>
      <c r="M15" s="177"/>
      <c r="N15" s="177"/>
      <c r="O15" s="177"/>
      <c r="P15" s="177"/>
      <c r="Q15" s="177"/>
      <c r="R15" s="174"/>
      <c r="S15" s="174"/>
      <c r="T15" s="174"/>
      <c r="U15" s="174"/>
      <c r="V15" s="174"/>
      <c r="W15" s="174"/>
      <c r="X15" s="158"/>
      <c r="Y15" s="158"/>
      <c r="Z15" s="158"/>
      <c r="AA15" s="158"/>
      <c r="AB15" s="158"/>
    </row>
    <row r="16" spans="1:28" x14ac:dyDescent="0.25">
      <c r="A16" s="175">
        <v>2024</v>
      </c>
      <c r="B16" s="176" t="s">
        <v>11</v>
      </c>
      <c r="C16" s="68">
        <f t="shared" ref="C16:D24" si="1">C15</f>
        <v>113.77333333333333</v>
      </c>
      <c r="D16" s="68">
        <f t="shared" si="1"/>
        <v>103.70845238095239</v>
      </c>
      <c r="E16" s="182">
        <f>E31/7.2</f>
        <v>486.11111111111109</v>
      </c>
      <c r="F16" s="70">
        <f>((E16*D16))/1000</f>
        <v>50.413831018518529</v>
      </c>
      <c r="G16" s="171">
        <f>G31/7.2</f>
        <v>75.406944444444449</v>
      </c>
      <c r="H16" s="171"/>
      <c r="I16" s="183"/>
      <c r="J16" s="177"/>
      <c r="K16" s="177"/>
      <c r="L16" s="177"/>
      <c r="M16" s="177"/>
      <c r="N16" s="177"/>
      <c r="O16" s="177"/>
      <c r="P16" s="177"/>
      <c r="Q16" s="177"/>
      <c r="R16" s="174"/>
      <c r="S16" s="174"/>
      <c r="T16" s="174"/>
      <c r="U16" s="174"/>
      <c r="V16" s="174"/>
      <c r="W16" s="178"/>
      <c r="X16" s="179"/>
      <c r="Y16" s="179"/>
      <c r="Z16" s="71"/>
      <c r="AA16" s="179"/>
      <c r="AB16" s="179"/>
    </row>
    <row r="17" spans="1:28" x14ac:dyDescent="0.25">
      <c r="A17" s="175">
        <v>2024</v>
      </c>
      <c r="B17" s="176" t="s">
        <v>12</v>
      </c>
      <c r="C17" s="68">
        <f t="shared" si="1"/>
        <v>113.77333333333333</v>
      </c>
      <c r="D17" s="68">
        <f t="shared" si="1"/>
        <v>103.70845238095239</v>
      </c>
      <c r="E17" s="182">
        <f>E31/6.3529411</f>
        <v>550.9259325574418</v>
      </c>
      <c r="F17" s="70">
        <f t="shared" ref="F17:F22" si="2">((E17*D17))/1000</f>
        <v>57.13567584206524</v>
      </c>
      <c r="G17" s="171">
        <f>G31/6.3529411</f>
        <v>85.461204732403402</v>
      </c>
      <c r="H17" s="171"/>
      <c r="I17" s="183"/>
      <c r="J17" s="177"/>
      <c r="K17" s="177"/>
      <c r="L17" s="177"/>
      <c r="M17" s="177"/>
      <c r="N17" s="177"/>
      <c r="O17" s="177"/>
      <c r="P17" s="177"/>
      <c r="Q17" s="177"/>
      <c r="R17" s="174"/>
      <c r="S17" s="174"/>
      <c r="T17" s="174"/>
      <c r="U17" s="181"/>
      <c r="V17" s="174"/>
      <c r="W17" s="174"/>
      <c r="X17" s="174"/>
      <c r="Y17" s="174"/>
      <c r="Z17" s="174"/>
      <c r="AA17" s="174"/>
      <c r="AB17" s="174"/>
    </row>
    <row r="18" spans="1:28" x14ac:dyDescent="0.25">
      <c r="A18" s="175">
        <v>2024</v>
      </c>
      <c r="B18" s="176" t="s">
        <v>13</v>
      </c>
      <c r="C18" s="68">
        <f t="shared" si="1"/>
        <v>113.77333333333333</v>
      </c>
      <c r="D18" s="68">
        <f t="shared" si="1"/>
        <v>103.70845238095239</v>
      </c>
      <c r="E18" s="182">
        <f>E31/7.2</f>
        <v>486.11111111111109</v>
      </c>
      <c r="F18" s="70">
        <f t="shared" si="2"/>
        <v>50.413831018518529</v>
      </c>
      <c r="G18" s="171">
        <f>G31/7.2</f>
        <v>75.406944444444449</v>
      </c>
      <c r="H18" s="171"/>
      <c r="I18" s="183"/>
      <c r="J18" s="184"/>
      <c r="K18" s="184"/>
      <c r="L18" s="184"/>
      <c r="M18" s="184"/>
      <c r="N18" s="184"/>
      <c r="O18" s="184"/>
      <c r="P18" s="184"/>
      <c r="Q18" s="184"/>
    </row>
    <row r="19" spans="1:28" x14ac:dyDescent="0.25">
      <c r="A19" s="175">
        <v>2024</v>
      </c>
      <c r="B19" s="176" t="s">
        <v>14</v>
      </c>
      <c r="C19" s="68">
        <f t="shared" si="1"/>
        <v>113.77333333333333</v>
      </c>
      <c r="D19" s="68">
        <f t="shared" si="1"/>
        <v>103.70845238095239</v>
      </c>
      <c r="E19" s="182">
        <f>E31/9</f>
        <v>388.88888888888891</v>
      </c>
      <c r="F19" s="70">
        <f t="shared" si="2"/>
        <v>40.331064814814823</v>
      </c>
      <c r="G19" s="171">
        <f>G31/9</f>
        <v>60.32555555555556</v>
      </c>
      <c r="H19" s="171"/>
      <c r="I19" s="183"/>
      <c r="J19" s="184"/>
      <c r="K19" s="184"/>
      <c r="L19" s="184"/>
      <c r="M19" s="184"/>
      <c r="N19" s="184"/>
      <c r="O19" s="184"/>
      <c r="P19" s="184"/>
      <c r="Q19" s="184"/>
    </row>
    <row r="20" spans="1:28" x14ac:dyDescent="0.25">
      <c r="A20" s="175">
        <v>2024</v>
      </c>
      <c r="B20" s="176" t="s">
        <v>15</v>
      </c>
      <c r="C20" s="68">
        <f t="shared" si="1"/>
        <v>113.77333333333333</v>
      </c>
      <c r="D20" s="68">
        <f t="shared" si="1"/>
        <v>103.70845238095239</v>
      </c>
      <c r="E20" s="182">
        <f>E31/13.5</f>
        <v>259.25925925925924</v>
      </c>
      <c r="F20" s="70">
        <f t="shared" si="2"/>
        <v>26.887376543209879</v>
      </c>
      <c r="G20" s="171">
        <f>G31/13.5</f>
        <v>40.217037037037045</v>
      </c>
      <c r="H20" s="171"/>
      <c r="I20" s="183"/>
      <c r="J20" s="184"/>
      <c r="K20" s="184"/>
      <c r="L20" s="184"/>
      <c r="M20" s="184"/>
      <c r="N20" s="184"/>
      <c r="O20" s="184"/>
      <c r="P20" s="184"/>
      <c r="Q20" s="184"/>
    </row>
    <row r="21" spans="1:28" x14ac:dyDescent="0.25">
      <c r="A21" s="175">
        <v>2024</v>
      </c>
      <c r="B21" s="176" t="s">
        <v>16</v>
      </c>
      <c r="C21" s="68">
        <f t="shared" si="1"/>
        <v>113.77333333333333</v>
      </c>
      <c r="D21" s="68">
        <f t="shared" si="1"/>
        <v>103.70845238095239</v>
      </c>
      <c r="E21" s="182">
        <f>E31/13.5</f>
        <v>259.25925925925924</v>
      </c>
      <c r="F21" s="70">
        <f t="shared" si="2"/>
        <v>26.887376543209879</v>
      </c>
      <c r="G21" s="171">
        <f>G31/13.5</f>
        <v>40.217037037037045</v>
      </c>
      <c r="H21" s="171"/>
      <c r="I21" s="183"/>
      <c r="J21" s="184"/>
      <c r="K21" s="184"/>
      <c r="L21" s="184"/>
      <c r="M21" s="184"/>
      <c r="N21" s="184"/>
      <c r="O21" s="184"/>
      <c r="P21" s="184"/>
      <c r="Q21" s="184"/>
    </row>
    <row r="22" spans="1:28" x14ac:dyDescent="0.25">
      <c r="A22" s="175">
        <v>2024</v>
      </c>
      <c r="B22" s="176" t="s">
        <v>17</v>
      </c>
      <c r="C22" s="68">
        <f t="shared" si="1"/>
        <v>113.77333333333333</v>
      </c>
      <c r="D22" s="68">
        <f t="shared" si="1"/>
        <v>103.70845238095239</v>
      </c>
      <c r="E22" s="182">
        <f>E31/21.6</f>
        <v>162.03703703703704</v>
      </c>
      <c r="F22" s="70">
        <f t="shared" si="2"/>
        <v>16.804610339506176</v>
      </c>
      <c r="G22" s="171">
        <f>G31/21.6</f>
        <v>25.13564814814815</v>
      </c>
      <c r="H22" s="171"/>
      <c r="I22" s="183"/>
      <c r="J22" s="184"/>
      <c r="K22" s="184"/>
      <c r="L22" s="184"/>
      <c r="M22" s="184"/>
      <c r="N22" s="184"/>
      <c r="O22" s="184"/>
      <c r="P22" s="184"/>
      <c r="Q22" s="184"/>
    </row>
    <row r="23" spans="1:28" x14ac:dyDescent="0.25">
      <c r="A23" s="175">
        <v>2024</v>
      </c>
      <c r="B23" s="176" t="s">
        <v>18</v>
      </c>
      <c r="C23" s="68">
        <f t="shared" si="1"/>
        <v>113.77333333333333</v>
      </c>
      <c r="D23" s="68">
        <f t="shared" si="1"/>
        <v>103.70845238095239</v>
      </c>
      <c r="E23" s="180">
        <v>0</v>
      </c>
      <c r="F23" s="69">
        <v>0</v>
      </c>
      <c r="G23" s="171">
        <v>0</v>
      </c>
      <c r="H23" s="171"/>
      <c r="I23" s="172"/>
      <c r="J23" s="184"/>
      <c r="K23" s="184"/>
      <c r="L23" s="184"/>
      <c r="M23" s="184"/>
      <c r="N23" s="184"/>
      <c r="O23" s="184"/>
      <c r="P23" s="184"/>
      <c r="Q23" s="184"/>
    </row>
    <row r="24" spans="1:28" x14ac:dyDescent="0.25">
      <c r="A24" s="175">
        <v>2024</v>
      </c>
      <c r="B24" s="176" t="s">
        <v>19</v>
      </c>
      <c r="C24" s="68">
        <f t="shared" si="1"/>
        <v>113.77333333333333</v>
      </c>
      <c r="D24" s="68">
        <f t="shared" si="1"/>
        <v>103.70845238095239</v>
      </c>
      <c r="E24" s="180">
        <v>0</v>
      </c>
      <c r="F24" s="69">
        <v>0</v>
      </c>
      <c r="G24" s="171">
        <v>0</v>
      </c>
      <c r="H24" s="171"/>
      <c r="I24" s="172"/>
      <c r="J24" s="184"/>
      <c r="K24" s="184"/>
      <c r="L24" s="184"/>
      <c r="M24" s="184"/>
      <c r="N24" s="184"/>
      <c r="O24" s="184"/>
      <c r="P24" s="184"/>
      <c r="Q24" s="184"/>
    </row>
    <row r="25" spans="1:28" x14ac:dyDescent="0.25">
      <c r="A25" s="175">
        <v>2024</v>
      </c>
      <c r="B25" s="176" t="s">
        <v>20</v>
      </c>
      <c r="C25" s="68">
        <v>119.483333</v>
      </c>
      <c r="D25" s="68">
        <f>D13</f>
        <v>98.726428571428571</v>
      </c>
      <c r="E25" s="176">
        <v>0</v>
      </c>
      <c r="F25" s="69">
        <v>0</v>
      </c>
      <c r="G25" s="171">
        <v>0</v>
      </c>
      <c r="H25" s="171"/>
      <c r="I25" s="172"/>
      <c r="J25" s="184"/>
      <c r="K25" s="184"/>
      <c r="L25" s="184"/>
      <c r="M25" s="184"/>
      <c r="N25" s="184"/>
      <c r="O25" s="184"/>
      <c r="P25" s="184"/>
      <c r="Q25" s="184"/>
      <c r="AA25" s="185"/>
    </row>
    <row r="26" spans="1:28" x14ac:dyDescent="0.25">
      <c r="A26" s="175">
        <v>2024</v>
      </c>
      <c r="B26" s="176" t="s">
        <v>21</v>
      </c>
      <c r="C26" s="68">
        <v>119.483333</v>
      </c>
      <c r="D26" s="68">
        <f>D25</f>
        <v>98.726428571428571</v>
      </c>
      <c r="E26" s="176">
        <v>0</v>
      </c>
      <c r="F26" s="69">
        <v>0</v>
      </c>
      <c r="G26" s="171">
        <v>0</v>
      </c>
      <c r="H26" s="171"/>
      <c r="I26" s="172"/>
      <c r="J26" s="184"/>
      <c r="K26" s="184"/>
      <c r="L26" s="184"/>
      <c r="M26" s="184"/>
      <c r="N26" s="184"/>
      <c r="O26" s="184"/>
      <c r="P26" s="184"/>
      <c r="Q26" s="184"/>
    </row>
    <row r="27" spans="1:28" x14ac:dyDescent="0.25">
      <c r="A27" s="175">
        <v>2024</v>
      </c>
      <c r="B27" s="176" t="s">
        <v>22</v>
      </c>
      <c r="C27" s="68">
        <v>119.483333</v>
      </c>
      <c r="D27" s="68">
        <f t="shared" ref="D27:D29" si="3">D26</f>
        <v>98.726428571428571</v>
      </c>
      <c r="E27" s="176">
        <v>0</v>
      </c>
      <c r="F27" s="69">
        <v>0</v>
      </c>
      <c r="G27" s="171">
        <v>0</v>
      </c>
      <c r="H27" s="171"/>
      <c r="I27" s="172"/>
      <c r="J27" s="184"/>
      <c r="K27" s="184"/>
      <c r="L27" s="184"/>
      <c r="M27" s="184"/>
      <c r="N27" s="184"/>
      <c r="O27" s="184"/>
      <c r="P27" s="184"/>
      <c r="Q27" s="184"/>
    </row>
    <row r="28" spans="1:28" x14ac:dyDescent="0.25">
      <c r="A28" s="175">
        <v>2024</v>
      </c>
      <c r="B28" s="176" t="s">
        <v>23</v>
      </c>
      <c r="C28" s="68">
        <v>119.483333</v>
      </c>
      <c r="D28" s="68">
        <f t="shared" si="3"/>
        <v>98.726428571428571</v>
      </c>
      <c r="E28" s="176">
        <v>0</v>
      </c>
      <c r="F28" s="69">
        <v>0</v>
      </c>
      <c r="G28" s="171">
        <v>0</v>
      </c>
      <c r="H28" s="171"/>
      <c r="I28" s="172"/>
      <c r="J28" s="184"/>
      <c r="K28" s="184"/>
      <c r="L28" s="184"/>
      <c r="M28" s="184"/>
      <c r="N28" s="184"/>
      <c r="O28" s="184"/>
      <c r="P28" s="184"/>
      <c r="Q28" s="184"/>
    </row>
    <row r="29" spans="1:28" x14ac:dyDescent="0.25">
      <c r="A29" s="175">
        <v>2024</v>
      </c>
      <c r="B29" s="176" t="s">
        <v>24</v>
      </c>
      <c r="C29" s="68">
        <v>119.483333</v>
      </c>
      <c r="D29" s="68">
        <f t="shared" si="3"/>
        <v>98.726428571428571</v>
      </c>
      <c r="E29" s="176">
        <v>0</v>
      </c>
      <c r="F29" s="69">
        <v>0</v>
      </c>
      <c r="G29" s="171">
        <v>0</v>
      </c>
      <c r="H29" s="171"/>
      <c r="I29" s="172"/>
      <c r="J29" s="184"/>
      <c r="K29" s="184"/>
      <c r="L29" s="184"/>
      <c r="M29" s="184"/>
      <c r="N29" s="184"/>
      <c r="O29" s="184"/>
      <c r="P29" s="184"/>
      <c r="Q29" s="184"/>
    </row>
    <row r="30" spans="1:28" x14ac:dyDescent="0.25">
      <c r="A30" s="175">
        <v>2024</v>
      </c>
      <c r="B30" s="176" t="s">
        <v>25</v>
      </c>
      <c r="C30" s="68">
        <f>C9</f>
        <v>98.351666666666674</v>
      </c>
      <c r="D30" s="68">
        <f>D8</f>
        <v>85.606309523809514</v>
      </c>
      <c r="E30" s="176">
        <v>0</v>
      </c>
      <c r="F30" s="69">
        <v>0</v>
      </c>
      <c r="G30" s="171">
        <v>0</v>
      </c>
      <c r="H30" s="171"/>
      <c r="I30" s="172"/>
      <c r="J30" s="184"/>
      <c r="K30" s="184"/>
      <c r="L30" s="184"/>
      <c r="M30" s="184"/>
      <c r="N30" s="184"/>
      <c r="O30" s="184"/>
      <c r="P30" s="184"/>
      <c r="Q30" s="184"/>
    </row>
    <row r="31" spans="1:28" ht="15.75" thickBot="1" x14ac:dyDescent="0.3">
      <c r="A31" s="186"/>
      <c r="B31" s="187"/>
      <c r="C31" s="187"/>
      <c r="D31" s="187"/>
      <c r="E31" s="188">
        <f>D3</f>
        <v>3500</v>
      </c>
      <c r="F31" s="72">
        <f>SUM(F7:F30)</f>
        <v>360.41238108897886</v>
      </c>
      <c r="G31" s="171">
        <f>'analisi accumulo prosumer'!M14</f>
        <v>542.93000000000006</v>
      </c>
      <c r="H31" s="171"/>
      <c r="I31" s="171"/>
    </row>
    <row r="32" spans="1:28" ht="15.75" thickBot="1" x14ac:dyDescent="0.3">
      <c r="G32" s="189"/>
      <c r="H32" s="189"/>
      <c r="I32" s="189"/>
    </row>
    <row r="33" spans="1:25" ht="45.75" customHeight="1" x14ac:dyDescent="0.25">
      <c r="A33" s="305" t="s">
        <v>86</v>
      </c>
      <c r="B33" s="306"/>
      <c r="C33" s="306"/>
      <c r="D33" s="307"/>
      <c r="E33" s="192"/>
      <c r="F33" s="192"/>
    </row>
    <row r="34" spans="1:25" ht="33" customHeight="1" x14ac:dyDescent="0.25">
      <c r="A34" s="193" t="s">
        <v>44</v>
      </c>
      <c r="B34" s="194" t="s">
        <v>89</v>
      </c>
      <c r="C34" s="195" t="s">
        <v>90</v>
      </c>
      <c r="D34" s="196" t="s">
        <v>91</v>
      </c>
      <c r="E34" s="197"/>
      <c r="F34" s="197"/>
      <c r="G34" s="174"/>
      <c r="H34" s="174"/>
      <c r="I34" s="174"/>
    </row>
    <row r="35" spans="1:25" ht="28.5" customHeight="1" thickBot="1" x14ac:dyDescent="0.3">
      <c r="A35" s="198">
        <f>E3</f>
        <v>1800</v>
      </c>
      <c r="B35" s="199">
        <f>A35*0.16</f>
        <v>288</v>
      </c>
      <c r="C35" s="200">
        <f>A35*0.33</f>
        <v>594</v>
      </c>
      <c r="D35" s="201">
        <f>A35*0.51</f>
        <v>918</v>
      </c>
      <c r="E35" s="197"/>
      <c r="F35" s="197"/>
      <c r="G35" s="174"/>
      <c r="H35" s="174"/>
      <c r="I35" s="174"/>
    </row>
    <row r="36" spans="1:25" ht="32.25" customHeight="1" x14ac:dyDescent="0.25">
      <c r="A36" s="308" t="s">
        <v>100</v>
      </c>
      <c r="B36" s="309"/>
      <c r="C36" s="309"/>
      <c r="D36" s="310"/>
      <c r="E36" s="197"/>
      <c r="F36" s="197"/>
      <c r="G36" s="174"/>
      <c r="H36" s="174"/>
      <c r="I36" s="174"/>
    </row>
    <row r="37" spans="1:25" ht="32.25" customHeight="1" x14ac:dyDescent="0.25">
      <c r="A37" s="202">
        <f>B37+C37+D37</f>
        <v>194.02664980200001</v>
      </c>
      <c r="B37" s="203">
        <f>B35*C19/1000</f>
        <v>32.766719999999999</v>
      </c>
      <c r="C37" s="204">
        <f>C35*C26/1000</f>
        <v>70.973099801999993</v>
      </c>
      <c r="D37" s="205">
        <f>D35*C30/1000</f>
        <v>90.286829999999995</v>
      </c>
      <c r="E37" s="197"/>
      <c r="F37" s="192"/>
      <c r="G37" s="174"/>
      <c r="H37" s="174"/>
      <c r="I37" s="174"/>
    </row>
    <row r="38" spans="1:25" ht="32.25" customHeight="1" thickBot="1" x14ac:dyDescent="0.3">
      <c r="A38" s="311">
        <f>A37/A35</f>
        <v>0.10779258322333334</v>
      </c>
      <c r="B38" s="312"/>
      <c r="C38" s="312"/>
      <c r="D38" s="313"/>
      <c r="E38" s="197"/>
      <c r="F38" s="197"/>
      <c r="G38" s="174"/>
      <c r="H38" s="174"/>
      <c r="I38" s="174"/>
    </row>
    <row r="39" spans="1:25" ht="32.25" customHeight="1" x14ac:dyDescent="0.25">
      <c r="A39" s="197"/>
      <c r="B39" s="197"/>
      <c r="C39" s="197"/>
      <c r="D39" s="197"/>
      <c r="E39" s="197"/>
      <c r="F39" s="197"/>
      <c r="G39" s="174"/>
      <c r="H39" s="174"/>
      <c r="I39" s="174"/>
    </row>
    <row r="40" spans="1:25" s="166" customFormat="1" ht="32.25" customHeight="1" thickBot="1" x14ac:dyDescent="0.3">
      <c r="A40" s="197"/>
      <c r="B40" s="197"/>
      <c r="C40" s="197"/>
      <c r="D40" s="197"/>
      <c r="E40" s="197"/>
      <c r="F40" s="197"/>
      <c r="G40" s="174"/>
      <c r="H40" s="174"/>
      <c r="I40" s="174"/>
    </row>
    <row r="41" spans="1:25" s="166" customFormat="1" ht="32.25" customHeight="1" thickBot="1" x14ac:dyDescent="0.3">
      <c r="A41" s="297" t="s">
        <v>87</v>
      </c>
      <c r="B41" s="298"/>
      <c r="C41" s="298"/>
      <c r="D41" s="298"/>
      <c r="E41" s="299"/>
      <c r="F41" s="192"/>
      <c r="G41" s="192"/>
      <c r="H41" s="192"/>
      <c r="I41" s="192"/>
    </row>
    <row r="42" spans="1:25" s="166" customFormat="1" ht="38.25" customHeight="1" x14ac:dyDescent="0.25">
      <c r="A42" s="206"/>
      <c r="B42" s="190" t="s">
        <v>96</v>
      </c>
      <c r="C42" s="190" t="s">
        <v>81</v>
      </c>
      <c r="D42" s="190" t="s">
        <v>102</v>
      </c>
      <c r="E42" s="191" t="s">
        <v>97</v>
      </c>
      <c r="F42" s="192"/>
      <c r="G42" s="207"/>
      <c r="H42" s="207"/>
      <c r="I42" s="207"/>
      <c r="J42" s="207"/>
      <c r="K42" s="207"/>
      <c r="L42" s="207"/>
      <c r="M42" s="207"/>
      <c r="N42" s="207"/>
      <c r="O42" s="207"/>
      <c r="P42" s="207"/>
      <c r="Q42" s="207"/>
    </row>
    <row r="43" spans="1:25" s="166" customFormat="1" ht="32.25" customHeight="1" x14ac:dyDescent="0.25">
      <c r="A43" s="208" t="s">
        <v>43</v>
      </c>
      <c r="B43" s="282">
        <f>F31</f>
        <v>360.41238108897886</v>
      </c>
      <c r="C43" s="282">
        <f>B43*0.35</f>
        <v>126.14433338114259</v>
      </c>
      <c r="D43" s="282">
        <v>29</v>
      </c>
      <c r="E43" s="283">
        <f>B43-C43-D43</f>
        <v>205.26804770783627</v>
      </c>
      <c r="F43" s="209"/>
      <c r="G43" s="210"/>
      <c r="H43" s="210"/>
      <c r="I43" s="210"/>
      <c r="J43" s="211"/>
      <c r="K43" s="211"/>
      <c r="L43" s="211"/>
      <c r="M43" s="211"/>
      <c r="N43" s="211"/>
      <c r="O43" s="211"/>
      <c r="P43" s="211"/>
      <c r="Q43" s="211"/>
    </row>
    <row r="44" spans="1:25" s="166" customFormat="1" ht="32.25" customHeight="1" thickBot="1" x14ac:dyDescent="0.3">
      <c r="A44" s="212" t="s">
        <v>74</v>
      </c>
      <c r="B44" s="284">
        <f>'Vantaggio Energy Cloud'!G27</f>
        <v>439.49499335373901</v>
      </c>
      <c r="C44" s="284">
        <v>0</v>
      </c>
      <c r="D44" s="284">
        <v>0</v>
      </c>
      <c r="E44" s="285">
        <f>'Vantaggio Energy Cloud'!G27-'Vantaggio Energy Cloud'!I27-'Vantaggio Energy Cloud'!J27</f>
        <v>324.59499335373903</v>
      </c>
      <c r="F44" s="213"/>
      <c r="G44" s="214"/>
      <c r="H44" s="214"/>
      <c r="I44" s="214"/>
      <c r="J44" s="211"/>
      <c r="K44" s="211"/>
      <c r="L44" s="211"/>
      <c r="M44" s="211"/>
      <c r="N44" s="211"/>
      <c r="O44" s="211"/>
      <c r="P44" s="211"/>
      <c r="Q44" s="211"/>
    </row>
    <row r="45" spans="1:25" ht="31.5" customHeight="1" x14ac:dyDescent="0.3">
      <c r="A45" s="215"/>
      <c r="B45" s="216"/>
      <c r="C45" s="217"/>
      <c r="D45" s="217"/>
      <c r="E45" s="217"/>
      <c r="F45" s="217"/>
      <c r="G45" s="217"/>
      <c r="H45" s="217"/>
      <c r="I45" s="217"/>
      <c r="J45" s="218"/>
      <c r="K45" s="218"/>
      <c r="L45" s="218"/>
      <c r="M45" s="218"/>
      <c r="N45" s="218"/>
      <c r="O45" s="218"/>
      <c r="P45" s="219"/>
      <c r="Q45" s="220"/>
      <c r="R45" s="184"/>
      <c r="S45" s="184"/>
      <c r="T45" s="184"/>
      <c r="U45" s="184"/>
      <c r="V45" s="184"/>
      <c r="W45" s="184"/>
      <c r="X45" s="184"/>
      <c r="Y45" s="184"/>
    </row>
    <row r="46" spans="1:25" ht="29.25" customHeight="1" x14ac:dyDescent="0.25">
      <c r="A46" s="321" t="s">
        <v>101</v>
      </c>
      <c r="B46" s="322"/>
      <c r="C46" s="322"/>
      <c r="D46" s="322"/>
      <c r="E46" s="322"/>
      <c r="F46" s="322"/>
      <c r="G46" s="322"/>
      <c r="H46" s="322"/>
      <c r="I46" s="322"/>
      <c r="J46" s="322"/>
      <c r="K46" s="322"/>
      <c r="L46" s="322"/>
      <c r="M46" s="322"/>
      <c r="N46" s="322"/>
      <c r="O46" s="323"/>
      <c r="P46" s="207"/>
      <c r="Q46" s="207"/>
      <c r="R46" s="317"/>
      <c r="S46" s="317"/>
      <c r="T46" s="317"/>
      <c r="U46" s="317"/>
      <c r="V46" s="221"/>
      <c r="W46" s="184"/>
      <c r="X46" s="184"/>
      <c r="Y46" s="184"/>
    </row>
    <row r="47" spans="1:25" s="166" customFormat="1" ht="48.75" customHeight="1" x14ac:dyDescent="0.25">
      <c r="A47" s="222" t="s">
        <v>80</v>
      </c>
      <c r="B47" s="222" t="s">
        <v>94</v>
      </c>
      <c r="C47" s="222" t="s">
        <v>92</v>
      </c>
      <c r="D47" s="222" t="s">
        <v>93</v>
      </c>
      <c r="E47" s="222" t="s">
        <v>103</v>
      </c>
      <c r="F47" s="222" t="s">
        <v>96</v>
      </c>
      <c r="G47" s="223" t="s">
        <v>95</v>
      </c>
      <c r="H47" s="223" t="s">
        <v>232</v>
      </c>
      <c r="I47" s="223" t="s">
        <v>98</v>
      </c>
      <c r="J47" s="222" t="s">
        <v>99</v>
      </c>
      <c r="K47" s="222" t="s">
        <v>235</v>
      </c>
      <c r="L47" s="222" t="s">
        <v>236</v>
      </c>
      <c r="M47" s="269" t="s">
        <v>238</v>
      </c>
      <c r="N47" s="269" t="s">
        <v>230</v>
      </c>
      <c r="O47" s="222" t="s">
        <v>240</v>
      </c>
      <c r="P47" s="320"/>
      <c r="Q47" s="320"/>
      <c r="R47" s="192"/>
      <c r="S47" s="192"/>
      <c r="T47" s="192"/>
      <c r="U47" s="207"/>
      <c r="V47" s="224"/>
      <c r="W47" s="177"/>
      <c r="X47" s="177"/>
      <c r="Y47" s="177"/>
    </row>
    <row r="48" spans="1:25" s="166" customFormat="1" ht="18.75" x14ac:dyDescent="0.3">
      <c r="A48" s="225" t="s">
        <v>176</v>
      </c>
      <c r="B48" s="279">
        <f>A35</f>
        <v>1800</v>
      </c>
      <c r="C48" s="226">
        <f>A37/A35</f>
        <v>0.10779258322333334</v>
      </c>
      <c r="D48" s="226">
        <f>'Vantaggio Energy Cloud'!D3/1000</f>
        <v>5.0000000000000001E-3</v>
      </c>
      <c r="E48" s="226">
        <f>(C48+D48)*'Simulazione costi fissi'!K14</f>
        <v>0.12808819839337943</v>
      </c>
      <c r="F48" s="226">
        <f>(B48*(C48+D48+E48))</f>
        <v>433.58540691008301</v>
      </c>
      <c r="G48" s="227">
        <f>F48*0.1</f>
        <v>43.358540691008301</v>
      </c>
      <c r="H48" s="227">
        <v>0</v>
      </c>
      <c r="I48" s="227">
        <f>(F48+G48)*0.1</f>
        <v>47.694394760109134</v>
      </c>
      <c r="J48" s="227">
        <f>F48+G48+I48</f>
        <v>524.63834236120044</v>
      </c>
      <c r="K48" s="227">
        <f>E43</f>
        <v>205.26804770783627</v>
      </c>
      <c r="L48" s="227">
        <v>0</v>
      </c>
      <c r="M48" s="270">
        <v>0</v>
      </c>
      <c r="N48" s="270">
        <f>J48-K48</f>
        <v>319.37029465336417</v>
      </c>
      <c r="O48" s="227">
        <v>0</v>
      </c>
      <c r="P48" s="207"/>
      <c r="Q48" s="228"/>
      <c r="R48" s="207"/>
      <c r="S48" s="228"/>
      <c r="T48" s="228"/>
      <c r="U48" s="229"/>
      <c r="V48" s="230"/>
      <c r="W48" s="177"/>
      <c r="X48" s="177"/>
      <c r="Y48" s="177"/>
    </row>
    <row r="49" spans="1:25" ht="18.75" x14ac:dyDescent="0.3">
      <c r="A49" s="231" t="s">
        <v>175</v>
      </c>
      <c r="B49" s="280">
        <f>A35</f>
        <v>1800</v>
      </c>
      <c r="C49" s="232">
        <f>C48</f>
        <v>0.10779258322333334</v>
      </c>
      <c r="D49" s="232">
        <v>0</v>
      </c>
      <c r="E49" s="232">
        <f>E48</f>
        <v>0.12808819839337943</v>
      </c>
      <c r="F49" s="233">
        <f>(B49*(C49+D49+E49))</f>
        <v>424.58540691008301</v>
      </c>
      <c r="G49" s="234">
        <f>F49*0.1</f>
        <v>42.458540691008302</v>
      </c>
      <c r="H49" s="234">
        <f>E44</f>
        <v>324.59499335373903</v>
      </c>
      <c r="I49" s="235">
        <f>(F49+G49-H49)*0.1</f>
        <v>14.244895424735228</v>
      </c>
      <c r="J49" s="234">
        <f>F49+G49-H49+I49</f>
        <v>156.69384967208751</v>
      </c>
      <c r="K49" s="234">
        <v>0</v>
      </c>
      <c r="L49" s="234">
        <f>IF(K55="No",(Flex!F25-Flex!G25)*0,(Flex!F25-Flex!G25)*1)</f>
        <v>605.90974477289114</v>
      </c>
      <c r="M49" s="271">
        <f>(IF(K55="No", (((I56*240)*C48)), ((I56*240)*C48)*0))*0.9</f>
        <v>0</v>
      </c>
      <c r="N49" s="271">
        <f>MAX(0,J49-L49-M49)</f>
        <v>0</v>
      </c>
      <c r="O49" s="234">
        <f>(MAX(0,L49-J49))+(MAX(0,M49-J49))</f>
        <v>449.21589510080366</v>
      </c>
      <c r="P49" s="207"/>
      <c r="Q49" s="228"/>
      <c r="R49" s="207"/>
      <c r="S49" s="236"/>
      <c r="T49" s="236"/>
      <c r="U49" s="229"/>
      <c r="V49" s="230"/>
      <c r="W49" s="184"/>
      <c r="X49" s="184"/>
      <c r="Y49" s="184"/>
    </row>
    <row r="50" spans="1:25" ht="39.75" customHeight="1" x14ac:dyDescent="0.3">
      <c r="A50" s="237" t="s">
        <v>229</v>
      </c>
      <c r="B50" s="280">
        <f>D3</f>
        <v>3500</v>
      </c>
      <c r="C50" s="232">
        <f>C48*0.9</f>
        <v>9.7013324901000009E-2</v>
      </c>
      <c r="D50" s="232">
        <v>0</v>
      </c>
      <c r="E50" s="232">
        <f>E48</f>
        <v>0.12808819839337943</v>
      </c>
      <c r="F50" s="233">
        <f>(B50*(C50+D50+E50))</f>
        <v>787.85533153032804</v>
      </c>
      <c r="G50" s="234">
        <f>F50*0.1</f>
        <v>78.785533153032816</v>
      </c>
      <c r="H50" s="234" t="s">
        <v>233</v>
      </c>
      <c r="I50" s="235">
        <f>(F50+G50)*0.1</f>
        <v>86.664086468336095</v>
      </c>
      <c r="J50" s="234">
        <f>F50+G50+I50</f>
        <v>953.30495115169697</v>
      </c>
      <c r="K50" s="234">
        <f>'Vantaggio Energy Cloud'!K28</f>
        <v>0</v>
      </c>
      <c r="L50" s="234">
        <v>0</v>
      </c>
      <c r="M50" s="271">
        <v>0</v>
      </c>
      <c r="N50" s="271">
        <f>J50-K50</f>
        <v>953.30495115169697</v>
      </c>
      <c r="O50" s="234">
        <v>0</v>
      </c>
      <c r="P50" s="207"/>
      <c r="Q50" s="240"/>
      <c r="R50" s="207"/>
      <c r="S50" s="236"/>
      <c r="T50" s="236"/>
      <c r="U50" s="229"/>
      <c r="V50" s="230"/>
      <c r="W50" s="184"/>
      <c r="X50" s="184"/>
      <c r="Y50" s="184"/>
    </row>
    <row r="51" spans="1:25" ht="33" customHeight="1" x14ac:dyDescent="0.3">
      <c r="A51" s="238" t="s">
        <v>234</v>
      </c>
      <c r="B51" s="281">
        <f>B50</f>
        <v>3500</v>
      </c>
      <c r="C51" s="239">
        <f>C48</f>
        <v>0.10779258322333334</v>
      </c>
      <c r="D51" s="239">
        <f>D48</f>
        <v>5.0000000000000001E-3</v>
      </c>
      <c r="E51" s="239">
        <f>E48</f>
        <v>0.12808819839337943</v>
      </c>
      <c r="F51" s="226">
        <f>(B51*(C51+D51+E51))</f>
        <v>843.0827356584947</v>
      </c>
      <c r="G51" s="227">
        <f>F51*0.1</f>
        <v>84.308273565849476</v>
      </c>
      <c r="H51" s="227">
        <v>0</v>
      </c>
      <c r="I51" s="227">
        <f>(F51+G51)*0.1</f>
        <v>92.739100922434432</v>
      </c>
      <c r="J51" s="227">
        <f>F51+G51+I51</f>
        <v>1020.1301101467786</v>
      </c>
      <c r="K51" s="227">
        <f>'Vantaggio Energy Cloud'!K29</f>
        <v>0</v>
      </c>
      <c r="L51" s="227">
        <v>0</v>
      </c>
      <c r="M51" s="270">
        <v>0</v>
      </c>
      <c r="N51" s="270">
        <f>J51-K51</f>
        <v>1020.1301101467786</v>
      </c>
      <c r="O51" s="286">
        <v>0</v>
      </c>
      <c r="P51" s="207"/>
      <c r="Q51" s="240"/>
      <c r="R51" s="207"/>
      <c r="S51" s="236"/>
      <c r="T51" s="236"/>
      <c r="U51" s="229"/>
      <c r="V51" s="230"/>
      <c r="W51" s="184"/>
      <c r="X51" s="184"/>
      <c r="Y51" s="184"/>
    </row>
    <row r="52" spans="1:25" ht="33" customHeight="1" x14ac:dyDescent="0.3">
      <c r="A52" s="392" t="s">
        <v>245</v>
      </c>
      <c r="B52" s="281">
        <f>D55</f>
        <v>7000</v>
      </c>
      <c r="C52" s="239">
        <v>0.10779258322333334</v>
      </c>
      <c r="D52" s="239">
        <v>5.0000000000000001E-3</v>
      </c>
      <c r="E52" s="239">
        <v>0.12808819839337943</v>
      </c>
      <c r="F52" s="226">
        <f>(B52*(C52+D52+E52))</f>
        <v>1686.1654713169894</v>
      </c>
      <c r="G52" s="227">
        <f>F52*0.1</f>
        <v>168.61654713169895</v>
      </c>
      <c r="H52" s="227">
        <v>0</v>
      </c>
      <c r="I52" s="227">
        <f>(F52+G52)*0.1</f>
        <v>185.47820184486886</v>
      </c>
      <c r="J52" s="227">
        <f>F52+G52+I52</f>
        <v>2040.2602202935573</v>
      </c>
      <c r="K52" s="227">
        <v>0</v>
      </c>
      <c r="L52" s="227">
        <v>0</v>
      </c>
      <c r="M52" s="227">
        <v>0</v>
      </c>
      <c r="N52" s="227">
        <f>J52-K52</f>
        <v>2040.2602202935573</v>
      </c>
      <c r="O52" s="286">
        <v>0</v>
      </c>
      <c r="P52" s="207"/>
      <c r="Q52" s="240"/>
      <c r="R52" s="207"/>
      <c r="S52" s="236"/>
      <c r="T52" s="236"/>
      <c r="U52" s="229"/>
      <c r="V52" s="230"/>
      <c r="W52" s="184"/>
      <c r="X52" s="184"/>
      <c r="Y52" s="184"/>
    </row>
    <row r="53" spans="1:25" ht="18.75" x14ac:dyDescent="0.3">
      <c r="A53" s="241"/>
      <c r="B53" s="241"/>
      <c r="C53" s="242"/>
      <c r="D53" s="242"/>
      <c r="E53" s="242"/>
      <c r="F53" s="242"/>
      <c r="G53" s="242"/>
      <c r="H53" s="242"/>
      <c r="I53" s="242"/>
      <c r="J53" s="242"/>
      <c r="K53" s="242"/>
      <c r="L53" s="242"/>
      <c r="M53" s="242"/>
      <c r="N53" s="242"/>
      <c r="O53" s="242"/>
      <c r="P53" s="173"/>
      <c r="Q53" s="173"/>
      <c r="R53" s="243"/>
      <c r="S53" s="236"/>
      <c r="T53" s="236"/>
      <c r="U53" s="229"/>
      <c r="V53" s="230"/>
      <c r="W53" s="177"/>
      <c r="X53" s="177"/>
      <c r="Y53" s="177"/>
    </row>
    <row r="54" spans="1:25" ht="31.5" customHeight="1" x14ac:dyDescent="0.25">
      <c r="A54" s="245" t="s">
        <v>245</v>
      </c>
      <c r="B54" s="245" t="s">
        <v>104</v>
      </c>
      <c r="C54" s="244" t="s">
        <v>244</v>
      </c>
      <c r="D54" s="245" t="s">
        <v>252</v>
      </c>
      <c r="E54" s="245" t="s">
        <v>246</v>
      </c>
      <c r="F54" s="245" t="s">
        <v>250</v>
      </c>
      <c r="G54" s="245" t="s">
        <v>105</v>
      </c>
      <c r="H54" s="245" t="s">
        <v>242</v>
      </c>
      <c r="I54" s="272" t="s">
        <v>108</v>
      </c>
      <c r="J54" s="245" t="s">
        <v>106</v>
      </c>
      <c r="K54" s="273" t="s">
        <v>237</v>
      </c>
      <c r="L54" s="246">
        <f>IF(F3=1,16,IF(F3=0,I56))</f>
        <v>12</v>
      </c>
      <c r="M54" s="177"/>
      <c r="P54" s="184"/>
      <c r="Q54" s="184"/>
      <c r="R54" s="177"/>
      <c r="S54" s="177"/>
      <c r="T54" s="177"/>
      <c r="U54" s="177"/>
      <c r="V54" s="177"/>
      <c r="W54" s="184"/>
      <c r="X54" s="184"/>
      <c r="Y54" s="184"/>
    </row>
    <row r="55" spans="1:25" ht="42" customHeight="1" x14ac:dyDescent="0.25">
      <c r="A55" s="394" t="s">
        <v>251</v>
      </c>
      <c r="B55" s="268">
        <f>IF(H55="Nord",G55*1010,IF(H55="Centro",G55*1200,IF(H55="Sud",G55*1320)))</f>
        <v>7200</v>
      </c>
      <c r="C55" s="287">
        <f>IF(A55="Fotovoltaico No",B55-F55,C56)</f>
        <v>3500</v>
      </c>
      <c r="D55" s="290">
        <v>7000</v>
      </c>
      <c r="E55" s="268">
        <f>IF(A55="Fotovoltaico No",D55-F55,E56)</f>
        <v>1800</v>
      </c>
      <c r="F55" s="268">
        <f>B55*0.3+(I56*220)</f>
        <v>4800</v>
      </c>
      <c r="G55" s="156">
        <v>6</v>
      </c>
      <c r="H55" s="156" t="s">
        <v>243</v>
      </c>
      <c r="I55" s="247">
        <f>(I56*G3)+(F3*16)</f>
        <v>12</v>
      </c>
      <c r="J55" s="274" t="s">
        <v>107</v>
      </c>
      <c r="K55" s="278" t="s">
        <v>239</v>
      </c>
      <c r="L55" s="242"/>
      <c r="M55" s="289">
        <f>(IF(K55="No", (((I56*240)*C48)), ((I56*240)*C48)*0))</f>
        <v>0</v>
      </c>
      <c r="N55" s="242"/>
      <c r="O55" s="242"/>
      <c r="P55" s="173"/>
      <c r="Q55" s="173"/>
      <c r="R55" s="248"/>
      <c r="S55" s="177"/>
      <c r="T55" s="177"/>
      <c r="U55" s="177"/>
      <c r="V55" s="177"/>
      <c r="W55" s="177"/>
      <c r="X55" s="177"/>
      <c r="Y55" s="177"/>
    </row>
    <row r="56" spans="1:25" x14ac:dyDescent="0.25">
      <c r="A56" s="241"/>
      <c r="B56" s="241"/>
      <c r="C56" s="393">
        <v>3500</v>
      </c>
      <c r="D56" s="171"/>
      <c r="E56" s="393">
        <v>1800</v>
      </c>
      <c r="F56" s="241"/>
      <c r="G56" s="241"/>
      <c r="H56" s="241"/>
      <c r="I56" s="77">
        <v>12</v>
      </c>
      <c r="J56" s="241"/>
      <c r="K56" s="241"/>
      <c r="L56" s="241"/>
      <c r="M56" s="241"/>
      <c r="N56" s="241"/>
      <c r="O56" s="241"/>
      <c r="P56" s="248"/>
      <c r="Q56" s="248"/>
      <c r="R56" s="248"/>
      <c r="S56" s="177"/>
      <c r="T56" s="177"/>
      <c r="U56" s="177"/>
      <c r="V56" s="177"/>
      <c r="W56" s="177"/>
      <c r="X56" s="177"/>
      <c r="Y56" s="177"/>
    </row>
    <row r="57" spans="1:25" x14ac:dyDescent="0.25">
      <c r="A57" s="166"/>
      <c r="B57" s="166"/>
      <c r="C57" s="166"/>
      <c r="D57" s="166"/>
      <c r="E57" s="166"/>
      <c r="F57" s="166"/>
      <c r="G57" s="166"/>
      <c r="H57" s="166"/>
      <c r="I57" s="166"/>
      <c r="J57" s="166"/>
      <c r="K57" s="166"/>
      <c r="L57" s="166"/>
      <c r="M57" s="166"/>
      <c r="N57" s="166"/>
      <c r="O57" s="166"/>
      <c r="P57" s="177"/>
      <c r="Q57" s="177"/>
      <c r="R57" s="177"/>
      <c r="S57" s="177"/>
      <c r="T57" s="177"/>
      <c r="U57" s="177"/>
      <c r="V57" s="177"/>
      <c r="W57" s="177"/>
      <c r="X57" s="177"/>
      <c r="Y57" s="177"/>
    </row>
    <row r="58" spans="1:25" ht="18.75" customHeight="1" x14ac:dyDescent="0.3">
      <c r="A58" s="249"/>
      <c r="B58" s="249"/>
      <c r="C58" s="249"/>
      <c r="D58" s="249"/>
      <c r="E58" s="249"/>
      <c r="F58" s="249"/>
      <c r="G58" s="249"/>
      <c r="H58" s="249"/>
      <c r="I58" s="249"/>
      <c r="J58" s="249"/>
      <c r="K58" s="249"/>
      <c r="L58" s="249"/>
      <c r="M58" s="249"/>
      <c r="N58" s="249"/>
      <c r="O58" s="249"/>
      <c r="P58" s="250"/>
      <c r="Q58" s="250"/>
      <c r="R58" s="177"/>
      <c r="S58" s="177"/>
      <c r="T58" s="177"/>
      <c r="U58" s="177"/>
      <c r="V58" s="177"/>
      <c r="W58" s="177"/>
      <c r="X58" s="177"/>
      <c r="Y58" s="177"/>
    </row>
    <row r="59" spans="1:25" ht="18.75" x14ac:dyDescent="0.3">
      <c r="A59" s="249"/>
      <c r="B59" s="249"/>
      <c r="C59" s="249"/>
      <c r="D59" s="249"/>
      <c r="E59" s="249"/>
      <c r="F59" s="249"/>
      <c r="G59" s="249"/>
      <c r="H59" s="249"/>
      <c r="I59" s="249"/>
      <c r="J59" s="249"/>
      <c r="K59" s="249"/>
      <c r="L59" s="249"/>
      <c r="M59" s="249"/>
      <c r="N59" s="249"/>
      <c r="O59" s="249"/>
      <c r="P59" s="249"/>
      <c r="Q59" s="249"/>
      <c r="R59" s="166"/>
      <c r="S59" s="166"/>
      <c r="T59" s="166"/>
      <c r="U59" s="166"/>
      <c r="V59" s="166"/>
      <c r="W59" s="166"/>
      <c r="X59" s="166"/>
      <c r="Y59" s="166"/>
    </row>
    <row r="60" spans="1:25" ht="33.75" customHeight="1" x14ac:dyDescent="0.3">
      <c r="A60" s="319" t="s">
        <v>109</v>
      </c>
      <c r="B60" s="319"/>
      <c r="C60" s="319"/>
      <c r="D60" s="319"/>
      <c r="E60" s="319"/>
      <c r="F60" s="319"/>
      <c r="G60" s="319"/>
      <c r="H60" s="319"/>
      <c r="I60" s="319"/>
      <c r="J60" s="319"/>
      <c r="K60" s="249"/>
      <c r="L60" s="249"/>
      <c r="M60" s="249"/>
      <c r="N60" s="249"/>
      <c r="O60" s="249"/>
      <c r="P60" s="249"/>
      <c r="Q60" s="249"/>
      <c r="R60" s="251"/>
      <c r="S60" s="251"/>
      <c r="T60" s="251"/>
      <c r="U60" s="251"/>
      <c r="V60" s="251"/>
      <c r="W60" s="166"/>
      <c r="X60" s="166"/>
      <c r="Y60" s="166"/>
    </row>
    <row r="61" spans="1:25" ht="18.75" x14ac:dyDescent="0.3">
      <c r="A61" s="319"/>
      <c r="B61" s="319"/>
      <c r="C61" s="319"/>
      <c r="D61" s="319"/>
      <c r="E61" s="319"/>
      <c r="F61" s="319"/>
      <c r="G61" s="319"/>
      <c r="H61" s="319"/>
      <c r="I61" s="319"/>
      <c r="J61" s="319"/>
      <c r="K61" s="249"/>
      <c r="L61" s="249"/>
      <c r="M61" s="249"/>
      <c r="N61" s="249"/>
      <c r="O61" s="249"/>
      <c r="P61" s="249"/>
      <c r="Q61" s="249"/>
      <c r="R61" s="252"/>
      <c r="S61" s="253"/>
      <c r="T61" s="253"/>
      <c r="U61" s="254"/>
      <c r="V61" s="253"/>
      <c r="W61" s="166"/>
      <c r="X61" s="166"/>
      <c r="Y61" s="166"/>
    </row>
    <row r="62" spans="1:25" ht="18.75" x14ac:dyDescent="0.3">
      <c r="A62" s="319"/>
      <c r="B62" s="319"/>
      <c r="C62" s="319"/>
      <c r="D62" s="319"/>
      <c r="E62" s="319"/>
      <c r="F62" s="319"/>
      <c r="G62" s="319"/>
      <c r="H62" s="319"/>
      <c r="I62" s="319"/>
      <c r="J62" s="319"/>
      <c r="K62" s="249"/>
      <c r="L62" s="249"/>
      <c r="M62" s="249"/>
      <c r="N62" s="249"/>
      <c r="O62" s="249"/>
      <c r="P62" s="249"/>
      <c r="Q62" s="249"/>
      <c r="R62" s="166"/>
      <c r="S62" s="166"/>
      <c r="T62" s="166"/>
      <c r="U62" s="166"/>
      <c r="V62" s="166"/>
      <c r="W62" s="166"/>
      <c r="X62" s="166"/>
      <c r="Y62" s="166"/>
    </row>
    <row r="63" spans="1:25" ht="117.75" customHeight="1" x14ac:dyDescent="0.3">
      <c r="A63" s="319"/>
      <c r="B63" s="319"/>
      <c r="C63" s="319"/>
      <c r="D63" s="319"/>
      <c r="E63" s="319"/>
      <c r="F63" s="319"/>
      <c r="G63" s="319"/>
      <c r="H63" s="319"/>
      <c r="I63" s="319"/>
      <c r="J63" s="319"/>
      <c r="K63" s="249"/>
      <c r="L63" s="249"/>
      <c r="M63" s="249"/>
      <c r="N63" s="249"/>
      <c r="O63" s="249"/>
      <c r="P63" s="249"/>
      <c r="Q63" s="249"/>
      <c r="R63" s="166"/>
      <c r="S63" s="166"/>
      <c r="T63" s="166"/>
      <c r="U63" s="255"/>
      <c r="V63" s="166"/>
      <c r="W63" s="166"/>
      <c r="X63" s="166"/>
      <c r="Y63" s="166"/>
    </row>
    <row r="64" spans="1:25" x14ac:dyDescent="0.25">
      <c r="A64" s="166"/>
      <c r="B64" s="166"/>
      <c r="C64" s="166"/>
      <c r="D64" s="166"/>
      <c r="E64" s="318"/>
      <c r="F64" s="318"/>
      <c r="G64" s="166"/>
      <c r="H64" s="166"/>
      <c r="I64" s="166"/>
      <c r="J64" s="166"/>
      <c r="K64" s="166"/>
      <c r="L64" s="166"/>
      <c r="M64" s="166"/>
      <c r="N64" s="166"/>
      <c r="O64" s="166"/>
      <c r="P64" s="166"/>
      <c r="Q64" s="166"/>
      <c r="R64" s="166"/>
      <c r="S64" s="166"/>
      <c r="T64" s="166"/>
      <c r="U64" s="251"/>
      <c r="V64" s="166"/>
      <c r="W64" s="166"/>
      <c r="X64" s="166"/>
      <c r="Y64" s="166"/>
    </row>
    <row r="65" spans="1:25" ht="15" customHeight="1" x14ac:dyDescent="0.25">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row>
    <row r="66" spans="1:25" x14ac:dyDescent="0.25">
      <c r="A66" s="166"/>
      <c r="B66" s="256"/>
      <c r="C66" s="166"/>
      <c r="D66" s="166"/>
      <c r="E66" s="257"/>
      <c r="F66" s="166"/>
      <c r="G66" s="166"/>
      <c r="H66" s="166"/>
      <c r="I66" s="166"/>
      <c r="J66" s="166"/>
      <c r="K66" s="166"/>
      <c r="L66" s="166"/>
      <c r="M66" s="166"/>
      <c r="N66" s="166"/>
      <c r="O66" s="166"/>
      <c r="P66" s="166"/>
      <c r="Q66" s="166"/>
      <c r="R66" s="251"/>
      <c r="S66" s="251"/>
      <c r="T66" s="251"/>
      <c r="U66" s="251"/>
      <c r="V66" s="251"/>
      <c r="W66" s="166"/>
      <c r="X66" s="166"/>
      <c r="Y66" s="166"/>
    </row>
    <row r="67" spans="1:25" x14ac:dyDescent="0.25">
      <c r="A67" s="166"/>
      <c r="B67" s="256"/>
      <c r="C67" s="166"/>
      <c r="D67" s="166"/>
      <c r="E67" s="257"/>
      <c r="F67" s="166"/>
      <c r="G67" s="166"/>
      <c r="H67" s="166"/>
      <c r="I67" s="166"/>
      <c r="J67" s="255"/>
      <c r="K67" s="255"/>
      <c r="L67" s="255"/>
      <c r="M67" s="255"/>
      <c r="N67" s="255"/>
      <c r="O67" s="255"/>
      <c r="P67" s="255"/>
      <c r="Q67" s="255"/>
      <c r="R67" s="258"/>
      <c r="S67" s="73"/>
      <c r="T67" s="73"/>
      <c r="U67" s="258"/>
      <c r="V67" s="258"/>
      <c r="W67" s="166"/>
      <c r="X67" s="166"/>
      <c r="Y67" s="166"/>
    </row>
    <row r="68" spans="1:25" x14ac:dyDescent="0.25">
      <c r="A68" s="166"/>
      <c r="B68" s="246"/>
      <c r="C68" s="259"/>
      <c r="D68" s="246"/>
      <c r="E68" s="166"/>
      <c r="F68" s="260"/>
      <c r="G68" s="166"/>
      <c r="H68" s="166"/>
      <c r="I68" s="166"/>
      <c r="J68" s="166"/>
      <c r="K68" s="166"/>
      <c r="L68" s="166"/>
      <c r="M68" s="166"/>
      <c r="N68" s="166"/>
      <c r="O68" s="166"/>
      <c r="P68" s="166"/>
      <c r="Q68" s="166"/>
      <c r="R68" s="166"/>
      <c r="S68" s="166"/>
      <c r="T68" s="166"/>
      <c r="U68" s="166"/>
      <c r="V68" s="166"/>
      <c r="W68" s="166"/>
      <c r="X68" s="166"/>
      <c r="Y68" s="166"/>
    </row>
    <row r="69" spans="1:25" x14ac:dyDescent="0.25">
      <c r="A69" s="261"/>
      <c r="B69" s="262"/>
      <c r="C69" s="262"/>
      <c r="D69" s="246"/>
      <c r="E69" s="246"/>
      <c r="F69" s="177"/>
      <c r="G69" s="166"/>
      <c r="H69" s="166"/>
      <c r="I69" s="166"/>
      <c r="J69" s="166"/>
      <c r="K69" s="166"/>
      <c r="L69" s="166"/>
      <c r="M69" s="166"/>
      <c r="N69" s="166"/>
      <c r="O69" s="166"/>
      <c r="P69" s="166"/>
      <c r="Q69" s="166"/>
      <c r="R69" s="166"/>
      <c r="S69" s="166"/>
      <c r="T69" s="166"/>
      <c r="U69" s="166"/>
      <c r="V69" s="166"/>
      <c r="W69" s="166"/>
      <c r="X69" s="166"/>
      <c r="Y69" s="166"/>
    </row>
    <row r="70" spans="1:25" x14ac:dyDescent="0.25">
      <c r="A70" s="263"/>
      <c r="B70" s="74"/>
      <c r="C70" s="74"/>
      <c r="D70" s="166"/>
      <c r="E70" s="166"/>
      <c r="F70" s="166"/>
      <c r="G70" s="166"/>
      <c r="H70" s="166"/>
      <c r="I70" s="166"/>
      <c r="J70" s="166"/>
      <c r="K70" s="166"/>
      <c r="L70" s="166"/>
      <c r="M70" s="166"/>
      <c r="N70" s="166"/>
      <c r="O70" s="166"/>
      <c r="P70" s="166"/>
      <c r="Q70" s="166"/>
      <c r="R70" s="166"/>
      <c r="S70" s="166"/>
      <c r="T70" s="166"/>
      <c r="U70" s="166"/>
      <c r="V70" s="166"/>
      <c r="W70" s="166"/>
      <c r="X70" s="166"/>
      <c r="Y70" s="166"/>
    </row>
    <row r="71" spans="1:25" x14ac:dyDescent="0.25">
      <c r="A71" s="264"/>
      <c r="B71" s="265"/>
      <c r="C71" s="74"/>
      <c r="D71" s="166"/>
      <c r="E71" s="166"/>
      <c r="F71" s="166"/>
      <c r="G71" s="166"/>
      <c r="H71" s="166"/>
      <c r="I71" s="166"/>
      <c r="J71" s="166"/>
      <c r="K71" s="166"/>
      <c r="L71" s="166"/>
      <c r="M71" s="166"/>
      <c r="N71" s="166"/>
      <c r="O71" s="166"/>
      <c r="P71" s="166"/>
      <c r="Q71" s="166"/>
      <c r="R71" s="166"/>
      <c r="S71" s="166"/>
      <c r="T71" s="166"/>
      <c r="U71" s="166"/>
      <c r="V71" s="166"/>
      <c r="W71" s="166"/>
      <c r="X71" s="166"/>
      <c r="Y71" s="166"/>
    </row>
    <row r="72" spans="1:25" x14ac:dyDescent="0.25">
      <c r="A72" s="266"/>
      <c r="B72" s="75"/>
      <c r="C72" s="75"/>
    </row>
    <row r="73" spans="1:25" x14ac:dyDescent="0.25">
      <c r="A73" s="267"/>
      <c r="B73" s="267"/>
      <c r="C73" s="76"/>
    </row>
  </sheetData>
  <sheetProtection algorithmName="SHA-512" hashValue="+pJ130SeMCwW5KTYq3e+PQC15wx2OnbKy1I93nXN9KTW8vI4//DUoa1LmeWhd0NK33elwqnNzRFVlxW8QmE63A==" saltValue="9TvqK5iWy2q0+SGsq4QFqQ==" spinCount="100000" sheet="1" objects="1" scenarios="1"/>
  <mergeCells count="12">
    <mergeCell ref="R46:U46"/>
    <mergeCell ref="E64:F64"/>
    <mergeCell ref="A60:J63"/>
    <mergeCell ref="P47:Q47"/>
    <mergeCell ref="A46:O46"/>
    <mergeCell ref="A41:E41"/>
    <mergeCell ref="A1:F1"/>
    <mergeCell ref="A2:A3"/>
    <mergeCell ref="A33:D33"/>
    <mergeCell ref="A36:D36"/>
    <mergeCell ref="A38:D38"/>
    <mergeCell ref="A5:F5"/>
  </mergeCells>
  <phoneticPr fontId="49" type="noConversion"/>
  <conditionalFormatting sqref="C55:D55">
    <cfRule type="expression" dxfId="5" priority="3">
      <formula>$D1045855&gt;$C1045855</formula>
    </cfRule>
    <cfRule type="expression" dxfId="4" priority="4">
      <formula>$D55&gt;$C55</formula>
    </cfRule>
  </conditionalFormatting>
  <dataValidations count="3">
    <dataValidation type="list" allowBlank="1" showInputMessage="1" showErrorMessage="1" sqref="K55" xr:uid="{44E1A816-DDF2-429B-965D-DC7CF19429BF}">
      <formula1>"Si,No"</formula1>
    </dataValidation>
    <dataValidation type="list" allowBlank="1" showInputMessage="1" showErrorMessage="1" sqref="H55" xr:uid="{690CECB7-06EF-4B5F-827E-4AC044CBACFC}">
      <formula1>"Nord,Centro,Sud"</formula1>
    </dataValidation>
    <dataValidation type="list" allowBlank="1" showInputMessage="1" showErrorMessage="1" sqref="A55" xr:uid="{AD10B221-114A-40DD-B7A1-8E5B046AD488}">
      <formula1>"Fotovoltaico SI,Fotovoltaico NO"</formula1>
    </dataValidation>
  </dataValidations>
  <hyperlinks>
    <hyperlink ref="D6" r:id="rId1" display="PZO medio GME €/MWh" xr:uid="{F7E5E990-10B9-4FB3-BF2A-643E451134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ACE0-CF9D-4D88-939E-904BB2343992}">
  <dimension ref="A1:O90"/>
  <sheetViews>
    <sheetView topLeftCell="A25" zoomScale="79" zoomScaleNormal="115" workbookViewId="0">
      <selection activeCell="L33" sqref="L33"/>
    </sheetView>
  </sheetViews>
  <sheetFormatPr defaultRowHeight="15" x14ac:dyDescent="0.25"/>
  <cols>
    <col min="1" max="1" width="16.140625" customWidth="1"/>
    <col min="3" max="3" width="9.140625" customWidth="1"/>
  </cols>
  <sheetData>
    <row r="1" spans="1:4" ht="15.75" thickBot="1" x14ac:dyDescent="0.3">
      <c r="A1" s="324" t="s">
        <v>48</v>
      </c>
      <c r="B1" s="325"/>
      <c r="C1" s="325"/>
      <c r="D1" s="326"/>
    </row>
    <row r="2" spans="1:4" x14ac:dyDescent="0.25">
      <c r="A2" s="20" t="s">
        <v>28</v>
      </c>
      <c r="B2" s="10" t="s">
        <v>29</v>
      </c>
      <c r="C2" s="10" t="s">
        <v>30</v>
      </c>
      <c r="D2" s="21" t="s">
        <v>27</v>
      </c>
    </row>
    <row r="3" spans="1:4" x14ac:dyDescent="0.25">
      <c r="A3" s="4" t="s">
        <v>31</v>
      </c>
      <c r="B3" s="3">
        <v>109.65</v>
      </c>
      <c r="C3" s="3">
        <v>105.07</v>
      </c>
      <c r="D3" s="16">
        <v>89.06</v>
      </c>
    </row>
    <row r="4" spans="1:4" x14ac:dyDescent="0.25">
      <c r="A4" s="4" t="s">
        <v>33</v>
      </c>
      <c r="B4" s="3">
        <v>96.15</v>
      </c>
      <c r="C4" s="3">
        <v>94.92</v>
      </c>
      <c r="D4" s="16">
        <v>76.81</v>
      </c>
    </row>
    <row r="5" spans="1:4" x14ac:dyDescent="0.25">
      <c r="A5" s="4" t="s">
        <v>34</v>
      </c>
      <c r="B5" s="3">
        <v>94.93</v>
      </c>
      <c r="C5" s="3">
        <v>94.62</v>
      </c>
      <c r="D5" s="16">
        <v>81.319999999999993</v>
      </c>
    </row>
    <row r="6" spans="1:4" x14ac:dyDescent="0.25">
      <c r="A6" s="4" t="s">
        <v>35</v>
      </c>
      <c r="B6" s="3">
        <v>85.57</v>
      </c>
      <c r="C6" s="3">
        <v>101.29</v>
      </c>
      <c r="D6" s="16">
        <v>80.540000000000006</v>
      </c>
    </row>
    <row r="7" spans="1:4" x14ac:dyDescent="0.25">
      <c r="A7" s="4" t="s">
        <v>32</v>
      </c>
      <c r="B7" s="3">
        <v>94.66</v>
      </c>
      <c r="C7" s="3">
        <v>111.48</v>
      </c>
      <c r="D7" s="16">
        <v>86.24</v>
      </c>
    </row>
    <row r="8" spans="1:4" x14ac:dyDescent="0.25">
      <c r="A8" s="4" t="s">
        <v>138</v>
      </c>
      <c r="B8" s="3">
        <v>103.81</v>
      </c>
      <c r="C8" s="3">
        <v>116.16</v>
      </c>
      <c r="D8" s="16">
        <v>95.43</v>
      </c>
    </row>
    <row r="9" spans="1:4" x14ac:dyDescent="0.25">
      <c r="A9" s="4" t="s">
        <v>36</v>
      </c>
      <c r="B9" s="3">
        <v>108.67</v>
      </c>
      <c r="C9" s="3">
        <v>130.63</v>
      </c>
      <c r="D9" s="16">
        <v>104.77</v>
      </c>
    </row>
    <row r="10" spans="1:4" x14ac:dyDescent="0.25">
      <c r="A10" s="4" t="s">
        <v>37</v>
      </c>
      <c r="B10" s="3">
        <v>121.67</v>
      </c>
      <c r="C10" s="3">
        <v>147.94999999999999</v>
      </c>
      <c r="D10" s="16">
        <v>122.19</v>
      </c>
    </row>
    <row r="11" spans="1:4" x14ac:dyDescent="0.25">
      <c r="A11" s="4" t="s">
        <v>38</v>
      </c>
      <c r="B11" s="3">
        <v>122.33</v>
      </c>
      <c r="C11" s="3">
        <v>131.74</v>
      </c>
      <c r="D11" s="16">
        <v>105.65</v>
      </c>
    </row>
    <row r="12" spans="1:4" x14ac:dyDescent="0.25">
      <c r="A12" s="4" t="s">
        <v>39</v>
      </c>
      <c r="B12" s="3">
        <v>123.78</v>
      </c>
      <c r="C12" s="3">
        <v>126.63</v>
      </c>
      <c r="D12" s="16">
        <v>105.27</v>
      </c>
    </row>
    <row r="13" spans="1:4" x14ac:dyDescent="0.25">
      <c r="A13" s="4" t="s">
        <v>40</v>
      </c>
      <c r="B13" s="3">
        <v>145.59</v>
      </c>
      <c r="C13" s="3">
        <v>137.38</v>
      </c>
      <c r="D13" s="16">
        <v>117.13</v>
      </c>
    </row>
    <row r="14" spans="1:4" x14ac:dyDescent="0.25">
      <c r="A14" s="4" t="s">
        <v>41</v>
      </c>
      <c r="B14" s="3">
        <v>158.47</v>
      </c>
      <c r="C14" s="3">
        <v>145.93</v>
      </c>
      <c r="D14" s="16">
        <v>115.81</v>
      </c>
    </row>
    <row r="15" spans="1:4" ht="15.75" thickBot="1" x14ac:dyDescent="0.3">
      <c r="A15" s="22" t="s">
        <v>47</v>
      </c>
      <c r="B15" s="23">
        <f>AVERAGE(B3:B14)</f>
        <v>113.77333333333333</v>
      </c>
      <c r="C15" s="23">
        <f>AVERAGE(C3:C14)</f>
        <v>120.31666666666671</v>
      </c>
      <c r="D15" s="24">
        <f>AVERAGE(D3:D14)</f>
        <v>98.351666666666674</v>
      </c>
    </row>
    <row r="16" spans="1:4" s="2" customFormat="1" ht="15.75" thickBot="1" x14ac:dyDescent="0.3">
      <c r="A16" s="18"/>
      <c r="D16" s="19"/>
    </row>
    <row r="17" spans="1:15" ht="15.75" thickBot="1" x14ac:dyDescent="0.3">
      <c r="A17" s="327" t="s">
        <v>49</v>
      </c>
      <c r="B17" s="328"/>
      <c r="C17" s="328"/>
      <c r="D17" s="328"/>
      <c r="E17" s="328"/>
      <c r="F17" s="328"/>
      <c r="G17" s="328"/>
      <c r="H17" s="328"/>
      <c r="I17" s="328"/>
      <c r="J17" s="328"/>
      <c r="K17" s="328"/>
      <c r="L17" s="328"/>
      <c r="M17" s="329"/>
    </row>
    <row r="18" spans="1:15" x14ac:dyDescent="0.25">
      <c r="A18" s="11" t="s">
        <v>50</v>
      </c>
      <c r="B18" s="12" t="s">
        <v>51</v>
      </c>
      <c r="C18" s="12" t="s">
        <v>52</v>
      </c>
      <c r="D18" s="12" t="s">
        <v>53</v>
      </c>
      <c r="E18" s="12" t="s">
        <v>54</v>
      </c>
      <c r="F18" s="12" t="s">
        <v>55</v>
      </c>
      <c r="G18" s="12" t="s">
        <v>56</v>
      </c>
      <c r="H18" s="12" t="s">
        <v>57</v>
      </c>
      <c r="I18" s="12" t="s">
        <v>58</v>
      </c>
      <c r="J18" s="12" t="s">
        <v>59</v>
      </c>
      <c r="K18" s="12" t="s">
        <v>60</v>
      </c>
      <c r="L18" s="12" t="s">
        <v>61</v>
      </c>
      <c r="M18" s="13" t="s">
        <v>62</v>
      </c>
    </row>
    <row r="19" spans="1:15" x14ac:dyDescent="0.25">
      <c r="A19" s="15" t="s">
        <v>63</v>
      </c>
      <c r="B19" s="3">
        <v>103.6</v>
      </c>
      <c r="C19" s="3">
        <v>90.82</v>
      </c>
      <c r="D19" s="3">
        <v>90.02</v>
      </c>
      <c r="E19" s="3">
        <v>76.12</v>
      </c>
      <c r="F19" s="3">
        <v>90.75</v>
      </c>
      <c r="G19" s="3">
        <v>99.92</v>
      </c>
      <c r="H19" s="3">
        <v>106.41</v>
      </c>
      <c r="I19" s="3">
        <v>116.88</v>
      </c>
      <c r="J19" s="3">
        <v>115.57</v>
      </c>
      <c r="K19" s="3">
        <v>112.93</v>
      </c>
      <c r="L19" s="3">
        <v>135.41999999999999</v>
      </c>
      <c r="M19" s="16">
        <v>147.53</v>
      </c>
    </row>
    <row r="20" spans="1:15" x14ac:dyDescent="0.25">
      <c r="A20" s="15" t="s">
        <v>64</v>
      </c>
      <c r="B20" s="3">
        <v>101.75</v>
      </c>
      <c r="C20" s="3">
        <v>86</v>
      </c>
      <c r="D20" s="3">
        <v>89.59</v>
      </c>
      <c r="E20" s="3">
        <v>75.540000000000006</v>
      </c>
      <c r="F20" s="3">
        <v>88.94</v>
      </c>
      <c r="G20" s="3">
        <v>99.83</v>
      </c>
      <c r="H20" s="3">
        <v>106.35</v>
      </c>
      <c r="I20" s="3">
        <v>116.63</v>
      </c>
      <c r="J20" s="3">
        <v>113.11</v>
      </c>
      <c r="K20" s="3">
        <v>109.12</v>
      </c>
      <c r="L20" s="3">
        <v>131.33000000000001</v>
      </c>
      <c r="M20" s="16">
        <v>143.66999999999999</v>
      </c>
    </row>
    <row r="21" spans="1:15" x14ac:dyDescent="0.25">
      <c r="A21" s="15" t="s">
        <v>65</v>
      </c>
      <c r="B21" s="3">
        <v>103.42</v>
      </c>
      <c r="C21" s="3">
        <v>90.34</v>
      </c>
      <c r="D21" s="3">
        <v>89.79</v>
      </c>
      <c r="E21" s="3">
        <v>76.599999999999994</v>
      </c>
      <c r="F21" s="3">
        <v>90.5</v>
      </c>
      <c r="G21" s="3">
        <v>99.56</v>
      </c>
      <c r="H21" s="3">
        <v>105.87</v>
      </c>
      <c r="I21" s="3">
        <v>116.77</v>
      </c>
      <c r="J21" s="3">
        <v>115.73</v>
      </c>
      <c r="K21" s="3">
        <v>114.48</v>
      </c>
      <c r="L21" s="3">
        <v>136.51</v>
      </c>
      <c r="M21" s="16">
        <v>148.21</v>
      </c>
    </row>
    <row r="22" spans="1:15" x14ac:dyDescent="0.25">
      <c r="A22" s="15" t="s">
        <v>66</v>
      </c>
      <c r="B22" s="3">
        <v>93.82</v>
      </c>
      <c r="C22" s="3">
        <v>84.99</v>
      </c>
      <c r="D22" s="3">
        <v>63.45</v>
      </c>
      <c r="E22" s="3">
        <v>47.17</v>
      </c>
      <c r="F22" s="3">
        <v>73.37</v>
      </c>
      <c r="G22" s="3">
        <v>96.66</v>
      </c>
      <c r="H22" s="3">
        <v>86.11</v>
      </c>
      <c r="I22" s="3">
        <v>117.7</v>
      </c>
      <c r="J22" s="3">
        <v>92.67</v>
      </c>
      <c r="K22" s="3">
        <v>99.24</v>
      </c>
      <c r="L22" s="3">
        <v>132.30000000000001</v>
      </c>
      <c r="M22" s="16">
        <v>142.15</v>
      </c>
      <c r="O22" s="14" t="s">
        <v>29</v>
      </c>
    </row>
    <row r="23" spans="1:15" x14ac:dyDescent="0.25">
      <c r="A23" s="15" t="s">
        <v>67</v>
      </c>
      <c r="B23" s="3">
        <v>98.95</v>
      </c>
      <c r="C23" s="3">
        <v>87.45</v>
      </c>
      <c r="D23" s="3">
        <v>83.24</v>
      </c>
      <c r="E23" s="3">
        <v>73.78</v>
      </c>
      <c r="F23" s="3">
        <v>86.45</v>
      </c>
      <c r="G23" s="3">
        <v>99.14</v>
      </c>
      <c r="H23" s="3">
        <v>107.3</v>
      </c>
      <c r="I23" s="3">
        <v>117.73</v>
      </c>
      <c r="J23" s="3">
        <v>113.88</v>
      </c>
      <c r="K23" s="3">
        <v>122.28</v>
      </c>
      <c r="L23" s="3">
        <v>131.84</v>
      </c>
      <c r="M23" s="16">
        <v>143.58000000000001</v>
      </c>
    </row>
    <row r="24" spans="1:15" x14ac:dyDescent="0.25">
      <c r="A24" s="15" t="s">
        <v>68</v>
      </c>
      <c r="B24" s="3">
        <v>100.85</v>
      </c>
      <c r="C24" s="3">
        <v>85.04</v>
      </c>
      <c r="D24" s="3">
        <v>83.69</v>
      </c>
      <c r="E24" s="3">
        <v>73.86</v>
      </c>
      <c r="F24" s="3">
        <v>82.33</v>
      </c>
      <c r="G24" s="3">
        <v>99.82</v>
      </c>
      <c r="H24" s="3">
        <v>106.52</v>
      </c>
      <c r="I24" s="3">
        <v>116.72</v>
      </c>
      <c r="J24" s="3">
        <v>112.23</v>
      </c>
      <c r="K24" s="3">
        <v>111.11</v>
      </c>
      <c r="L24" s="3">
        <v>132.44999999999999</v>
      </c>
      <c r="M24" s="16">
        <v>136.77000000000001</v>
      </c>
    </row>
    <row r="25" spans="1:15" x14ac:dyDescent="0.25">
      <c r="A25" s="15" t="s">
        <v>69</v>
      </c>
      <c r="B25" s="3">
        <v>100.51</v>
      </c>
      <c r="C25" s="3">
        <v>84.39</v>
      </c>
      <c r="D25" s="3">
        <v>83.7</v>
      </c>
      <c r="E25" s="3">
        <v>73.650000000000006</v>
      </c>
      <c r="F25" s="3">
        <v>82.78</v>
      </c>
      <c r="G25" s="3">
        <v>99.56</v>
      </c>
      <c r="H25" s="3">
        <v>106.25</v>
      </c>
      <c r="I25" s="3">
        <v>117.51</v>
      </c>
      <c r="J25" s="3">
        <v>113.39</v>
      </c>
      <c r="K25" s="3">
        <v>110.92</v>
      </c>
      <c r="L25" s="3">
        <v>130.83000000000001</v>
      </c>
      <c r="M25" s="16">
        <v>135.77000000000001</v>
      </c>
    </row>
    <row r="26" spans="1:15" x14ac:dyDescent="0.25">
      <c r="A26" s="15" t="s">
        <v>70</v>
      </c>
      <c r="B26" s="9">
        <f t="shared" ref="B26:M26" si="0">AVERAGE(B19:B25)</f>
        <v>100.41428571428571</v>
      </c>
      <c r="C26" s="9">
        <f t="shared" si="0"/>
        <v>87.004285714285714</v>
      </c>
      <c r="D26" s="9">
        <f t="shared" si="0"/>
        <v>83.354285714285723</v>
      </c>
      <c r="E26" s="9">
        <f t="shared" si="0"/>
        <v>70.960000000000008</v>
      </c>
      <c r="F26" s="9">
        <f t="shared" si="0"/>
        <v>85.017142857142858</v>
      </c>
      <c r="G26" s="9">
        <f t="shared" si="0"/>
        <v>99.212857142857146</v>
      </c>
      <c r="H26" s="9">
        <f t="shared" si="0"/>
        <v>103.54428571428571</v>
      </c>
      <c r="I26" s="9">
        <f t="shared" si="0"/>
        <v>117.13428571428571</v>
      </c>
      <c r="J26" s="9">
        <f t="shared" si="0"/>
        <v>110.94000000000001</v>
      </c>
      <c r="K26" s="9">
        <f t="shared" si="0"/>
        <v>111.44000000000001</v>
      </c>
      <c r="L26" s="9">
        <f t="shared" si="0"/>
        <v>132.9542857142857</v>
      </c>
      <c r="M26" s="17">
        <f t="shared" si="0"/>
        <v>142.52571428571429</v>
      </c>
    </row>
    <row r="27" spans="1:15" x14ac:dyDescent="0.25">
      <c r="A27" s="15" t="s">
        <v>71</v>
      </c>
      <c r="B27" s="9">
        <f>AVERAGE(B26:M26)</f>
        <v>103.70845238095239</v>
      </c>
      <c r="M27" s="5"/>
    </row>
    <row r="28" spans="1:15" ht="15.75" thickBot="1" x14ac:dyDescent="0.3">
      <c r="A28" s="1"/>
      <c r="M28" s="5"/>
    </row>
    <row r="29" spans="1:15" x14ac:dyDescent="0.25">
      <c r="A29" s="11" t="s">
        <v>50</v>
      </c>
      <c r="B29" s="12" t="s">
        <v>51</v>
      </c>
      <c r="C29" s="12" t="s">
        <v>52</v>
      </c>
      <c r="D29" s="12" t="s">
        <v>53</v>
      </c>
      <c r="E29" s="12" t="s">
        <v>54</v>
      </c>
      <c r="F29" s="12" t="s">
        <v>55</v>
      </c>
      <c r="G29" s="12" t="s">
        <v>56</v>
      </c>
      <c r="H29" s="12" t="s">
        <v>57</v>
      </c>
      <c r="I29" s="12" t="s">
        <v>58</v>
      </c>
      <c r="J29" s="12" t="s">
        <v>59</v>
      </c>
      <c r="K29" s="12" t="s">
        <v>60</v>
      </c>
      <c r="L29" s="12" t="s">
        <v>61</v>
      </c>
      <c r="M29" s="13" t="s">
        <v>62</v>
      </c>
    </row>
    <row r="30" spans="1:15" x14ac:dyDescent="0.25">
      <c r="A30" s="15" t="s">
        <v>63</v>
      </c>
      <c r="B30" s="3">
        <v>96.96</v>
      </c>
      <c r="C30" s="3">
        <v>83.3</v>
      </c>
      <c r="D30" s="3">
        <v>79.34</v>
      </c>
      <c r="E30" s="3">
        <v>74.81</v>
      </c>
      <c r="F30" s="3">
        <v>83.59</v>
      </c>
      <c r="G30" s="3">
        <v>87.03</v>
      </c>
      <c r="H30" s="3">
        <v>110.08</v>
      </c>
      <c r="I30" s="3">
        <v>120.4</v>
      </c>
      <c r="J30" s="3">
        <v>102.53</v>
      </c>
      <c r="K30" s="3">
        <v>102.77</v>
      </c>
      <c r="L30" s="3">
        <v>124.84</v>
      </c>
      <c r="M30" s="16">
        <v>133.6</v>
      </c>
    </row>
    <row r="31" spans="1:15" x14ac:dyDescent="0.25">
      <c r="A31" s="15" t="s">
        <v>64</v>
      </c>
      <c r="B31" s="3">
        <v>95.27</v>
      </c>
      <c r="C31" s="3">
        <v>81.03</v>
      </c>
      <c r="D31" s="3">
        <v>70.97</v>
      </c>
      <c r="E31" s="3">
        <v>74.36</v>
      </c>
      <c r="F31" s="3">
        <v>80.510000000000005</v>
      </c>
      <c r="G31" s="3">
        <v>86.41</v>
      </c>
      <c r="H31" s="3">
        <v>107.43</v>
      </c>
      <c r="I31" s="3">
        <v>116.38</v>
      </c>
      <c r="J31" s="3">
        <v>97.8</v>
      </c>
      <c r="K31" s="3">
        <v>97.34</v>
      </c>
      <c r="L31" s="3">
        <v>121.31</v>
      </c>
      <c r="M31" s="16">
        <v>126.62</v>
      </c>
    </row>
    <row r="32" spans="1:15" x14ac:dyDescent="0.25">
      <c r="A32" s="15" t="s">
        <v>65</v>
      </c>
      <c r="B32" s="3">
        <v>97.39</v>
      </c>
      <c r="C32" s="3">
        <v>94.17</v>
      </c>
      <c r="D32" s="3">
        <v>78.739999999999995</v>
      </c>
      <c r="E32" s="3">
        <v>77.19</v>
      </c>
      <c r="F32" s="3">
        <v>86.34</v>
      </c>
      <c r="G32" s="3">
        <v>91.26</v>
      </c>
      <c r="H32" s="3">
        <v>103.3</v>
      </c>
      <c r="I32" s="3">
        <v>116.36</v>
      </c>
      <c r="J32" s="3">
        <v>104.55</v>
      </c>
      <c r="K32" s="3">
        <v>108.15</v>
      </c>
      <c r="L32" s="3">
        <v>127.06</v>
      </c>
      <c r="M32" s="16">
        <v>135.07</v>
      </c>
      <c r="O32" s="14" t="s">
        <v>30</v>
      </c>
    </row>
    <row r="33" spans="1:15" x14ac:dyDescent="0.25">
      <c r="A33" s="15" t="s">
        <v>66</v>
      </c>
      <c r="B33" s="3">
        <v>98.87</v>
      </c>
      <c r="C33" s="3">
        <v>79.88</v>
      </c>
      <c r="D33" s="3">
        <v>69.680000000000007</v>
      </c>
      <c r="E33" s="3">
        <v>64.69</v>
      </c>
      <c r="F33" s="3">
        <v>84.24</v>
      </c>
      <c r="G33" s="3">
        <v>95.23</v>
      </c>
      <c r="H33" s="3">
        <v>122.6</v>
      </c>
      <c r="I33" s="3">
        <v>131.05000000000001</v>
      </c>
      <c r="J33" s="3">
        <v>89.91</v>
      </c>
      <c r="K33" s="3">
        <v>86.29</v>
      </c>
      <c r="L33" s="3">
        <v>121.19</v>
      </c>
      <c r="M33" s="16">
        <v>120.72</v>
      </c>
    </row>
    <row r="34" spans="1:15" x14ac:dyDescent="0.25">
      <c r="A34" s="15" t="s">
        <v>67</v>
      </c>
      <c r="B34" s="3">
        <v>94.51</v>
      </c>
      <c r="C34" s="3">
        <v>84.46</v>
      </c>
      <c r="D34" s="3">
        <v>68.31</v>
      </c>
      <c r="E34" s="3">
        <v>71.3</v>
      </c>
      <c r="F34" s="3">
        <v>81.52</v>
      </c>
      <c r="G34" s="3">
        <v>91.07</v>
      </c>
      <c r="H34" s="3">
        <v>106.81</v>
      </c>
      <c r="I34" s="3">
        <v>119.46</v>
      </c>
      <c r="J34" s="3">
        <v>102.98</v>
      </c>
      <c r="K34" s="3">
        <v>114.43</v>
      </c>
      <c r="L34" s="3">
        <v>126.97</v>
      </c>
      <c r="M34" s="16">
        <v>121.54</v>
      </c>
    </row>
    <row r="35" spans="1:15" x14ac:dyDescent="0.25">
      <c r="A35" s="15" t="s">
        <v>68</v>
      </c>
      <c r="B35" s="3">
        <v>98.88</v>
      </c>
      <c r="C35" s="3">
        <v>85.36</v>
      </c>
      <c r="D35" s="3">
        <v>73</v>
      </c>
      <c r="E35" s="3">
        <v>75.39</v>
      </c>
      <c r="F35" s="3">
        <v>82.16</v>
      </c>
      <c r="G35" s="3">
        <v>88.65</v>
      </c>
      <c r="H35" s="3">
        <v>107.37</v>
      </c>
      <c r="I35" s="3">
        <v>116.32</v>
      </c>
      <c r="J35" s="3">
        <v>100.82</v>
      </c>
      <c r="K35" s="3">
        <v>102.81</v>
      </c>
      <c r="L35" s="3">
        <v>124.57</v>
      </c>
      <c r="M35" s="16">
        <v>126.82</v>
      </c>
    </row>
    <row r="36" spans="1:15" x14ac:dyDescent="0.25">
      <c r="A36" s="15" t="s">
        <v>69</v>
      </c>
      <c r="B36" s="3">
        <v>98.74</v>
      </c>
      <c r="C36" s="3">
        <v>85.73</v>
      </c>
      <c r="D36" s="3">
        <v>73.17</v>
      </c>
      <c r="E36" s="3">
        <v>74.400000000000006</v>
      </c>
      <c r="F36" s="3">
        <v>84.59</v>
      </c>
      <c r="G36" s="3">
        <v>89.96</v>
      </c>
      <c r="H36" s="3">
        <v>107.53</v>
      </c>
      <c r="I36" s="3">
        <v>118.75</v>
      </c>
      <c r="J36" s="3">
        <v>104.42</v>
      </c>
      <c r="K36" s="3">
        <v>102.18</v>
      </c>
      <c r="L36" s="3">
        <v>124.48</v>
      </c>
      <c r="M36" s="16">
        <v>124.95</v>
      </c>
    </row>
    <row r="37" spans="1:15" x14ac:dyDescent="0.25">
      <c r="A37" s="15" t="s">
        <v>70</v>
      </c>
      <c r="B37" s="9">
        <f t="shared" ref="B37:M37" si="1">AVERAGE(B30:B36)</f>
        <v>97.231428571428566</v>
      </c>
      <c r="C37" s="9">
        <f t="shared" si="1"/>
        <v>84.847142857142856</v>
      </c>
      <c r="D37" s="9">
        <f t="shared" si="1"/>
        <v>73.315714285714293</v>
      </c>
      <c r="E37" s="9">
        <f t="shared" si="1"/>
        <v>73.162857142857135</v>
      </c>
      <c r="F37" s="9">
        <f t="shared" si="1"/>
        <v>83.278571428571439</v>
      </c>
      <c r="G37" s="9">
        <f t="shared" si="1"/>
        <v>89.944285714285712</v>
      </c>
      <c r="H37" s="9">
        <f t="shared" si="1"/>
        <v>109.30285714285715</v>
      </c>
      <c r="I37" s="9">
        <f t="shared" si="1"/>
        <v>119.81714285714285</v>
      </c>
      <c r="J37" s="9">
        <f t="shared" si="1"/>
        <v>100.42999999999998</v>
      </c>
      <c r="K37" s="9">
        <f t="shared" si="1"/>
        <v>101.99571428571429</v>
      </c>
      <c r="L37" s="9">
        <f t="shared" si="1"/>
        <v>124.34571428571429</v>
      </c>
      <c r="M37" s="17">
        <f t="shared" si="1"/>
        <v>127.04571428571428</v>
      </c>
    </row>
    <row r="38" spans="1:15" x14ac:dyDescent="0.25">
      <c r="A38" s="8" t="s">
        <v>71</v>
      </c>
      <c r="B38" s="14">
        <f>AVERAGE(B37:M37)</f>
        <v>98.726428571428571</v>
      </c>
      <c r="M38" s="5"/>
    </row>
    <row r="39" spans="1:15" ht="15.75" thickBot="1" x14ac:dyDescent="0.3">
      <c r="A39" s="1"/>
      <c r="M39" s="5"/>
    </row>
    <row r="40" spans="1:15" x14ac:dyDescent="0.25">
      <c r="A40" s="11" t="s">
        <v>50</v>
      </c>
      <c r="B40" s="12" t="s">
        <v>51</v>
      </c>
      <c r="C40" s="12" t="s">
        <v>52</v>
      </c>
      <c r="D40" s="12" t="s">
        <v>53</v>
      </c>
      <c r="E40" s="12" t="s">
        <v>54</v>
      </c>
      <c r="F40" s="12" t="s">
        <v>55</v>
      </c>
      <c r="G40" s="12" t="s">
        <v>56</v>
      </c>
      <c r="H40" s="12" t="s">
        <v>57</v>
      </c>
      <c r="I40" s="12" t="s">
        <v>58</v>
      </c>
      <c r="J40" s="12" t="s">
        <v>59</v>
      </c>
      <c r="K40" s="12" t="s">
        <v>60</v>
      </c>
      <c r="L40" s="12" t="s">
        <v>61</v>
      </c>
      <c r="M40" s="13" t="s">
        <v>62</v>
      </c>
    </row>
    <row r="41" spans="1:15" x14ac:dyDescent="0.25">
      <c r="A41" s="15" t="s">
        <v>63</v>
      </c>
      <c r="B41" s="3">
        <v>85.75</v>
      </c>
      <c r="C41" s="3">
        <v>72.02</v>
      </c>
      <c r="D41" s="3">
        <v>65.739999999999995</v>
      </c>
      <c r="E41" s="3">
        <v>58.12</v>
      </c>
      <c r="F41" s="3">
        <v>60.6</v>
      </c>
      <c r="G41" s="3">
        <v>71.34</v>
      </c>
      <c r="H41" s="3">
        <v>100.45</v>
      </c>
      <c r="I41" s="3">
        <v>117.11</v>
      </c>
      <c r="J41" s="3">
        <v>85.38</v>
      </c>
      <c r="K41" s="3">
        <v>99.27</v>
      </c>
      <c r="L41" s="3">
        <v>110.43</v>
      </c>
      <c r="M41" s="16">
        <v>113.74</v>
      </c>
    </row>
    <row r="42" spans="1:15" x14ac:dyDescent="0.25">
      <c r="A42" s="15" t="s">
        <v>64</v>
      </c>
      <c r="B42" s="3">
        <v>82.22</v>
      </c>
      <c r="C42" s="3">
        <v>71.650000000000006</v>
      </c>
      <c r="D42" s="3">
        <v>58.71</v>
      </c>
      <c r="E42" s="3">
        <v>56.32</v>
      </c>
      <c r="F42" s="3">
        <v>57.7</v>
      </c>
      <c r="G42" s="3">
        <v>73.58</v>
      </c>
      <c r="H42" s="3">
        <v>99.8</v>
      </c>
      <c r="I42" s="3">
        <v>116.07</v>
      </c>
      <c r="J42" s="3">
        <v>81.52</v>
      </c>
      <c r="K42" s="3">
        <v>96.29</v>
      </c>
      <c r="L42" s="3">
        <v>107.68</v>
      </c>
      <c r="M42" s="16">
        <v>112.69</v>
      </c>
    </row>
    <row r="43" spans="1:15" x14ac:dyDescent="0.25">
      <c r="A43" s="15" t="s">
        <v>65</v>
      </c>
      <c r="B43" s="3">
        <v>87.48</v>
      </c>
      <c r="C43" s="3">
        <v>72.48</v>
      </c>
      <c r="D43" s="3">
        <v>66.03</v>
      </c>
      <c r="E43" s="3">
        <v>63.32</v>
      </c>
      <c r="F43" s="3">
        <v>65.88</v>
      </c>
      <c r="G43" s="3">
        <v>76.47</v>
      </c>
      <c r="H43" s="3">
        <v>96.94</v>
      </c>
      <c r="I43" s="3">
        <v>116.14</v>
      </c>
      <c r="J43" s="3">
        <v>90.79</v>
      </c>
      <c r="K43" s="3">
        <v>100.07</v>
      </c>
      <c r="L43" s="3">
        <v>111.63</v>
      </c>
      <c r="M43" s="16">
        <v>113.47</v>
      </c>
      <c r="O43" s="14" t="s">
        <v>27</v>
      </c>
    </row>
    <row r="44" spans="1:15" x14ac:dyDescent="0.25">
      <c r="A44" s="15" t="s">
        <v>66</v>
      </c>
      <c r="B44" s="3">
        <v>84.6</v>
      </c>
      <c r="C44" s="3">
        <v>65.28</v>
      </c>
      <c r="D44" s="3">
        <v>54.86</v>
      </c>
      <c r="E44" s="3">
        <v>54.47</v>
      </c>
      <c r="F44" s="3">
        <v>58.08</v>
      </c>
      <c r="G44" s="3">
        <v>81.38</v>
      </c>
      <c r="H44" s="3">
        <v>105.96</v>
      </c>
      <c r="I44" s="3">
        <v>120.17</v>
      </c>
      <c r="J44" s="3">
        <v>82.11</v>
      </c>
      <c r="K44" s="3">
        <v>91.42</v>
      </c>
      <c r="L44" s="3">
        <v>107.88</v>
      </c>
      <c r="M44" s="16">
        <v>102.5</v>
      </c>
    </row>
    <row r="45" spans="1:15" x14ac:dyDescent="0.25">
      <c r="A45" s="15" t="s">
        <v>67</v>
      </c>
      <c r="B45" s="3">
        <v>84.59</v>
      </c>
      <c r="C45" s="3">
        <v>70.3</v>
      </c>
      <c r="D45" s="3">
        <v>48.14</v>
      </c>
      <c r="E45" s="3">
        <v>54.87</v>
      </c>
      <c r="F45" s="3">
        <v>56.77</v>
      </c>
      <c r="G45" s="3">
        <v>73.11</v>
      </c>
      <c r="H45" s="3">
        <v>99.35</v>
      </c>
      <c r="I45" s="3">
        <v>117.17</v>
      </c>
      <c r="J45" s="3">
        <v>80.06</v>
      </c>
      <c r="K45" s="3">
        <v>102.27</v>
      </c>
      <c r="L45" s="3">
        <v>112.73</v>
      </c>
      <c r="M45" s="16">
        <v>107.23</v>
      </c>
    </row>
    <row r="46" spans="1:15" x14ac:dyDescent="0.25">
      <c r="A46" s="15" t="s">
        <v>68</v>
      </c>
      <c r="B46" s="3">
        <v>83.34</v>
      </c>
      <c r="C46" s="3">
        <v>71.73</v>
      </c>
      <c r="D46" s="3">
        <v>56.39</v>
      </c>
      <c r="E46" s="3">
        <v>59.03</v>
      </c>
      <c r="F46" s="3">
        <v>62.71</v>
      </c>
      <c r="G46" s="3">
        <v>74.38</v>
      </c>
      <c r="H46" s="3">
        <v>100.19</v>
      </c>
      <c r="I46" s="3">
        <v>116.25</v>
      </c>
      <c r="J46" s="3">
        <v>85.11</v>
      </c>
      <c r="K46" s="3">
        <v>96.25</v>
      </c>
      <c r="L46" s="3">
        <v>109.31</v>
      </c>
      <c r="M46" s="16">
        <v>109.54</v>
      </c>
    </row>
    <row r="47" spans="1:15" x14ac:dyDescent="0.25">
      <c r="A47" s="15" t="s">
        <v>69</v>
      </c>
      <c r="B47" s="3">
        <v>84.89</v>
      </c>
      <c r="C47" s="3">
        <v>73</v>
      </c>
      <c r="D47" s="3">
        <v>57.23</v>
      </c>
      <c r="E47" s="3">
        <v>56.37</v>
      </c>
      <c r="F47" s="3">
        <v>62.34</v>
      </c>
      <c r="G47" s="3">
        <v>78.37</v>
      </c>
      <c r="H47" s="3">
        <v>100.02</v>
      </c>
      <c r="I47" s="3">
        <v>117.03</v>
      </c>
      <c r="J47" s="3">
        <v>86.32</v>
      </c>
      <c r="K47" s="3">
        <v>99.3</v>
      </c>
      <c r="L47" s="3">
        <v>111.33</v>
      </c>
      <c r="M47" s="16">
        <v>110.32</v>
      </c>
    </row>
    <row r="48" spans="1:15" x14ac:dyDescent="0.25">
      <c r="A48" s="15" t="s">
        <v>70</v>
      </c>
      <c r="B48" s="9">
        <f t="shared" ref="B48:M48" si="2">AVERAGE(B41:B47)</f>
        <v>84.695714285714288</v>
      </c>
      <c r="C48" s="9">
        <f t="shared" si="2"/>
        <v>70.922857142857154</v>
      </c>
      <c r="D48" s="9">
        <f t="shared" si="2"/>
        <v>58.157142857142851</v>
      </c>
      <c r="E48" s="9">
        <f t="shared" si="2"/>
        <v>57.5</v>
      </c>
      <c r="F48" s="9">
        <f t="shared" si="2"/>
        <v>60.582857142857129</v>
      </c>
      <c r="G48" s="9">
        <f t="shared" si="2"/>
        <v>75.518571428571434</v>
      </c>
      <c r="H48" s="9">
        <f t="shared" si="2"/>
        <v>100.38714285714286</v>
      </c>
      <c r="I48" s="9">
        <f t="shared" si="2"/>
        <v>117.13428571428571</v>
      </c>
      <c r="J48" s="9">
        <f t="shared" si="2"/>
        <v>84.47</v>
      </c>
      <c r="K48" s="9">
        <f t="shared" si="2"/>
        <v>97.838571428571413</v>
      </c>
      <c r="L48" s="9">
        <f t="shared" si="2"/>
        <v>110.14142857142859</v>
      </c>
      <c r="M48" s="17">
        <f t="shared" si="2"/>
        <v>109.92714285714285</v>
      </c>
    </row>
    <row r="49" spans="1:13" ht="15.75" thickBot="1" x14ac:dyDescent="0.3">
      <c r="A49" s="22" t="s">
        <v>71</v>
      </c>
      <c r="B49" s="23">
        <f>AVERAGE(B48:M48)</f>
        <v>85.606309523809514</v>
      </c>
      <c r="C49" s="6"/>
      <c r="D49" s="6"/>
      <c r="E49" s="6"/>
      <c r="F49" s="6"/>
      <c r="G49" s="6"/>
      <c r="H49" s="6"/>
      <c r="I49" s="6"/>
      <c r="J49" s="6"/>
      <c r="K49" s="6"/>
      <c r="L49" s="6"/>
      <c r="M49" s="7"/>
    </row>
    <row r="50" spans="1:13" ht="15.75" thickBot="1" x14ac:dyDescent="0.3"/>
    <row r="51" spans="1:13" x14ac:dyDescent="0.25">
      <c r="A51" s="27" t="s">
        <v>28</v>
      </c>
      <c r="B51" s="28" t="s">
        <v>134</v>
      </c>
      <c r="C51" s="29" t="s">
        <v>135</v>
      </c>
    </row>
    <row r="52" spans="1:13" x14ac:dyDescent="0.25">
      <c r="A52" s="15" t="s">
        <v>112</v>
      </c>
      <c r="B52" s="9" t="s">
        <v>29</v>
      </c>
      <c r="C52" s="17">
        <v>0.10965329</v>
      </c>
    </row>
    <row r="53" spans="1:13" x14ac:dyDescent="0.25">
      <c r="A53" s="15" t="s">
        <v>112</v>
      </c>
      <c r="B53" s="9" t="s">
        <v>30</v>
      </c>
      <c r="C53" s="17">
        <v>0.1057063</v>
      </c>
    </row>
    <row r="54" spans="1:13" x14ac:dyDescent="0.25">
      <c r="A54" s="15" t="s">
        <v>112</v>
      </c>
      <c r="B54" s="9" t="s">
        <v>27</v>
      </c>
      <c r="C54" s="17">
        <v>8.9057109999999995E-2</v>
      </c>
    </row>
    <row r="55" spans="1:13" x14ac:dyDescent="0.25">
      <c r="A55" s="4" t="s">
        <v>125</v>
      </c>
      <c r="B55" s="3" t="s">
        <v>29</v>
      </c>
      <c r="C55" s="16">
        <v>9.614694E-2</v>
      </c>
    </row>
    <row r="56" spans="1:13" x14ac:dyDescent="0.25">
      <c r="A56" s="4" t="s">
        <v>125</v>
      </c>
      <c r="B56" s="3" t="s">
        <v>30</v>
      </c>
      <c r="C56" s="16">
        <v>9.4918349999999999E-2</v>
      </c>
    </row>
    <row r="57" spans="1:13" x14ac:dyDescent="0.25">
      <c r="A57" s="4" t="s">
        <v>125</v>
      </c>
      <c r="B57" s="3" t="s">
        <v>27</v>
      </c>
      <c r="C57" s="16">
        <v>7.6812539999999999E-2</v>
      </c>
    </row>
    <row r="58" spans="1:13" x14ac:dyDescent="0.25">
      <c r="A58" s="15" t="s">
        <v>136</v>
      </c>
      <c r="B58" s="9" t="s">
        <v>29</v>
      </c>
      <c r="C58" s="17">
        <v>9.493124E-2</v>
      </c>
    </row>
    <row r="59" spans="1:13" x14ac:dyDescent="0.25">
      <c r="A59" s="15" t="s">
        <v>136</v>
      </c>
      <c r="B59" s="9" t="s">
        <v>30</v>
      </c>
      <c r="C59" s="17">
        <v>9.4617060000000003E-2</v>
      </c>
    </row>
    <row r="60" spans="1:13" x14ac:dyDescent="0.25">
      <c r="A60" s="15" t="s">
        <v>136</v>
      </c>
      <c r="B60" s="9" t="s">
        <v>27</v>
      </c>
      <c r="C60" s="17">
        <v>8.1319829999999996E-2</v>
      </c>
    </row>
    <row r="61" spans="1:13" x14ac:dyDescent="0.25">
      <c r="A61" s="4" t="s">
        <v>113</v>
      </c>
      <c r="B61" s="3" t="s">
        <v>29</v>
      </c>
      <c r="C61" s="16">
        <v>8.5568379999999999E-2</v>
      </c>
    </row>
    <row r="62" spans="1:13" x14ac:dyDescent="0.25">
      <c r="A62" s="4" t="s">
        <v>113</v>
      </c>
      <c r="B62" s="3" t="s">
        <v>30</v>
      </c>
      <c r="C62" s="16">
        <v>0.10129170999999999</v>
      </c>
    </row>
    <row r="63" spans="1:13" x14ac:dyDescent="0.25">
      <c r="A63" s="4" t="s">
        <v>113</v>
      </c>
      <c r="B63" s="3" t="s">
        <v>27</v>
      </c>
      <c r="C63" s="16">
        <v>8.0539600000000003E-2</v>
      </c>
    </row>
    <row r="64" spans="1:13" x14ac:dyDescent="0.25">
      <c r="A64" s="15" t="s">
        <v>114</v>
      </c>
      <c r="B64" s="9" t="s">
        <v>29</v>
      </c>
      <c r="C64" s="17">
        <v>9.4664670000000006E-2</v>
      </c>
    </row>
    <row r="65" spans="1:3" x14ac:dyDescent="0.25">
      <c r="A65" s="15" t="s">
        <v>114</v>
      </c>
      <c r="B65" s="9" t="s">
        <v>30</v>
      </c>
      <c r="C65" s="17">
        <v>0.11145724999999999</v>
      </c>
    </row>
    <row r="66" spans="1:3" x14ac:dyDescent="0.25">
      <c r="A66" s="15" t="s">
        <v>114</v>
      </c>
      <c r="B66" s="9" t="s">
        <v>27</v>
      </c>
      <c r="C66" s="17">
        <v>8.6242750000000007E-2</v>
      </c>
    </row>
    <row r="67" spans="1:3" x14ac:dyDescent="0.25">
      <c r="A67" s="4" t="s">
        <v>115</v>
      </c>
      <c r="B67" s="3" t="s">
        <v>29</v>
      </c>
      <c r="C67" s="16">
        <v>0.10380691</v>
      </c>
    </row>
    <row r="68" spans="1:3" x14ac:dyDescent="0.25">
      <c r="A68" s="4" t="s">
        <v>115</v>
      </c>
      <c r="B68" s="3" t="s">
        <v>30</v>
      </c>
      <c r="C68" s="16">
        <v>0.11615642</v>
      </c>
    </row>
    <row r="69" spans="1:3" x14ac:dyDescent="0.25">
      <c r="A69" s="4" t="s">
        <v>115</v>
      </c>
      <c r="B69" s="3" t="s">
        <v>27</v>
      </c>
      <c r="C69" s="16">
        <v>9.542668E-2</v>
      </c>
    </row>
    <row r="70" spans="1:3" x14ac:dyDescent="0.25">
      <c r="A70" s="15" t="s">
        <v>116</v>
      </c>
      <c r="B70" s="9" t="s">
        <v>29</v>
      </c>
      <c r="C70" s="17">
        <v>0.10867350000000001</v>
      </c>
    </row>
    <row r="71" spans="1:3" x14ac:dyDescent="0.25">
      <c r="A71" s="15" t="s">
        <v>116</v>
      </c>
      <c r="B71" s="9" t="s">
        <v>30</v>
      </c>
      <c r="C71" s="17">
        <v>0.13062514</v>
      </c>
    </row>
    <row r="72" spans="1:3" x14ac:dyDescent="0.25">
      <c r="A72" s="15" t="s">
        <v>116</v>
      </c>
      <c r="B72" s="9" t="s">
        <v>27</v>
      </c>
      <c r="C72" s="17">
        <v>0.1047749</v>
      </c>
    </row>
    <row r="73" spans="1:3" x14ac:dyDescent="0.25">
      <c r="A73" s="4" t="s">
        <v>117</v>
      </c>
      <c r="B73" s="3" t="s">
        <v>29</v>
      </c>
      <c r="C73" s="16">
        <v>0.12167047</v>
      </c>
    </row>
    <row r="74" spans="1:3" x14ac:dyDescent="0.25">
      <c r="A74" s="4" t="s">
        <v>117</v>
      </c>
      <c r="B74" s="3" t="s">
        <v>30</v>
      </c>
      <c r="C74" s="16">
        <v>0.14795322</v>
      </c>
    </row>
    <row r="75" spans="1:3" x14ac:dyDescent="0.25">
      <c r="A75" s="4" t="s">
        <v>117</v>
      </c>
      <c r="B75" s="3" t="s">
        <v>27</v>
      </c>
      <c r="C75" s="16">
        <v>0.12219032000000001</v>
      </c>
    </row>
    <row r="76" spans="1:3" x14ac:dyDescent="0.25">
      <c r="A76" s="15" t="s">
        <v>121</v>
      </c>
      <c r="B76" s="9" t="s">
        <v>29</v>
      </c>
      <c r="C76" s="17">
        <v>0.12223926</v>
      </c>
    </row>
    <row r="77" spans="1:3" x14ac:dyDescent="0.25">
      <c r="A77" s="15" t="s">
        <v>121</v>
      </c>
      <c r="B77" s="9" t="s">
        <v>30</v>
      </c>
      <c r="C77" s="17">
        <v>0.13173596000000001</v>
      </c>
    </row>
    <row r="78" spans="1:3" x14ac:dyDescent="0.25">
      <c r="A78" s="15" t="s">
        <v>121</v>
      </c>
      <c r="B78" s="9" t="s">
        <v>27</v>
      </c>
      <c r="C78" s="17">
        <v>0.10565366</v>
      </c>
    </row>
    <row r="79" spans="1:3" x14ac:dyDescent="0.25">
      <c r="A79" s="4" t="s">
        <v>118</v>
      </c>
      <c r="B79" s="3" t="s">
        <v>29</v>
      </c>
      <c r="C79" s="16">
        <v>0.12377534</v>
      </c>
    </row>
    <row r="80" spans="1:3" x14ac:dyDescent="0.25">
      <c r="A80" s="4" t="s">
        <v>118</v>
      </c>
      <c r="B80" s="3" t="s">
        <v>30</v>
      </c>
      <c r="C80" s="16">
        <v>0.12663108000000001</v>
      </c>
    </row>
    <row r="81" spans="1:3" x14ac:dyDescent="0.25">
      <c r="A81" s="4" t="s">
        <v>118</v>
      </c>
      <c r="B81" s="3" t="s">
        <v>27</v>
      </c>
      <c r="C81" s="16">
        <v>0.10527533</v>
      </c>
    </row>
    <row r="82" spans="1:3" x14ac:dyDescent="0.25">
      <c r="A82" s="15" t="s">
        <v>119</v>
      </c>
      <c r="B82" s="9" t="s">
        <v>29</v>
      </c>
      <c r="C82" s="17">
        <v>0.14559152</v>
      </c>
    </row>
    <row r="83" spans="1:3" x14ac:dyDescent="0.25">
      <c r="A83" s="15" t="s">
        <v>119</v>
      </c>
      <c r="B83" s="9" t="s">
        <v>30</v>
      </c>
      <c r="C83" s="17">
        <v>0.13737521</v>
      </c>
    </row>
    <row r="84" spans="1:3" x14ac:dyDescent="0.25">
      <c r="A84" s="15" t="s">
        <v>119</v>
      </c>
      <c r="B84" s="9" t="s">
        <v>27</v>
      </c>
      <c r="C84" s="17">
        <v>0.11713274999999999</v>
      </c>
    </row>
    <row r="85" spans="1:3" x14ac:dyDescent="0.25">
      <c r="A85" s="4" t="s">
        <v>120</v>
      </c>
      <c r="B85" s="3" t="s">
        <v>29</v>
      </c>
      <c r="C85" s="16">
        <v>0.15847233999999999</v>
      </c>
    </row>
    <row r="86" spans="1:3" x14ac:dyDescent="0.25">
      <c r="A86" s="4" t="s">
        <v>120</v>
      </c>
      <c r="B86" s="3" t="s">
        <v>30</v>
      </c>
      <c r="C86" s="16">
        <v>0.14593297999999999</v>
      </c>
    </row>
    <row r="87" spans="1:3" x14ac:dyDescent="0.25">
      <c r="A87" s="4" t="s">
        <v>120</v>
      </c>
      <c r="B87" s="3" t="s">
        <v>27</v>
      </c>
      <c r="C87" s="16">
        <v>0.11580915999999999</v>
      </c>
    </row>
    <row r="88" spans="1:3" x14ac:dyDescent="0.25">
      <c r="A88" s="25" t="s">
        <v>137</v>
      </c>
      <c r="B88" s="26" t="s">
        <v>29</v>
      </c>
      <c r="C88" s="30">
        <f>(C52+C58+C64+C70+C76+C82+C85+C79+C73+C67+C61+C55)/12</f>
        <v>0.11376615499999999</v>
      </c>
    </row>
    <row r="89" spans="1:3" x14ac:dyDescent="0.25">
      <c r="A89" s="25" t="s">
        <v>137</v>
      </c>
      <c r="B89" s="26" t="s">
        <v>30</v>
      </c>
      <c r="C89" s="30">
        <f>(C86+C83+C80+C77+C74+C71+C68+C65+C62+C59+C56+C53)/12</f>
        <v>0.12036672333333333</v>
      </c>
    </row>
    <row r="90" spans="1:3" ht="15.75" thickBot="1" x14ac:dyDescent="0.3">
      <c r="A90" s="31" t="s">
        <v>137</v>
      </c>
      <c r="B90" s="32" t="s">
        <v>27</v>
      </c>
      <c r="C90" s="33">
        <f>(C87+C84+C81+C78+C75+C72+C69+C66+C63+C60+C57+C54)/12</f>
        <v>9.8352885833333334E-2</v>
      </c>
    </row>
  </sheetData>
  <sheetProtection algorithmName="SHA-512" hashValue="DsKsloaVrqxTavljOKNZDm26PldcEHsFGnEtF1qigtxAfMrlbVCqytW/wweLxcTi3jUdHizMdY+smgDcDNrPkA==" saltValue="jU19quR43H4pK+GACoqr3w==" spinCount="100000" sheet="1" objects="1" scenarios="1"/>
  <mergeCells count="2">
    <mergeCell ref="A1:D1"/>
    <mergeCell ref="A17:M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5ED6-910A-4D79-9891-590529D3516C}">
  <dimension ref="A1:N82"/>
  <sheetViews>
    <sheetView zoomScale="89" workbookViewId="0">
      <pane ySplit="2" topLeftCell="A22" activePane="bottomLeft" state="frozen"/>
      <selection activeCell="B1" sqref="B1"/>
      <selection pane="bottomLeft" activeCell="E27" sqref="E27"/>
    </sheetView>
  </sheetViews>
  <sheetFormatPr defaultRowHeight="15" x14ac:dyDescent="0.25"/>
  <cols>
    <col min="1" max="1" width="21.85546875" style="79" customWidth="1"/>
    <col min="2" max="2" width="14" style="79" customWidth="1"/>
    <col min="3" max="3" width="27.28515625" style="79" customWidth="1"/>
    <col min="4" max="4" width="12.28515625" style="79" bestFit="1" customWidth="1"/>
    <col min="5" max="5" width="24.7109375" style="79" customWidth="1"/>
    <col min="6" max="6" width="29" style="79" customWidth="1"/>
    <col min="7" max="7" width="24.5703125" style="79" customWidth="1"/>
    <col min="8" max="8" width="30.85546875" style="79" customWidth="1"/>
    <col min="9" max="9" width="25.5703125" style="79" customWidth="1"/>
    <col min="10" max="10" width="32.140625" style="79" customWidth="1"/>
    <col min="11" max="11" width="21" style="79" customWidth="1"/>
    <col min="12" max="12" width="15" style="79" customWidth="1"/>
    <col min="13" max="13" width="13.140625" style="79" customWidth="1"/>
    <col min="14" max="14" width="22" style="79" customWidth="1"/>
    <col min="15" max="16384" width="9.140625" style="79"/>
  </cols>
  <sheetData>
    <row r="1" spans="1:14" ht="42" customHeight="1" x14ac:dyDescent="0.25">
      <c r="A1" s="330" t="s">
        <v>222</v>
      </c>
      <c r="B1" s="330"/>
      <c r="C1" s="330"/>
      <c r="D1" s="330"/>
      <c r="E1" s="330"/>
      <c r="F1" s="330"/>
      <c r="G1" s="330"/>
      <c r="H1" s="330"/>
      <c r="I1" s="330"/>
      <c r="J1" s="330"/>
      <c r="K1" s="330"/>
      <c r="L1" s="330"/>
      <c r="M1" s="330"/>
      <c r="N1" s="108"/>
    </row>
    <row r="2" spans="1:14" ht="102.75" customHeight="1" x14ac:dyDescent="0.25">
      <c r="A2" s="109" t="s">
        <v>0</v>
      </c>
      <c r="B2" s="110" t="s">
        <v>1</v>
      </c>
      <c r="C2" s="110" t="s">
        <v>83</v>
      </c>
      <c r="D2" s="111" t="s">
        <v>26</v>
      </c>
      <c r="E2" s="110" t="s">
        <v>84</v>
      </c>
      <c r="F2" s="110" t="s">
        <v>82</v>
      </c>
      <c r="G2" s="110" t="s">
        <v>224</v>
      </c>
      <c r="H2" s="112" t="s">
        <v>225</v>
      </c>
      <c r="I2" s="294" t="s">
        <v>226</v>
      </c>
      <c r="J2" s="113" t="s">
        <v>227</v>
      </c>
      <c r="K2" s="294" t="s">
        <v>241</v>
      </c>
      <c r="L2" s="295" t="s">
        <v>249</v>
      </c>
      <c r="M2" s="110" t="s">
        <v>248</v>
      </c>
      <c r="N2" s="114" t="s">
        <v>223</v>
      </c>
    </row>
    <row r="3" spans="1:14" x14ac:dyDescent="0.25">
      <c r="A3" s="115">
        <v>2024</v>
      </c>
      <c r="B3" s="78" t="s">
        <v>2</v>
      </c>
      <c r="C3" s="116">
        <f>'Prezzi medi anno PUN e RID'!D15</f>
        <v>98.351666666666674</v>
      </c>
      <c r="D3" s="296">
        <v>5</v>
      </c>
      <c r="E3" s="346">
        <f>'Vantaggio Cliente iDea vs RID'!D35</f>
        <v>918</v>
      </c>
      <c r="F3" s="117">
        <v>0</v>
      </c>
      <c r="G3" s="118">
        <v>0</v>
      </c>
      <c r="H3" s="352">
        <f>(E3*C6)/1000</f>
        <v>90.286829999999995</v>
      </c>
      <c r="I3" s="374">
        <f>(F27)*0.03</f>
        <v>105</v>
      </c>
      <c r="J3" s="377">
        <f>((D27*(E3+E10+E21))/1000)*1.1</f>
        <v>9.9</v>
      </c>
      <c r="K3" s="370">
        <f>MAX(0,G27-H27-I27-J27)</f>
        <v>130.56834355173899</v>
      </c>
      <c r="L3" s="364">
        <f>IF('Vantaggio Cliente iDea vs RID'!K55="No",'Vantaggio Cliente iDea vs RID'!M55*0.1,0)</f>
        <v>0</v>
      </c>
      <c r="M3" s="331">
        <f>IF('Vantaggio Cliente iDea vs RID'!K55="Si",Flex!G25,0)</f>
        <v>67.323304974765691</v>
      </c>
      <c r="N3" s="367">
        <f>(M27+I27+L3+J3)*0.95</f>
        <v>173.11213972602738</v>
      </c>
    </row>
    <row r="4" spans="1:14" x14ac:dyDescent="0.25">
      <c r="A4" s="115">
        <v>2024</v>
      </c>
      <c r="B4" s="78" t="s">
        <v>3</v>
      </c>
      <c r="C4" s="116">
        <f>C3</f>
        <v>98.351666666666674</v>
      </c>
      <c r="D4" s="119">
        <f>D3</f>
        <v>5</v>
      </c>
      <c r="E4" s="347"/>
      <c r="F4" s="120">
        <v>0</v>
      </c>
      <c r="G4" s="118">
        <v>0</v>
      </c>
      <c r="H4" s="353"/>
      <c r="I4" s="375"/>
      <c r="J4" s="378"/>
      <c r="K4" s="371"/>
      <c r="L4" s="365"/>
      <c r="M4" s="332"/>
      <c r="N4" s="368"/>
    </row>
    <row r="5" spans="1:14" x14ac:dyDescent="0.25">
      <c r="A5" s="115">
        <v>2024</v>
      </c>
      <c r="B5" s="78" t="s">
        <v>4</v>
      </c>
      <c r="C5" s="116">
        <f t="shared" ref="C5:D8" si="0">C4</f>
        <v>98.351666666666674</v>
      </c>
      <c r="D5" s="119">
        <f t="shared" si="0"/>
        <v>5</v>
      </c>
      <c r="E5" s="347"/>
      <c r="F5" s="120">
        <v>0</v>
      </c>
      <c r="G5" s="118">
        <v>0</v>
      </c>
      <c r="H5" s="353"/>
      <c r="I5" s="375"/>
      <c r="J5" s="378"/>
      <c r="K5" s="371"/>
      <c r="L5" s="365"/>
      <c r="M5" s="332"/>
      <c r="N5" s="368"/>
    </row>
    <row r="6" spans="1:14" x14ac:dyDescent="0.25">
      <c r="A6" s="115">
        <v>2024</v>
      </c>
      <c r="B6" s="78" t="s">
        <v>5</v>
      </c>
      <c r="C6" s="116">
        <f t="shared" si="0"/>
        <v>98.351666666666674</v>
      </c>
      <c r="D6" s="119">
        <f t="shared" si="0"/>
        <v>5</v>
      </c>
      <c r="E6" s="347"/>
      <c r="F6" s="120">
        <v>0</v>
      </c>
      <c r="G6" s="118">
        <v>0</v>
      </c>
      <c r="H6" s="353"/>
      <c r="I6" s="375"/>
      <c r="J6" s="378"/>
      <c r="K6" s="371"/>
      <c r="L6" s="365"/>
      <c r="M6" s="332"/>
      <c r="N6" s="368"/>
    </row>
    <row r="7" spans="1:14" x14ac:dyDescent="0.25">
      <c r="A7" s="115">
        <v>2024</v>
      </c>
      <c r="B7" s="78" t="s">
        <v>6</v>
      </c>
      <c r="C7" s="116">
        <f t="shared" si="0"/>
        <v>98.351666666666674</v>
      </c>
      <c r="D7" s="119">
        <f t="shared" si="0"/>
        <v>5</v>
      </c>
      <c r="E7" s="347"/>
      <c r="F7" s="120">
        <v>0</v>
      </c>
      <c r="G7" s="118">
        <v>0</v>
      </c>
      <c r="H7" s="353"/>
      <c r="I7" s="375"/>
      <c r="J7" s="378"/>
      <c r="K7" s="371"/>
      <c r="L7" s="365"/>
      <c r="M7" s="332"/>
      <c r="N7" s="368"/>
    </row>
    <row r="8" spans="1:14" x14ac:dyDescent="0.25">
      <c r="A8" s="115">
        <v>2024</v>
      </c>
      <c r="B8" s="78" t="s">
        <v>7</v>
      </c>
      <c r="C8" s="116">
        <f t="shared" si="0"/>
        <v>98.351666666666674</v>
      </c>
      <c r="D8" s="119">
        <f t="shared" si="0"/>
        <v>5</v>
      </c>
      <c r="E8" s="348"/>
      <c r="F8" s="121">
        <f>MAX(0,((F27/36)-(F29))*'Vantaggio Cliente iDea vs RID'!G3)+('Vantaggio Cliente iDea vs RID'!G12*'Vantaggio Cliente iDea vs RID'!F3)</f>
        <v>0</v>
      </c>
      <c r="G8" s="122">
        <f t="shared" ref="G8:G26" si="1">(F8*C8)/1000</f>
        <v>0</v>
      </c>
      <c r="H8" s="354"/>
      <c r="I8" s="375"/>
      <c r="J8" s="378"/>
      <c r="K8" s="371"/>
      <c r="L8" s="365"/>
      <c r="M8" s="332"/>
      <c r="N8" s="368"/>
    </row>
    <row r="9" spans="1:14" x14ac:dyDescent="0.25">
      <c r="A9" s="115">
        <v>2024</v>
      </c>
      <c r="B9" s="78" t="s">
        <v>8</v>
      </c>
      <c r="C9" s="116">
        <f>'Prezzi medi anno PUN e RID'!C15</f>
        <v>120.31666666666671</v>
      </c>
      <c r="D9" s="119">
        <f t="shared" ref="D9:D26" si="2">D8</f>
        <v>5</v>
      </c>
      <c r="E9" s="123"/>
      <c r="F9" s="121">
        <f>(((F27/21.6)+((30*4*'Vantaggio Cliente iDea vs RID'!I55)))*'Vantaggio Cliente iDea vs RID'!G3)+('Vantaggio Cliente iDea vs RID'!G13*'Vantaggio Cliente iDea vs RID'!F3)</f>
        <v>1602.037037037037</v>
      </c>
      <c r="G9" s="122">
        <f t="shared" si="1"/>
        <v>192.75175617283955</v>
      </c>
      <c r="H9" s="124"/>
      <c r="I9" s="375"/>
      <c r="J9" s="378"/>
      <c r="K9" s="371"/>
      <c r="L9" s="365"/>
      <c r="M9" s="332"/>
      <c r="N9" s="368"/>
    </row>
    <row r="10" spans="1:14" x14ac:dyDescent="0.25">
      <c r="A10" s="115">
        <v>2024</v>
      </c>
      <c r="B10" s="78" t="s">
        <v>9</v>
      </c>
      <c r="C10" s="116">
        <f>'Prezzi medi anno PUN e RID'!B15</f>
        <v>113.77333333333333</v>
      </c>
      <c r="D10" s="119">
        <f t="shared" si="2"/>
        <v>5</v>
      </c>
      <c r="E10" s="343">
        <f>'Vantaggio Cliente iDea vs RID'!B35</f>
        <v>288</v>
      </c>
      <c r="F10" s="121">
        <f>(((F27/13.5)-(F29))*'Vantaggio Cliente iDea vs RID'!G3)+('Vantaggio Cliente iDea vs RID'!G14*'Vantaggio Cliente iDea vs RID'!F3)</f>
        <v>99.259259259259238</v>
      </c>
      <c r="G10" s="122">
        <f t="shared" si="1"/>
        <v>11.293056790123453</v>
      </c>
      <c r="H10" s="355">
        <f>E10*C15/1000</f>
        <v>32.766719999999999</v>
      </c>
      <c r="I10" s="375"/>
      <c r="J10" s="378"/>
      <c r="K10" s="371"/>
      <c r="L10" s="365"/>
      <c r="M10" s="332"/>
      <c r="N10" s="368"/>
    </row>
    <row r="11" spans="1:14" x14ac:dyDescent="0.25">
      <c r="A11" s="115">
        <v>2024</v>
      </c>
      <c r="B11" s="78" t="s">
        <v>10</v>
      </c>
      <c r="C11" s="116">
        <f>C10</f>
        <v>113.77333333333333</v>
      </c>
      <c r="D11" s="119">
        <f t="shared" si="2"/>
        <v>5</v>
      </c>
      <c r="E11" s="344"/>
      <c r="F11" s="121">
        <f>(((F27/9)-(F29))*'Vantaggio Cliente iDea vs RID'!G3)+('Vantaggio Cliente iDea vs RID'!G15*'Vantaggio Cliente iDea vs RID'!F3)</f>
        <v>228.88888888888891</v>
      </c>
      <c r="G11" s="122">
        <f t="shared" si="1"/>
        <v>26.041451851851853</v>
      </c>
      <c r="H11" s="356"/>
      <c r="I11" s="375"/>
      <c r="J11" s="378"/>
      <c r="K11" s="371"/>
      <c r="L11" s="365"/>
      <c r="M11" s="332"/>
      <c r="N11" s="368"/>
    </row>
    <row r="12" spans="1:14" x14ac:dyDescent="0.25">
      <c r="A12" s="115">
        <v>2024</v>
      </c>
      <c r="B12" s="78" t="s">
        <v>11</v>
      </c>
      <c r="C12" s="116">
        <f t="shared" ref="C12:C20" si="3">C11</f>
        <v>113.77333333333333</v>
      </c>
      <c r="D12" s="119">
        <f t="shared" si="2"/>
        <v>5</v>
      </c>
      <c r="E12" s="344"/>
      <c r="F12" s="121">
        <f>(((F27/7.2)-(F29))*'Vantaggio Cliente iDea vs RID'!G3)+('Vantaggio Cliente iDea vs RID'!G16*'Vantaggio Cliente iDea vs RID'!F3)</f>
        <v>326.11111111111109</v>
      </c>
      <c r="G12" s="122">
        <f t="shared" si="1"/>
        <v>37.102748148148144</v>
      </c>
      <c r="H12" s="356"/>
      <c r="I12" s="375"/>
      <c r="J12" s="378"/>
      <c r="K12" s="371"/>
      <c r="L12" s="365"/>
      <c r="M12" s="332"/>
      <c r="N12" s="368"/>
    </row>
    <row r="13" spans="1:14" x14ac:dyDescent="0.25">
      <c r="A13" s="115">
        <v>2024</v>
      </c>
      <c r="B13" s="78" t="s">
        <v>12</v>
      </c>
      <c r="C13" s="116">
        <f t="shared" si="3"/>
        <v>113.77333333333333</v>
      </c>
      <c r="D13" s="119">
        <f t="shared" si="2"/>
        <v>5</v>
      </c>
      <c r="E13" s="344"/>
      <c r="F13" s="121">
        <f>(((F27/6.3529411)-(F29))*'Vantaggio Cliente iDea vs RID'!G3)+('Vantaggio Cliente iDea vs RID'!G17*'Vantaggio Cliente iDea vs RID'!F3)</f>
        <v>390.9259325574418</v>
      </c>
      <c r="G13" s="122">
        <f t="shared" si="1"/>
        <v>44.476946433502007</v>
      </c>
      <c r="H13" s="356"/>
      <c r="I13" s="375"/>
      <c r="J13" s="378"/>
      <c r="K13" s="371"/>
      <c r="L13" s="365"/>
      <c r="M13" s="332"/>
      <c r="N13" s="368"/>
    </row>
    <row r="14" spans="1:14" x14ac:dyDescent="0.25">
      <c r="A14" s="115">
        <v>2024</v>
      </c>
      <c r="B14" s="78" t="s">
        <v>13</v>
      </c>
      <c r="C14" s="116">
        <f t="shared" si="3"/>
        <v>113.77333333333333</v>
      </c>
      <c r="D14" s="119">
        <f t="shared" si="2"/>
        <v>5</v>
      </c>
      <c r="E14" s="344"/>
      <c r="F14" s="121">
        <f>(((F27/7.2)-F29)*'Vantaggio Cliente iDea vs RID'!G3)+('Vantaggio Cliente iDea vs RID'!G18*'Vantaggio Cliente iDea vs RID'!F3)</f>
        <v>326.11111111111109</v>
      </c>
      <c r="G14" s="122">
        <f t="shared" si="1"/>
        <v>37.102748148148144</v>
      </c>
      <c r="H14" s="356"/>
      <c r="I14" s="375"/>
      <c r="J14" s="378"/>
      <c r="K14" s="371"/>
      <c r="L14" s="365"/>
      <c r="M14" s="332"/>
      <c r="N14" s="368"/>
    </row>
    <row r="15" spans="1:14" x14ac:dyDescent="0.25">
      <c r="A15" s="115">
        <v>2024</v>
      </c>
      <c r="B15" s="78" t="s">
        <v>14</v>
      </c>
      <c r="C15" s="116">
        <f t="shared" si="3"/>
        <v>113.77333333333333</v>
      </c>
      <c r="D15" s="119">
        <f t="shared" si="2"/>
        <v>5</v>
      </c>
      <c r="E15" s="344"/>
      <c r="F15" s="121">
        <f>(((F27/9)-(F29))*'Vantaggio Cliente iDea vs RID'!G3)+('Vantaggio Cliente iDea vs RID'!G19*'Vantaggio Cliente iDea vs RID'!F3)</f>
        <v>228.88888888888891</v>
      </c>
      <c r="G15" s="122">
        <f t="shared" si="1"/>
        <v>26.041451851851853</v>
      </c>
      <c r="H15" s="356"/>
      <c r="I15" s="375"/>
      <c r="J15" s="378"/>
      <c r="K15" s="371"/>
      <c r="L15" s="365"/>
      <c r="M15" s="332"/>
      <c r="N15" s="368"/>
    </row>
    <row r="16" spans="1:14" x14ac:dyDescent="0.25">
      <c r="A16" s="115">
        <v>2024</v>
      </c>
      <c r="B16" s="78" t="s">
        <v>15</v>
      </c>
      <c r="C16" s="116">
        <f t="shared" si="3"/>
        <v>113.77333333333333</v>
      </c>
      <c r="D16" s="119">
        <f t="shared" si="2"/>
        <v>5</v>
      </c>
      <c r="E16" s="344"/>
      <c r="F16" s="121">
        <f>(((F27/13.5)-(F29))*'Vantaggio Cliente iDea vs RID'!G3)+('Vantaggio Cliente iDea vs RID'!G20*'Vantaggio Cliente iDea vs RID'!F3)</f>
        <v>99.259259259259238</v>
      </c>
      <c r="G16" s="122">
        <f t="shared" si="1"/>
        <v>11.293056790123453</v>
      </c>
      <c r="H16" s="356"/>
      <c r="I16" s="375"/>
      <c r="J16" s="378"/>
      <c r="K16" s="371"/>
      <c r="L16" s="365"/>
      <c r="M16" s="332"/>
      <c r="N16" s="368"/>
    </row>
    <row r="17" spans="1:14" x14ac:dyDescent="0.25">
      <c r="A17" s="115">
        <v>2024</v>
      </c>
      <c r="B17" s="78" t="s">
        <v>16</v>
      </c>
      <c r="C17" s="116">
        <f t="shared" si="3"/>
        <v>113.77333333333333</v>
      </c>
      <c r="D17" s="119">
        <f t="shared" si="2"/>
        <v>5</v>
      </c>
      <c r="E17" s="344"/>
      <c r="F17" s="121">
        <f>(((F27/13.5)-(F29))*'Vantaggio Cliente iDea vs RID'!G3)+('Vantaggio Cliente iDea vs RID'!G21*'Vantaggio Cliente iDea vs RID'!F3)</f>
        <v>99.259259259259238</v>
      </c>
      <c r="G17" s="122">
        <f t="shared" si="1"/>
        <v>11.293056790123453</v>
      </c>
      <c r="H17" s="356"/>
      <c r="I17" s="375"/>
      <c r="J17" s="378"/>
      <c r="K17" s="371"/>
      <c r="L17" s="365"/>
      <c r="M17" s="332"/>
      <c r="N17" s="368"/>
    </row>
    <row r="18" spans="1:14" x14ac:dyDescent="0.25">
      <c r="A18" s="115">
        <v>2024</v>
      </c>
      <c r="B18" s="78" t="s">
        <v>17</v>
      </c>
      <c r="C18" s="116">
        <f t="shared" si="3"/>
        <v>113.77333333333333</v>
      </c>
      <c r="D18" s="119">
        <f t="shared" si="2"/>
        <v>5</v>
      </c>
      <c r="E18" s="344"/>
      <c r="F18" s="121">
        <f>(((F27/21.6)-(F29))*'Vantaggio Cliente iDea vs RID'!G3)+('Vantaggio Cliente iDea vs RID'!G22*'Vantaggio Cliente iDea vs RID'!F3)</f>
        <v>2.0370370370370381</v>
      </c>
      <c r="G18" s="122">
        <f t="shared" si="1"/>
        <v>0.23176049382716057</v>
      </c>
      <c r="H18" s="356"/>
      <c r="I18" s="375"/>
      <c r="J18" s="378"/>
      <c r="K18" s="371"/>
      <c r="L18" s="365"/>
      <c r="M18" s="332"/>
      <c r="N18" s="368"/>
    </row>
    <row r="19" spans="1:14" x14ac:dyDescent="0.25">
      <c r="A19" s="115">
        <v>2024</v>
      </c>
      <c r="B19" s="78" t="s">
        <v>18</v>
      </c>
      <c r="C19" s="116">
        <f t="shared" si="3"/>
        <v>113.77333333333333</v>
      </c>
      <c r="D19" s="119">
        <f t="shared" si="2"/>
        <v>5</v>
      </c>
      <c r="E19" s="344"/>
      <c r="F19" s="120">
        <v>0</v>
      </c>
      <c r="G19" s="118">
        <f t="shared" si="1"/>
        <v>0</v>
      </c>
      <c r="H19" s="356"/>
      <c r="I19" s="375"/>
      <c r="J19" s="378"/>
      <c r="K19" s="371"/>
      <c r="L19" s="365"/>
      <c r="M19" s="332"/>
      <c r="N19" s="368"/>
    </row>
    <row r="20" spans="1:14" x14ac:dyDescent="0.25">
      <c r="A20" s="115">
        <v>2024</v>
      </c>
      <c r="B20" s="78" t="s">
        <v>19</v>
      </c>
      <c r="C20" s="116">
        <f t="shared" si="3"/>
        <v>113.77333333333333</v>
      </c>
      <c r="D20" s="119">
        <f t="shared" si="2"/>
        <v>5</v>
      </c>
      <c r="E20" s="345"/>
      <c r="F20" s="120">
        <v>0</v>
      </c>
      <c r="G20" s="118">
        <f t="shared" si="1"/>
        <v>0</v>
      </c>
      <c r="H20" s="357"/>
      <c r="I20" s="375"/>
      <c r="J20" s="378"/>
      <c r="K20" s="371"/>
      <c r="L20" s="365"/>
      <c r="M20" s="332"/>
      <c r="N20" s="368"/>
    </row>
    <row r="21" spans="1:14" x14ac:dyDescent="0.25">
      <c r="A21" s="115">
        <v>2024</v>
      </c>
      <c r="B21" s="78" t="s">
        <v>20</v>
      </c>
      <c r="C21" s="116">
        <v>119.483333</v>
      </c>
      <c r="D21" s="119">
        <f t="shared" si="2"/>
        <v>5</v>
      </c>
      <c r="E21" s="349">
        <f>'Vantaggio Cliente iDea vs RID'!C35</f>
        <v>594</v>
      </c>
      <c r="F21" s="121">
        <f>(((F30*(1-'Vantaggio Cliente iDea vs RID'!F3))*('Vantaggio Cliente iDea vs RID'!G3)+('Vantaggio Cliente iDea vs RID'!F3*'analisi accumulo prosumer'!D24))*'Vantaggio Cliente iDea vs RID'!G3)+('analisi accumulo prosumer'!E24*'Vantaggio Cliente iDea vs RID'!F3)</f>
        <v>350.4</v>
      </c>
      <c r="G21" s="118">
        <f t="shared" si="1"/>
        <v>41.866959883199996</v>
      </c>
      <c r="H21" s="358">
        <f>E21*C23/1000</f>
        <v>70.973099801999993</v>
      </c>
      <c r="I21" s="375"/>
      <c r="J21" s="378"/>
      <c r="K21" s="371"/>
      <c r="L21" s="365"/>
      <c r="M21" s="332"/>
      <c r="N21" s="368"/>
    </row>
    <row r="22" spans="1:14" x14ac:dyDescent="0.25">
      <c r="A22" s="115">
        <v>2024</v>
      </c>
      <c r="B22" s="78" t="s">
        <v>21</v>
      </c>
      <c r="C22" s="116">
        <v>119.483333</v>
      </c>
      <c r="D22" s="119">
        <f t="shared" si="2"/>
        <v>5</v>
      </c>
      <c r="E22" s="350"/>
      <c r="F22" s="120">
        <v>0</v>
      </c>
      <c r="G22" s="118">
        <f t="shared" si="1"/>
        <v>0</v>
      </c>
      <c r="H22" s="359"/>
      <c r="I22" s="375"/>
      <c r="J22" s="378"/>
      <c r="K22" s="371"/>
      <c r="L22" s="365"/>
      <c r="M22" s="332"/>
      <c r="N22" s="368"/>
    </row>
    <row r="23" spans="1:14" x14ac:dyDescent="0.25">
      <c r="A23" s="115">
        <v>2024</v>
      </c>
      <c r="B23" s="78" t="s">
        <v>22</v>
      </c>
      <c r="C23" s="116">
        <v>119.483333</v>
      </c>
      <c r="D23" s="119">
        <f t="shared" si="2"/>
        <v>5</v>
      </c>
      <c r="E23" s="350"/>
      <c r="F23" s="120">
        <v>0</v>
      </c>
      <c r="G23" s="118">
        <f t="shared" si="1"/>
        <v>0</v>
      </c>
      <c r="H23" s="359"/>
      <c r="I23" s="375"/>
      <c r="J23" s="378"/>
      <c r="K23" s="371"/>
      <c r="L23" s="365"/>
      <c r="M23" s="332"/>
      <c r="N23" s="368"/>
    </row>
    <row r="24" spans="1:14" x14ac:dyDescent="0.25">
      <c r="A24" s="115">
        <v>2024</v>
      </c>
      <c r="B24" s="78" t="s">
        <v>23</v>
      </c>
      <c r="C24" s="116">
        <v>119.483333</v>
      </c>
      <c r="D24" s="119">
        <f t="shared" si="2"/>
        <v>5</v>
      </c>
      <c r="E24" s="350"/>
      <c r="F24" s="120">
        <v>0</v>
      </c>
      <c r="G24" s="118">
        <f t="shared" si="1"/>
        <v>0</v>
      </c>
      <c r="H24" s="359"/>
      <c r="I24" s="375"/>
      <c r="J24" s="378"/>
      <c r="K24" s="371"/>
      <c r="L24" s="365"/>
      <c r="M24" s="332"/>
      <c r="N24" s="368"/>
    </row>
    <row r="25" spans="1:14" x14ac:dyDescent="0.25">
      <c r="A25" s="115">
        <v>2024</v>
      </c>
      <c r="B25" s="78" t="s">
        <v>24</v>
      </c>
      <c r="C25" s="116">
        <v>119.483333</v>
      </c>
      <c r="D25" s="119">
        <f t="shared" si="2"/>
        <v>5</v>
      </c>
      <c r="E25" s="351"/>
      <c r="F25" s="120">
        <v>0</v>
      </c>
      <c r="G25" s="118">
        <f t="shared" si="1"/>
        <v>0</v>
      </c>
      <c r="H25" s="360"/>
      <c r="I25" s="375"/>
      <c r="J25" s="378"/>
      <c r="K25" s="371"/>
      <c r="L25" s="365"/>
      <c r="M25" s="332"/>
      <c r="N25" s="368"/>
    </row>
    <row r="26" spans="1:14" x14ac:dyDescent="0.25">
      <c r="A26" s="115">
        <v>2024</v>
      </c>
      <c r="B26" s="78" t="s">
        <v>25</v>
      </c>
      <c r="C26" s="116">
        <f>C5</f>
        <v>98.351666666666674</v>
      </c>
      <c r="D26" s="119">
        <f t="shared" si="2"/>
        <v>5</v>
      </c>
      <c r="E26" s="125"/>
      <c r="F26" s="120">
        <v>0</v>
      </c>
      <c r="G26" s="118">
        <f t="shared" si="1"/>
        <v>0</v>
      </c>
      <c r="H26" s="126"/>
      <c r="I26" s="376"/>
      <c r="J26" s="379"/>
      <c r="K26" s="372"/>
      <c r="L26" s="366"/>
      <c r="M26" s="333"/>
      <c r="N26" s="369"/>
    </row>
    <row r="27" spans="1:14" ht="15.75" thickBot="1" x14ac:dyDescent="0.3">
      <c r="A27" s="127"/>
      <c r="B27" s="128"/>
      <c r="C27" s="128"/>
      <c r="D27" s="129">
        <f>AVERAGE(D3:D26)</f>
        <v>5</v>
      </c>
      <c r="E27" s="130">
        <f>'Vantaggio Cliente iDea vs RID'!E3</f>
        <v>1800</v>
      </c>
      <c r="F27" s="131">
        <f>'Vantaggio Cliente iDea vs RID'!D3</f>
        <v>3500</v>
      </c>
      <c r="G27" s="132">
        <f>SUM(G3:G26)</f>
        <v>439.49499335373901</v>
      </c>
      <c r="H27" s="133">
        <f>SUM(H3:H26)</f>
        <v>194.02664980200001</v>
      </c>
      <c r="I27" s="134">
        <f t="shared" ref="I27:N27" si="4">I3</f>
        <v>105</v>
      </c>
      <c r="J27" s="135">
        <f t="shared" si="4"/>
        <v>9.9</v>
      </c>
      <c r="K27" s="136">
        <f t="shared" si="4"/>
        <v>130.56834355173899</v>
      </c>
      <c r="L27" s="275">
        <f t="shared" si="4"/>
        <v>0</v>
      </c>
      <c r="M27" s="137">
        <f t="shared" si="4"/>
        <v>67.323304974765691</v>
      </c>
      <c r="N27" s="138">
        <f t="shared" si="4"/>
        <v>173.11213972602738</v>
      </c>
    </row>
    <row r="28" spans="1:14" s="139" customFormat="1" ht="15.75" thickBot="1" x14ac:dyDescent="0.3">
      <c r="E28" s="362" t="s">
        <v>228</v>
      </c>
      <c r="F28" s="140">
        <f>SUM(F8:F20)</f>
        <v>3402.777784409293</v>
      </c>
      <c r="G28" s="141"/>
      <c r="H28" s="361" t="s">
        <v>46</v>
      </c>
      <c r="I28" s="142"/>
      <c r="J28" s="143"/>
      <c r="K28" s="144"/>
      <c r="L28" s="144"/>
    </row>
    <row r="29" spans="1:14" ht="15" customHeight="1" x14ac:dyDescent="0.25">
      <c r="A29" s="373"/>
      <c r="B29" s="373"/>
      <c r="C29" s="373"/>
      <c r="D29" s="145"/>
      <c r="E29" s="363"/>
      <c r="F29" s="146">
        <f>(30*4*'Vantaggio Cliente iDea vs RID'!I55)/9</f>
        <v>160</v>
      </c>
      <c r="G29" s="145"/>
      <c r="H29" s="361"/>
      <c r="I29" s="147"/>
      <c r="J29" s="144"/>
      <c r="K29" s="144"/>
      <c r="L29" s="144"/>
    </row>
    <row r="30" spans="1:14" ht="44.25" customHeight="1" x14ac:dyDescent="0.25">
      <c r="A30" s="373"/>
      <c r="B30" s="373"/>
      <c r="C30" s="373"/>
      <c r="D30" s="145"/>
      <c r="E30" s="363"/>
      <c r="F30" s="146">
        <f>('Vantaggio Cliente iDea vs RID'!I55*365)/12.5</f>
        <v>350.4</v>
      </c>
      <c r="G30" s="145"/>
      <c r="H30" s="361"/>
    </row>
    <row r="31" spans="1:14" x14ac:dyDescent="0.25">
      <c r="B31" s="148"/>
      <c r="C31" s="149"/>
      <c r="E31" s="363"/>
      <c r="F31" s="80">
        <f>E27*0.16</f>
        <v>288</v>
      </c>
      <c r="G31" s="150">
        <f>-(F31*C12)/1000</f>
        <v>-32.766719999999999</v>
      </c>
      <c r="H31" s="361"/>
    </row>
    <row r="32" spans="1:14" x14ac:dyDescent="0.25">
      <c r="B32" s="148"/>
      <c r="C32" s="149"/>
      <c r="E32" s="363"/>
      <c r="F32" s="80">
        <f>E27*0.33</f>
        <v>594</v>
      </c>
      <c r="G32" s="150">
        <f>-(F32*C25)/1000</f>
        <v>-70.973099801999993</v>
      </c>
      <c r="H32" s="361"/>
    </row>
    <row r="33" spans="1:8" x14ac:dyDescent="0.25">
      <c r="B33" s="148"/>
      <c r="C33" s="149"/>
      <c r="E33" s="363"/>
      <c r="F33" s="80">
        <f>E27*0.51</f>
        <v>918</v>
      </c>
      <c r="G33" s="150">
        <f>-(F33*C26)/1000</f>
        <v>-90.286829999999995</v>
      </c>
      <c r="H33" s="361"/>
    </row>
    <row r="34" spans="1:8" x14ac:dyDescent="0.25">
      <c r="B34" s="148"/>
      <c r="C34" s="149"/>
      <c r="E34" s="363"/>
      <c r="F34" s="80"/>
      <c r="G34" s="150"/>
      <c r="H34" s="361"/>
    </row>
    <row r="35" spans="1:8" ht="26.25" customHeight="1" x14ac:dyDescent="0.25">
      <c r="A35" s="151"/>
      <c r="B35" s="139"/>
      <c r="C35" s="152"/>
      <c r="E35" s="363"/>
      <c r="F35" s="80"/>
      <c r="G35" s="153">
        <f>50*-1</f>
        <v>-50</v>
      </c>
      <c r="H35" s="361"/>
    </row>
    <row r="36" spans="1:8" ht="15.75" thickBot="1" x14ac:dyDescent="0.3">
      <c r="A36" s="151"/>
      <c r="B36" s="154"/>
      <c r="C36" s="152"/>
      <c r="E36" s="363"/>
      <c r="F36" s="155">
        <f>F31+F32+F33</f>
        <v>1800</v>
      </c>
      <c r="G36" s="153">
        <f>F36*0.047</f>
        <v>84.6</v>
      </c>
      <c r="H36" s="361"/>
    </row>
    <row r="37" spans="1:8" ht="33" customHeight="1" x14ac:dyDescent="0.25">
      <c r="A37" s="151"/>
      <c r="B37" s="334" t="s">
        <v>45</v>
      </c>
      <c r="C37" s="335"/>
      <c r="D37" s="335"/>
      <c r="E37" s="335"/>
      <c r="F37" s="335"/>
      <c r="G37" s="336"/>
    </row>
    <row r="38" spans="1:8" x14ac:dyDescent="0.25">
      <c r="B38" s="337"/>
      <c r="C38" s="338"/>
      <c r="D38" s="338"/>
      <c r="E38" s="338"/>
      <c r="F38" s="338"/>
      <c r="G38" s="339"/>
    </row>
    <row r="39" spans="1:8" x14ac:dyDescent="0.25">
      <c r="B39" s="337"/>
      <c r="C39" s="338"/>
      <c r="D39" s="338"/>
      <c r="E39" s="338"/>
      <c r="F39" s="338"/>
      <c r="G39" s="339"/>
    </row>
    <row r="40" spans="1:8" x14ac:dyDescent="0.25">
      <c r="B40" s="337"/>
      <c r="C40" s="338"/>
      <c r="D40" s="338"/>
      <c r="E40" s="338"/>
      <c r="F40" s="338"/>
      <c r="G40" s="339"/>
    </row>
    <row r="41" spans="1:8" x14ac:dyDescent="0.25">
      <c r="B41" s="337"/>
      <c r="C41" s="338"/>
      <c r="D41" s="338"/>
      <c r="E41" s="338"/>
      <c r="F41" s="338"/>
      <c r="G41" s="339"/>
    </row>
    <row r="42" spans="1:8" x14ac:dyDescent="0.25">
      <c r="B42" s="337"/>
      <c r="C42" s="338"/>
      <c r="D42" s="338"/>
      <c r="E42" s="338"/>
      <c r="F42" s="338"/>
      <c r="G42" s="339"/>
    </row>
    <row r="43" spans="1:8" x14ac:dyDescent="0.25">
      <c r="B43" s="337"/>
      <c r="C43" s="338"/>
      <c r="D43" s="338"/>
      <c r="E43" s="338"/>
      <c r="F43" s="338"/>
      <c r="G43" s="339"/>
    </row>
    <row r="44" spans="1:8" x14ac:dyDescent="0.25">
      <c r="B44" s="337"/>
      <c r="C44" s="338"/>
      <c r="D44" s="338"/>
      <c r="E44" s="338"/>
      <c r="F44" s="338"/>
      <c r="G44" s="339"/>
    </row>
    <row r="45" spans="1:8" x14ac:dyDescent="0.25">
      <c r="B45" s="337"/>
      <c r="C45" s="338"/>
      <c r="D45" s="338"/>
      <c r="E45" s="338"/>
      <c r="F45" s="338"/>
      <c r="G45" s="339"/>
    </row>
    <row r="46" spans="1:8" x14ac:dyDescent="0.25">
      <c r="B46" s="337"/>
      <c r="C46" s="338"/>
      <c r="D46" s="338"/>
      <c r="E46" s="338"/>
      <c r="F46" s="338"/>
      <c r="G46" s="339"/>
    </row>
    <row r="47" spans="1:8" x14ac:dyDescent="0.25">
      <c r="B47" s="337"/>
      <c r="C47" s="338"/>
      <c r="D47" s="338"/>
      <c r="E47" s="338"/>
      <c r="F47" s="338"/>
      <c r="G47" s="339"/>
    </row>
    <row r="48" spans="1:8" x14ac:dyDescent="0.25">
      <c r="B48" s="337"/>
      <c r="C48" s="338"/>
      <c r="D48" s="338"/>
      <c r="E48" s="338"/>
      <c r="F48" s="338"/>
      <c r="G48" s="339"/>
    </row>
    <row r="49" spans="2:7" x14ac:dyDescent="0.25">
      <c r="B49" s="337"/>
      <c r="C49" s="338"/>
      <c r="D49" s="338"/>
      <c r="E49" s="338"/>
      <c r="F49" s="338"/>
      <c r="G49" s="339"/>
    </row>
    <row r="50" spans="2:7" x14ac:dyDescent="0.25">
      <c r="B50" s="337"/>
      <c r="C50" s="338"/>
      <c r="D50" s="338"/>
      <c r="E50" s="338"/>
      <c r="F50" s="338"/>
      <c r="G50" s="339"/>
    </row>
    <row r="51" spans="2:7" x14ac:dyDescent="0.25">
      <c r="B51" s="337"/>
      <c r="C51" s="338"/>
      <c r="D51" s="338"/>
      <c r="E51" s="338"/>
      <c r="F51" s="338"/>
      <c r="G51" s="339"/>
    </row>
    <row r="52" spans="2:7" x14ac:dyDescent="0.25">
      <c r="B52" s="337"/>
      <c r="C52" s="338"/>
      <c r="D52" s="338"/>
      <c r="E52" s="338"/>
      <c r="F52" s="338"/>
      <c r="G52" s="339"/>
    </row>
    <row r="53" spans="2:7" x14ac:dyDescent="0.25">
      <c r="B53" s="337"/>
      <c r="C53" s="338"/>
      <c r="D53" s="338"/>
      <c r="E53" s="338"/>
      <c r="F53" s="338"/>
      <c r="G53" s="339"/>
    </row>
    <row r="54" spans="2:7" x14ac:dyDescent="0.25">
      <c r="B54" s="337"/>
      <c r="C54" s="338"/>
      <c r="D54" s="338"/>
      <c r="E54" s="338"/>
      <c r="F54" s="338"/>
      <c r="G54" s="339"/>
    </row>
    <row r="55" spans="2:7" x14ac:dyDescent="0.25">
      <c r="B55" s="337"/>
      <c r="C55" s="338"/>
      <c r="D55" s="338"/>
      <c r="E55" s="338"/>
      <c r="F55" s="338"/>
      <c r="G55" s="339"/>
    </row>
    <row r="56" spans="2:7" x14ac:dyDescent="0.25">
      <c r="B56" s="337"/>
      <c r="C56" s="338"/>
      <c r="D56" s="338"/>
      <c r="E56" s="338"/>
      <c r="F56" s="338"/>
      <c r="G56" s="339"/>
    </row>
    <row r="57" spans="2:7" x14ac:dyDescent="0.25">
      <c r="B57" s="337"/>
      <c r="C57" s="338"/>
      <c r="D57" s="338"/>
      <c r="E57" s="338"/>
      <c r="F57" s="338"/>
      <c r="G57" s="339"/>
    </row>
    <row r="58" spans="2:7" x14ac:dyDescent="0.25">
      <c r="B58" s="337"/>
      <c r="C58" s="338"/>
      <c r="D58" s="338"/>
      <c r="E58" s="338"/>
      <c r="F58" s="338"/>
      <c r="G58" s="339"/>
    </row>
    <row r="59" spans="2:7" x14ac:dyDescent="0.25">
      <c r="B59" s="337"/>
      <c r="C59" s="338"/>
      <c r="D59" s="338"/>
      <c r="E59" s="338"/>
      <c r="F59" s="338"/>
      <c r="G59" s="339"/>
    </row>
    <row r="60" spans="2:7" x14ac:dyDescent="0.25">
      <c r="B60" s="337"/>
      <c r="C60" s="338"/>
      <c r="D60" s="338"/>
      <c r="E60" s="338"/>
      <c r="F60" s="338"/>
      <c r="G60" s="339"/>
    </row>
    <row r="61" spans="2:7" x14ac:dyDescent="0.25">
      <c r="B61" s="337"/>
      <c r="C61" s="338"/>
      <c r="D61" s="338"/>
      <c r="E61" s="338"/>
      <c r="F61" s="338"/>
      <c r="G61" s="339"/>
    </row>
    <row r="62" spans="2:7" x14ac:dyDescent="0.25">
      <c r="B62" s="337"/>
      <c r="C62" s="338"/>
      <c r="D62" s="338"/>
      <c r="E62" s="338"/>
      <c r="F62" s="338"/>
      <c r="G62" s="339"/>
    </row>
    <row r="63" spans="2:7" x14ac:dyDescent="0.25">
      <c r="B63" s="337"/>
      <c r="C63" s="338"/>
      <c r="D63" s="338"/>
      <c r="E63" s="338"/>
      <c r="F63" s="338"/>
      <c r="G63" s="339"/>
    </row>
    <row r="64" spans="2:7" x14ac:dyDescent="0.25">
      <c r="B64" s="337"/>
      <c r="C64" s="338"/>
      <c r="D64" s="338"/>
      <c r="E64" s="338"/>
      <c r="F64" s="338"/>
      <c r="G64" s="339"/>
    </row>
    <row r="65" spans="2:7" x14ac:dyDescent="0.25">
      <c r="B65" s="337"/>
      <c r="C65" s="338"/>
      <c r="D65" s="338"/>
      <c r="E65" s="338"/>
      <c r="F65" s="338"/>
      <c r="G65" s="339"/>
    </row>
    <row r="66" spans="2:7" x14ac:dyDescent="0.25">
      <c r="B66" s="337"/>
      <c r="C66" s="338"/>
      <c r="D66" s="338"/>
      <c r="E66" s="338"/>
      <c r="F66" s="338"/>
      <c r="G66" s="339"/>
    </row>
    <row r="67" spans="2:7" x14ac:dyDescent="0.25">
      <c r="B67" s="337"/>
      <c r="C67" s="338"/>
      <c r="D67" s="338"/>
      <c r="E67" s="338"/>
      <c r="F67" s="338"/>
      <c r="G67" s="339"/>
    </row>
    <row r="68" spans="2:7" x14ac:dyDescent="0.25">
      <c r="B68" s="337"/>
      <c r="C68" s="338"/>
      <c r="D68" s="338"/>
      <c r="E68" s="338"/>
      <c r="F68" s="338"/>
      <c r="G68" s="339"/>
    </row>
    <row r="69" spans="2:7" x14ac:dyDescent="0.25">
      <c r="B69" s="337"/>
      <c r="C69" s="338"/>
      <c r="D69" s="338"/>
      <c r="E69" s="338"/>
      <c r="F69" s="338"/>
      <c r="G69" s="339"/>
    </row>
    <row r="70" spans="2:7" x14ac:dyDescent="0.25">
      <c r="B70" s="337"/>
      <c r="C70" s="338"/>
      <c r="D70" s="338"/>
      <c r="E70" s="338"/>
      <c r="F70" s="338"/>
      <c r="G70" s="339"/>
    </row>
    <row r="71" spans="2:7" x14ac:dyDescent="0.25">
      <c r="B71" s="337"/>
      <c r="C71" s="338"/>
      <c r="D71" s="338"/>
      <c r="E71" s="338"/>
      <c r="F71" s="338"/>
      <c r="G71" s="339"/>
    </row>
    <row r="72" spans="2:7" x14ac:dyDescent="0.25">
      <c r="B72" s="337"/>
      <c r="C72" s="338"/>
      <c r="D72" s="338"/>
      <c r="E72" s="338"/>
      <c r="F72" s="338"/>
      <c r="G72" s="339"/>
    </row>
    <row r="73" spans="2:7" x14ac:dyDescent="0.25">
      <c r="B73" s="337"/>
      <c r="C73" s="338"/>
      <c r="D73" s="338"/>
      <c r="E73" s="338"/>
      <c r="F73" s="338"/>
      <c r="G73" s="339"/>
    </row>
    <row r="74" spans="2:7" x14ac:dyDescent="0.25">
      <c r="B74" s="337"/>
      <c r="C74" s="338"/>
      <c r="D74" s="338"/>
      <c r="E74" s="338"/>
      <c r="F74" s="338"/>
      <c r="G74" s="339"/>
    </row>
    <row r="75" spans="2:7" x14ac:dyDescent="0.25">
      <c r="B75" s="337"/>
      <c r="C75" s="338"/>
      <c r="D75" s="338"/>
      <c r="E75" s="338"/>
      <c r="F75" s="338"/>
      <c r="G75" s="339"/>
    </row>
    <row r="76" spans="2:7" x14ac:dyDescent="0.25">
      <c r="B76" s="337"/>
      <c r="C76" s="338"/>
      <c r="D76" s="338"/>
      <c r="E76" s="338"/>
      <c r="F76" s="338"/>
      <c r="G76" s="339"/>
    </row>
    <row r="77" spans="2:7" x14ac:dyDescent="0.25">
      <c r="B77" s="337"/>
      <c r="C77" s="338"/>
      <c r="D77" s="338"/>
      <c r="E77" s="338"/>
      <c r="F77" s="338"/>
      <c r="G77" s="339"/>
    </row>
    <row r="78" spans="2:7" x14ac:dyDescent="0.25">
      <c r="B78" s="337"/>
      <c r="C78" s="338"/>
      <c r="D78" s="338"/>
      <c r="E78" s="338"/>
      <c r="F78" s="338"/>
      <c r="G78" s="339"/>
    </row>
    <row r="79" spans="2:7" x14ac:dyDescent="0.25">
      <c r="B79" s="337"/>
      <c r="C79" s="338"/>
      <c r="D79" s="338"/>
      <c r="E79" s="338"/>
      <c r="F79" s="338"/>
      <c r="G79" s="339"/>
    </row>
    <row r="80" spans="2:7" x14ac:dyDescent="0.25">
      <c r="B80" s="337"/>
      <c r="C80" s="338"/>
      <c r="D80" s="338"/>
      <c r="E80" s="338"/>
      <c r="F80" s="338"/>
      <c r="G80" s="339"/>
    </row>
    <row r="81" spans="2:7" x14ac:dyDescent="0.25">
      <c r="B81" s="337"/>
      <c r="C81" s="338"/>
      <c r="D81" s="338"/>
      <c r="E81" s="338"/>
      <c r="F81" s="338"/>
      <c r="G81" s="339"/>
    </row>
    <row r="82" spans="2:7" ht="15.75" thickBot="1" x14ac:dyDescent="0.3">
      <c r="B82" s="340"/>
      <c r="C82" s="341"/>
      <c r="D82" s="341"/>
      <c r="E82" s="341"/>
      <c r="F82" s="341"/>
      <c r="G82" s="342"/>
    </row>
  </sheetData>
  <sheetProtection algorithmName="SHA-512" hashValue="7u0iwcv6i2qVwrI4U33RRVK6TCUj2hrR1eRtLNKmyJqaDGzmwu7ogOzV2Pq0enZVjzfybIljOVj4nFKhMrdxzg==" saltValue="2gxumwv4cTs6hQ+smmtxgw==" spinCount="100000" sheet="1" objects="1" scenarios="1"/>
  <mergeCells count="17">
    <mergeCell ref="N3:N26"/>
    <mergeCell ref="K3:K26"/>
    <mergeCell ref="A29:C30"/>
    <mergeCell ref="I3:I26"/>
    <mergeCell ref="J3:J26"/>
    <mergeCell ref="A1:M1"/>
    <mergeCell ref="M3:M26"/>
    <mergeCell ref="B37:G82"/>
    <mergeCell ref="E10:E20"/>
    <mergeCell ref="E3:E8"/>
    <mergeCell ref="E21:E25"/>
    <mergeCell ref="H3:H8"/>
    <mergeCell ref="H10:H20"/>
    <mergeCell ref="H21:H25"/>
    <mergeCell ref="H28:H36"/>
    <mergeCell ref="E28:E36"/>
    <mergeCell ref="L3:L26"/>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A776A-38C5-427D-81C2-BFBF3BC08C86}">
  <dimension ref="A1:K49"/>
  <sheetViews>
    <sheetView zoomScale="96" zoomScaleNormal="130" workbookViewId="0">
      <selection activeCell="G29" sqref="G29"/>
    </sheetView>
  </sheetViews>
  <sheetFormatPr defaultRowHeight="15" x14ac:dyDescent="0.25"/>
  <cols>
    <col min="1" max="1" width="12.140625" customWidth="1"/>
    <col min="3" max="3" width="15.7109375" customWidth="1"/>
    <col min="4" max="4" width="13" customWidth="1"/>
    <col min="5" max="5" width="14.140625" customWidth="1"/>
    <col min="6" max="6" width="12.140625" customWidth="1"/>
    <col min="7" max="7" width="19.42578125" customWidth="1"/>
    <col min="8" max="8" width="22" customWidth="1"/>
    <col min="9" max="9" width="19.42578125" customWidth="1"/>
    <col min="10" max="10" width="13.140625" customWidth="1"/>
    <col min="11" max="11" width="20.42578125" customWidth="1"/>
  </cols>
  <sheetData>
    <row r="1" spans="1:11" ht="31.5" customHeight="1" x14ac:dyDescent="0.25">
      <c r="A1" s="44" t="s">
        <v>110</v>
      </c>
      <c r="B1" s="45" t="s">
        <v>111</v>
      </c>
      <c r="C1" s="45" t="s">
        <v>128</v>
      </c>
      <c r="D1" s="45" t="s">
        <v>124</v>
      </c>
      <c r="E1" s="45" t="s">
        <v>123</v>
      </c>
      <c r="F1" s="46" t="s">
        <v>122</v>
      </c>
      <c r="G1" s="47" t="s">
        <v>130</v>
      </c>
      <c r="H1" s="45" t="s">
        <v>132</v>
      </c>
      <c r="I1" s="45" t="s">
        <v>131</v>
      </c>
      <c r="J1" s="45" t="s">
        <v>126</v>
      </c>
      <c r="K1" s="48" t="s">
        <v>133</v>
      </c>
    </row>
    <row r="2" spans="1:11" x14ac:dyDescent="0.25">
      <c r="A2" s="4" t="s">
        <v>112</v>
      </c>
      <c r="B2" s="3">
        <v>744.82</v>
      </c>
      <c r="C2" s="49">
        <v>254</v>
      </c>
      <c r="D2" s="50">
        <v>152.38</v>
      </c>
      <c r="E2" s="50">
        <v>94.62</v>
      </c>
      <c r="F2" s="51">
        <v>7</v>
      </c>
      <c r="G2" s="52">
        <f>E2/(C2)</f>
        <v>0.37251968503937011</v>
      </c>
      <c r="H2" s="53">
        <f>(E2-J2)/C2</f>
        <v>0.33708661417322838</v>
      </c>
      <c r="I2" s="53">
        <f>(F2+E2)/(C2)</f>
        <v>0.40007874015748035</v>
      </c>
      <c r="J2" s="26">
        <v>9</v>
      </c>
      <c r="K2" s="16">
        <f>(E2+F2)/D2</f>
        <v>0.66688541803386281</v>
      </c>
    </row>
    <row r="3" spans="1:11" x14ac:dyDescent="0.25">
      <c r="A3" s="25" t="s">
        <v>125</v>
      </c>
      <c r="B3" s="3">
        <v>711.88</v>
      </c>
      <c r="C3" s="49">
        <v>237</v>
      </c>
      <c r="D3" s="50">
        <v>134.37</v>
      </c>
      <c r="E3" s="50">
        <v>95.37</v>
      </c>
      <c r="F3" s="51">
        <v>7</v>
      </c>
      <c r="G3" s="52">
        <f t="shared" ref="G3:G13" si="0">E3/(C3)</f>
        <v>0.40240506329113929</v>
      </c>
      <c r="H3" s="53">
        <f t="shared" ref="H3:H13" si="1">(E3-J3)/C3</f>
        <v>0.36443037974683545</v>
      </c>
      <c r="I3" s="53">
        <f t="shared" ref="I3:I13" si="2">(F3+E3)/(C3)</f>
        <v>0.43194092827004221</v>
      </c>
      <c r="J3" s="26">
        <v>9</v>
      </c>
      <c r="K3" s="16">
        <f t="shared" ref="K3:K6" si="3">(E3+F3)/D3</f>
        <v>0.76185160378060579</v>
      </c>
    </row>
    <row r="4" spans="1:11" x14ac:dyDescent="0.25">
      <c r="A4" s="25" t="s">
        <v>34</v>
      </c>
      <c r="B4" s="3">
        <v>454.03</v>
      </c>
      <c r="C4" s="49">
        <v>139</v>
      </c>
      <c r="D4" s="50">
        <v>76.47</v>
      </c>
      <c r="E4" s="50">
        <v>55.53</v>
      </c>
      <c r="F4" s="51">
        <v>7</v>
      </c>
      <c r="G4" s="52">
        <f t="shared" si="0"/>
        <v>0.39949640287769783</v>
      </c>
      <c r="H4" s="53">
        <f t="shared" si="1"/>
        <v>0.33474820143884892</v>
      </c>
      <c r="I4" s="53">
        <f t="shared" si="2"/>
        <v>0.44985611510791368</v>
      </c>
      <c r="J4" s="26">
        <v>9</v>
      </c>
      <c r="K4" s="16">
        <f t="shared" si="3"/>
        <v>0.81770629004838502</v>
      </c>
    </row>
    <row r="5" spans="1:11" x14ac:dyDescent="0.25">
      <c r="A5" s="25" t="s">
        <v>113</v>
      </c>
      <c r="B5" s="3">
        <v>350.49</v>
      </c>
      <c r="C5" s="49">
        <v>115</v>
      </c>
      <c r="D5" s="50">
        <v>61.62</v>
      </c>
      <c r="E5" s="50">
        <v>46.38</v>
      </c>
      <c r="F5" s="51">
        <v>7</v>
      </c>
      <c r="G5" s="52">
        <f t="shared" si="0"/>
        <v>0.40330434782608698</v>
      </c>
      <c r="H5" s="53">
        <f t="shared" si="1"/>
        <v>0.3250434782608696</v>
      </c>
      <c r="I5" s="53">
        <f t="shared" si="2"/>
        <v>0.46417391304347827</v>
      </c>
      <c r="J5" s="26">
        <v>9</v>
      </c>
      <c r="K5" s="16">
        <f t="shared" si="3"/>
        <v>0.86627718273287901</v>
      </c>
    </row>
    <row r="6" spans="1:11" x14ac:dyDescent="0.25">
      <c r="A6" s="25" t="s">
        <v>114</v>
      </c>
      <c r="B6" s="3">
        <v>49.37</v>
      </c>
      <c r="C6" s="49">
        <v>43</v>
      </c>
      <c r="D6" s="50">
        <v>15.89</v>
      </c>
      <c r="E6" s="50">
        <v>20.11</v>
      </c>
      <c r="F6" s="51">
        <v>7</v>
      </c>
      <c r="G6" s="52">
        <f t="shared" si="0"/>
        <v>0.46767441860465114</v>
      </c>
      <c r="H6" s="53">
        <f t="shared" si="1"/>
        <v>0.25837209302325581</v>
      </c>
      <c r="I6" s="53">
        <f t="shared" si="2"/>
        <v>0.63046511627906976</v>
      </c>
      <c r="J6" s="26">
        <v>9</v>
      </c>
      <c r="K6" s="16">
        <f t="shared" si="3"/>
        <v>1.7061044682190056</v>
      </c>
    </row>
    <row r="7" spans="1:11" x14ac:dyDescent="0.25">
      <c r="A7" s="25" t="s">
        <v>115</v>
      </c>
      <c r="B7" s="3">
        <v>35.24</v>
      </c>
      <c r="C7" s="49">
        <v>40</v>
      </c>
      <c r="D7" s="50">
        <v>14.39</v>
      </c>
      <c r="E7" s="50">
        <v>18.61</v>
      </c>
      <c r="F7" s="51">
        <v>7</v>
      </c>
      <c r="G7" s="52">
        <f t="shared" si="0"/>
        <v>0.46525</v>
      </c>
      <c r="H7" s="53">
        <f t="shared" si="1"/>
        <v>0.24024999999999999</v>
      </c>
      <c r="I7" s="53">
        <f t="shared" si="2"/>
        <v>0.64024999999999999</v>
      </c>
      <c r="J7" s="26">
        <v>9</v>
      </c>
      <c r="K7" s="16">
        <f>(E7+F7)/D7</f>
        <v>1.7797081306462821</v>
      </c>
    </row>
    <row r="8" spans="1:11" x14ac:dyDescent="0.25">
      <c r="A8" s="25" t="s">
        <v>116</v>
      </c>
      <c r="B8" s="3">
        <v>34</v>
      </c>
      <c r="C8" s="49">
        <v>58.83</v>
      </c>
      <c r="D8" s="50">
        <v>22.71</v>
      </c>
      <c r="E8" s="50">
        <v>27.12</v>
      </c>
      <c r="F8" s="51">
        <v>7</v>
      </c>
      <c r="G8" s="52">
        <f t="shared" si="0"/>
        <v>0.46098929117797044</v>
      </c>
      <c r="H8" s="53">
        <f t="shared" si="1"/>
        <v>0.30800611932687405</v>
      </c>
      <c r="I8" s="53">
        <f t="shared" si="2"/>
        <v>0.5799762026177121</v>
      </c>
      <c r="J8" s="26">
        <v>9</v>
      </c>
      <c r="K8" s="16">
        <f t="shared" ref="K8:K13" si="4">(E8+F8)/D8</f>
        <v>1.5024218405988552</v>
      </c>
    </row>
    <row r="9" spans="1:11" x14ac:dyDescent="0.25">
      <c r="A9" s="25" t="s">
        <v>117</v>
      </c>
      <c r="B9" s="3">
        <v>145.29</v>
      </c>
      <c r="C9" s="49">
        <v>97</v>
      </c>
      <c r="D9" s="50">
        <v>45.16</v>
      </c>
      <c r="E9" s="50">
        <v>42.84</v>
      </c>
      <c r="F9" s="51">
        <v>7</v>
      </c>
      <c r="G9" s="52">
        <f t="shared" si="0"/>
        <v>0.44164948453608249</v>
      </c>
      <c r="H9" s="53">
        <f t="shared" si="1"/>
        <v>0.34886597938144331</v>
      </c>
      <c r="I9" s="53">
        <f t="shared" si="2"/>
        <v>0.51381443298969076</v>
      </c>
      <c r="J9" s="26">
        <v>9</v>
      </c>
      <c r="K9" s="16">
        <f t="shared" si="4"/>
        <v>1.1036315323294952</v>
      </c>
    </row>
    <row r="10" spans="1:11" x14ac:dyDescent="0.25">
      <c r="A10" s="25" t="s">
        <v>121</v>
      </c>
      <c r="B10" s="3">
        <v>108.75</v>
      </c>
      <c r="C10" s="49">
        <v>87</v>
      </c>
      <c r="D10" s="50">
        <v>38.17</v>
      </c>
      <c r="E10" s="50">
        <v>39.840000000000003</v>
      </c>
      <c r="F10" s="51">
        <v>7</v>
      </c>
      <c r="G10" s="52">
        <f t="shared" si="0"/>
        <v>0.45793103448275868</v>
      </c>
      <c r="H10" s="53">
        <f t="shared" si="1"/>
        <v>0.35448275862068968</v>
      </c>
      <c r="I10" s="53">
        <f t="shared" si="2"/>
        <v>0.53839080459770117</v>
      </c>
      <c r="J10" s="26">
        <v>9</v>
      </c>
      <c r="K10" s="16">
        <f t="shared" si="4"/>
        <v>1.2271417343463453</v>
      </c>
    </row>
    <row r="11" spans="1:11" x14ac:dyDescent="0.25">
      <c r="A11" s="25" t="s">
        <v>118</v>
      </c>
      <c r="B11" s="3">
        <v>86.95</v>
      </c>
      <c r="C11" s="49">
        <v>81</v>
      </c>
      <c r="D11" s="50">
        <v>34.340000000000003</v>
      </c>
      <c r="E11" s="50">
        <v>37.659999999999997</v>
      </c>
      <c r="F11" s="51">
        <v>7</v>
      </c>
      <c r="G11" s="52">
        <f t="shared" si="0"/>
        <v>0.46493827160493822</v>
      </c>
      <c r="H11" s="53">
        <f t="shared" si="1"/>
        <v>0.35382716049382712</v>
      </c>
      <c r="I11" s="53">
        <f t="shared" si="2"/>
        <v>0.55135802469135797</v>
      </c>
      <c r="J11" s="26">
        <v>9</v>
      </c>
      <c r="K11" s="16">
        <f t="shared" si="4"/>
        <v>1.3005241700640651</v>
      </c>
    </row>
    <row r="12" spans="1:11" x14ac:dyDescent="0.25">
      <c r="A12" s="25" t="s">
        <v>119</v>
      </c>
      <c r="B12" s="3">
        <v>116.13</v>
      </c>
      <c r="C12" s="49">
        <v>84</v>
      </c>
      <c r="D12" s="50">
        <v>41.84</v>
      </c>
      <c r="E12" s="50">
        <v>42.17</v>
      </c>
      <c r="F12" s="51">
        <v>7</v>
      </c>
      <c r="G12" s="52">
        <f t="shared" si="0"/>
        <v>0.50202380952380954</v>
      </c>
      <c r="H12" s="53">
        <f t="shared" si="1"/>
        <v>0.39488095238095239</v>
      </c>
      <c r="I12" s="53">
        <f t="shared" si="2"/>
        <v>0.58535714285714291</v>
      </c>
      <c r="J12" s="26">
        <v>9</v>
      </c>
      <c r="K12" s="16">
        <f t="shared" si="4"/>
        <v>1.1751912045889101</v>
      </c>
    </row>
    <row r="13" spans="1:11" x14ac:dyDescent="0.25">
      <c r="A13" s="25" t="s">
        <v>120</v>
      </c>
      <c r="B13" s="3">
        <v>479.4</v>
      </c>
      <c r="C13" s="49">
        <v>180</v>
      </c>
      <c r="D13" s="50">
        <v>108.73</v>
      </c>
      <c r="E13" s="50">
        <v>71.27</v>
      </c>
      <c r="F13" s="51">
        <v>7</v>
      </c>
      <c r="G13" s="52">
        <f t="shared" si="0"/>
        <v>0.39594444444444443</v>
      </c>
      <c r="H13" s="53">
        <f t="shared" si="1"/>
        <v>0.34594444444444444</v>
      </c>
      <c r="I13" s="53">
        <f t="shared" si="2"/>
        <v>0.43483333333333329</v>
      </c>
      <c r="J13" s="26">
        <v>9</v>
      </c>
      <c r="K13" s="16">
        <f t="shared" si="4"/>
        <v>0.71985652533799316</v>
      </c>
    </row>
    <row r="14" spans="1:11" ht="15.75" thickBot="1" x14ac:dyDescent="0.3">
      <c r="A14" s="54" t="s">
        <v>127</v>
      </c>
      <c r="B14" s="55">
        <f>SUM(B2:B13)</f>
        <v>3316.35</v>
      </c>
      <c r="C14" s="56">
        <f>SUM(C2:C13)</f>
        <v>1415.83</v>
      </c>
      <c r="D14" s="56">
        <f t="shared" ref="D14:F14" si="5">SUM(D2:D13)</f>
        <v>746.07</v>
      </c>
      <c r="E14" s="56">
        <f t="shared" si="5"/>
        <v>591.52</v>
      </c>
      <c r="F14" s="57">
        <f t="shared" si="5"/>
        <v>84</v>
      </c>
      <c r="G14" s="58"/>
      <c r="H14" s="59"/>
      <c r="I14" s="60">
        <f>AVERAGE(I2:I13)</f>
        <v>0.51837456282874361</v>
      </c>
      <c r="J14" s="59"/>
      <c r="K14" s="61">
        <f>AVERAGE(K2:K13)</f>
        <v>1.1356083417272236</v>
      </c>
    </row>
    <row r="15" spans="1:11" ht="15.75" thickBot="1" x14ac:dyDescent="0.3">
      <c r="A15" s="22" t="s">
        <v>129</v>
      </c>
      <c r="B15" s="23"/>
      <c r="C15" s="23"/>
      <c r="D15" s="62">
        <f>D14/B14</f>
        <v>0.22496720792437472</v>
      </c>
      <c r="E15" s="62">
        <f>E14/B14</f>
        <v>0.17836476849548449</v>
      </c>
      <c r="F15" s="63">
        <f>F14/B14</f>
        <v>2.532905151748157E-2</v>
      </c>
      <c r="I15" s="64"/>
    </row>
    <row r="17" spans="1:11" ht="15.75" thickBot="1" x14ac:dyDescent="0.3"/>
    <row r="18" spans="1:11" ht="24" thickBot="1" x14ac:dyDescent="0.3">
      <c r="A18" s="380">
        <v>2024</v>
      </c>
      <c r="B18" s="381"/>
      <c r="C18" s="381"/>
      <c r="D18" s="381"/>
      <c r="E18" s="381"/>
      <c r="F18" s="381"/>
      <c r="G18" s="381"/>
      <c r="H18" s="381"/>
      <c r="I18" s="381"/>
      <c r="J18" s="381"/>
      <c r="K18" s="382"/>
    </row>
    <row r="19" spans="1:11" ht="15.75" thickBot="1" x14ac:dyDescent="0.3"/>
    <row r="20" spans="1:11" ht="30" x14ac:dyDescent="0.25">
      <c r="A20" s="44" t="s">
        <v>110</v>
      </c>
      <c r="B20" s="45" t="s">
        <v>111</v>
      </c>
      <c r="C20" s="45" t="s">
        <v>128</v>
      </c>
      <c r="D20" s="45" t="s">
        <v>124</v>
      </c>
      <c r="E20" s="45" t="s">
        <v>123</v>
      </c>
      <c r="F20" s="46" t="s">
        <v>122</v>
      </c>
      <c r="G20" s="47" t="s">
        <v>130</v>
      </c>
      <c r="H20" s="45" t="s">
        <v>132</v>
      </c>
      <c r="I20" s="45" t="s">
        <v>131</v>
      </c>
      <c r="J20" s="45" t="s">
        <v>126</v>
      </c>
      <c r="K20" s="48" t="s">
        <v>133</v>
      </c>
    </row>
    <row r="21" spans="1:11" x14ac:dyDescent="0.25">
      <c r="A21" s="4" t="s">
        <v>112</v>
      </c>
      <c r="B21" s="3">
        <v>744.82</v>
      </c>
      <c r="C21" s="49">
        <v>254</v>
      </c>
      <c r="D21" s="50">
        <v>152.38</v>
      </c>
      <c r="E21" s="50">
        <v>94.62</v>
      </c>
      <c r="F21" s="51">
        <v>7</v>
      </c>
      <c r="G21" s="52">
        <f>E21/(C21)</f>
        <v>0.37251968503937011</v>
      </c>
      <c r="H21" s="53">
        <f>(E21-J21)/C21</f>
        <v>0.33708661417322838</v>
      </c>
      <c r="I21" s="53">
        <f>(F21+E21)/(C21)</f>
        <v>0.40007874015748035</v>
      </c>
      <c r="J21" s="26">
        <v>9</v>
      </c>
      <c r="K21" s="16">
        <f>(E21+F21)/D21</f>
        <v>0.66688541803386281</v>
      </c>
    </row>
    <row r="22" spans="1:11" x14ac:dyDescent="0.25">
      <c r="A22" s="25" t="s">
        <v>125</v>
      </c>
      <c r="B22" s="3">
        <v>711.88</v>
      </c>
      <c r="C22" s="49">
        <v>237</v>
      </c>
      <c r="D22" s="50">
        <v>134.37</v>
      </c>
      <c r="E22" s="50">
        <v>95.37</v>
      </c>
      <c r="F22" s="51">
        <v>7</v>
      </c>
      <c r="G22" s="52">
        <f t="shared" ref="G22:G32" si="6">E22/(C22)</f>
        <v>0.40240506329113929</v>
      </c>
      <c r="H22" s="53">
        <f t="shared" ref="H22:H32" si="7">(E22-J22)/C22</f>
        <v>0.36443037974683545</v>
      </c>
      <c r="I22" s="53">
        <f t="shared" ref="I22:I32" si="8">(F22+E22)/(C22)</f>
        <v>0.43194092827004221</v>
      </c>
      <c r="J22" s="26">
        <v>9</v>
      </c>
      <c r="K22" s="16">
        <f t="shared" ref="K22:K25" si="9">(E22+F22)/D22</f>
        <v>0.76185160378060579</v>
      </c>
    </row>
    <row r="23" spans="1:11" x14ac:dyDescent="0.25">
      <c r="A23" s="25" t="s">
        <v>34</v>
      </c>
      <c r="B23" s="3">
        <v>454.03</v>
      </c>
      <c r="C23" s="49">
        <v>139</v>
      </c>
      <c r="D23" s="50">
        <v>76.47</v>
      </c>
      <c r="E23" s="50">
        <v>55.53</v>
      </c>
      <c r="F23" s="51">
        <v>7</v>
      </c>
      <c r="G23" s="52">
        <f t="shared" si="6"/>
        <v>0.39949640287769783</v>
      </c>
      <c r="H23" s="53">
        <f t="shared" si="7"/>
        <v>0.33474820143884892</v>
      </c>
      <c r="I23" s="53">
        <f t="shared" si="8"/>
        <v>0.44985611510791368</v>
      </c>
      <c r="J23" s="26">
        <v>9</v>
      </c>
      <c r="K23" s="16">
        <f t="shared" si="9"/>
        <v>0.81770629004838502</v>
      </c>
    </row>
    <row r="24" spans="1:11" x14ac:dyDescent="0.25">
      <c r="A24" s="25" t="s">
        <v>113</v>
      </c>
      <c r="B24" s="3">
        <v>350.49</v>
      </c>
      <c r="C24" s="49">
        <v>115</v>
      </c>
      <c r="D24" s="50">
        <v>61.62</v>
      </c>
      <c r="E24" s="50">
        <v>46.38</v>
      </c>
      <c r="F24" s="51">
        <v>7</v>
      </c>
      <c r="G24" s="52">
        <f t="shared" si="6"/>
        <v>0.40330434782608698</v>
      </c>
      <c r="H24" s="53">
        <f t="shared" si="7"/>
        <v>0.3250434782608696</v>
      </c>
      <c r="I24" s="53">
        <f t="shared" si="8"/>
        <v>0.46417391304347827</v>
      </c>
      <c r="J24" s="26">
        <v>9</v>
      </c>
      <c r="K24" s="16">
        <f t="shared" si="9"/>
        <v>0.86627718273287901</v>
      </c>
    </row>
    <row r="25" spans="1:11" x14ac:dyDescent="0.25">
      <c r="A25" s="25" t="s">
        <v>114</v>
      </c>
      <c r="B25" s="3">
        <v>49.37</v>
      </c>
      <c r="C25" s="49">
        <v>43</v>
      </c>
      <c r="D25" s="50">
        <v>15.89</v>
      </c>
      <c r="E25" s="50">
        <v>20.11</v>
      </c>
      <c r="F25" s="51">
        <v>7</v>
      </c>
      <c r="G25" s="52">
        <f t="shared" si="6"/>
        <v>0.46767441860465114</v>
      </c>
      <c r="H25" s="53">
        <f t="shared" si="7"/>
        <v>0.25837209302325581</v>
      </c>
      <c r="I25" s="53">
        <f t="shared" si="8"/>
        <v>0.63046511627906976</v>
      </c>
      <c r="J25" s="26">
        <v>9</v>
      </c>
      <c r="K25" s="16">
        <f t="shared" si="9"/>
        <v>1.7061044682190056</v>
      </c>
    </row>
    <row r="26" spans="1:11" x14ac:dyDescent="0.25">
      <c r="A26" s="25" t="s">
        <v>115</v>
      </c>
      <c r="B26" s="3">
        <v>35.24</v>
      </c>
      <c r="C26" s="49">
        <v>40</v>
      </c>
      <c r="D26" s="50">
        <v>14.39</v>
      </c>
      <c r="E26" s="50">
        <v>18.61</v>
      </c>
      <c r="F26" s="51">
        <v>7</v>
      </c>
      <c r="G26" s="52">
        <f t="shared" si="6"/>
        <v>0.46525</v>
      </c>
      <c r="H26" s="53">
        <f t="shared" si="7"/>
        <v>0.24024999999999999</v>
      </c>
      <c r="I26" s="53">
        <f t="shared" si="8"/>
        <v>0.64024999999999999</v>
      </c>
      <c r="J26" s="26">
        <v>9</v>
      </c>
      <c r="K26" s="16">
        <f>(E26+F26)/D26</f>
        <v>1.7797081306462821</v>
      </c>
    </row>
    <row r="27" spans="1:11" x14ac:dyDescent="0.25">
      <c r="A27" s="25" t="s">
        <v>116</v>
      </c>
      <c r="B27" s="3">
        <v>34</v>
      </c>
      <c r="C27" s="49">
        <v>58.83</v>
      </c>
      <c r="D27" s="50">
        <v>22.71</v>
      </c>
      <c r="E27" s="50">
        <v>27.12</v>
      </c>
      <c r="F27" s="51">
        <v>7</v>
      </c>
      <c r="G27" s="52">
        <f t="shared" si="6"/>
        <v>0.46098929117797044</v>
      </c>
      <c r="H27" s="53">
        <f t="shared" si="7"/>
        <v>0.30800611932687405</v>
      </c>
      <c r="I27" s="53">
        <f t="shared" si="8"/>
        <v>0.5799762026177121</v>
      </c>
      <c r="J27" s="26">
        <v>9</v>
      </c>
      <c r="K27" s="16">
        <f t="shared" ref="K27:K32" si="10">(E27+F27)/D27</f>
        <v>1.5024218405988552</v>
      </c>
    </row>
    <row r="28" spans="1:11" x14ac:dyDescent="0.25">
      <c r="A28" s="25" t="s">
        <v>117</v>
      </c>
      <c r="B28" s="3">
        <v>145.29</v>
      </c>
      <c r="C28" s="49">
        <v>97</v>
      </c>
      <c r="D28" s="50">
        <v>45.16</v>
      </c>
      <c r="E28" s="50">
        <v>42.84</v>
      </c>
      <c r="F28" s="51">
        <v>7</v>
      </c>
      <c r="G28" s="52">
        <f t="shared" si="6"/>
        <v>0.44164948453608249</v>
      </c>
      <c r="H28" s="53">
        <f t="shared" si="7"/>
        <v>0.34886597938144331</v>
      </c>
      <c r="I28" s="53">
        <f t="shared" si="8"/>
        <v>0.51381443298969076</v>
      </c>
      <c r="J28" s="26">
        <v>9</v>
      </c>
      <c r="K28" s="16">
        <f t="shared" si="10"/>
        <v>1.1036315323294952</v>
      </c>
    </row>
    <row r="29" spans="1:11" x14ac:dyDescent="0.25">
      <c r="A29" s="25" t="s">
        <v>121</v>
      </c>
      <c r="B29" s="3">
        <v>108.75</v>
      </c>
      <c r="C29" s="49">
        <v>87</v>
      </c>
      <c r="D29" s="50">
        <v>38.17</v>
      </c>
      <c r="E29" s="50">
        <v>39.840000000000003</v>
      </c>
      <c r="F29" s="51">
        <v>7</v>
      </c>
      <c r="G29" s="52">
        <f t="shared" si="6"/>
        <v>0.45793103448275868</v>
      </c>
      <c r="H29" s="53">
        <f t="shared" si="7"/>
        <v>0.35448275862068968</v>
      </c>
      <c r="I29" s="53">
        <f t="shared" si="8"/>
        <v>0.53839080459770117</v>
      </c>
      <c r="J29" s="26">
        <v>9</v>
      </c>
      <c r="K29" s="16">
        <f t="shared" si="10"/>
        <v>1.2271417343463453</v>
      </c>
    </row>
    <row r="30" spans="1:11" x14ac:dyDescent="0.25">
      <c r="A30" s="25" t="s">
        <v>118</v>
      </c>
      <c r="B30" s="3">
        <v>86.95</v>
      </c>
      <c r="C30" s="49">
        <v>81</v>
      </c>
      <c r="D30" s="50">
        <v>34.340000000000003</v>
      </c>
      <c r="E30" s="50">
        <v>37.659999999999997</v>
      </c>
      <c r="F30" s="51">
        <v>7</v>
      </c>
      <c r="G30" s="52">
        <f t="shared" si="6"/>
        <v>0.46493827160493822</v>
      </c>
      <c r="H30" s="53">
        <f t="shared" si="7"/>
        <v>0.35382716049382712</v>
      </c>
      <c r="I30" s="53">
        <f t="shared" si="8"/>
        <v>0.55135802469135797</v>
      </c>
      <c r="J30" s="26">
        <v>9</v>
      </c>
      <c r="K30" s="16">
        <f t="shared" si="10"/>
        <v>1.3005241700640651</v>
      </c>
    </row>
    <row r="31" spans="1:11" x14ac:dyDescent="0.25">
      <c r="A31" s="25" t="s">
        <v>119</v>
      </c>
      <c r="B31" s="3">
        <v>116.13</v>
      </c>
      <c r="C31" s="49">
        <v>84</v>
      </c>
      <c r="D31" s="50">
        <v>41.84</v>
      </c>
      <c r="E31" s="50">
        <v>42.17</v>
      </c>
      <c r="F31" s="51">
        <v>7</v>
      </c>
      <c r="G31" s="52">
        <f t="shared" si="6"/>
        <v>0.50202380952380954</v>
      </c>
      <c r="H31" s="53">
        <f t="shared" si="7"/>
        <v>0.39488095238095239</v>
      </c>
      <c r="I31" s="53">
        <f t="shared" si="8"/>
        <v>0.58535714285714291</v>
      </c>
      <c r="J31" s="26">
        <v>9</v>
      </c>
      <c r="K31" s="16">
        <f t="shared" si="10"/>
        <v>1.1751912045889101</v>
      </c>
    </row>
    <row r="32" spans="1:11" x14ac:dyDescent="0.25">
      <c r="A32" s="25" t="s">
        <v>120</v>
      </c>
      <c r="B32" s="3">
        <v>479.4</v>
      </c>
      <c r="C32" s="49">
        <v>180</v>
      </c>
      <c r="D32" s="50">
        <v>108.73</v>
      </c>
      <c r="E32" s="50">
        <v>71.27</v>
      </c>
      <c r="F32" s="51">
        <v>7</v>
      </c>
      <c r="G32" s="52">
        <f t="shared" si="6"/>
        <v>0.39594444444444443</v>
      </c>
      <c r="H32" s="53">
        <f t="shared" si="7"/>
        <v>0.34594444444444444</v>
      </c>
      <c r="I32" s="53">
        <f t="shared" si="8"/>
        <v>0.43483333333333329</v>
      </c>
      <c r="J32" s="26">
        <v>9</v>
      </c>
      <c r="K32" s="16">
        <f t="shared" si="10"/>
        <v>0.71985652533799316</v>
      </c>
    </row>
    <row r="33" spans="1:11" ht="15.75" thickBot="1" x14ac:dyDescent="0.3">
      <c r="A33" s="54" t="s">
        <v>127</v>
      </c>
      <c r="B33" s="55">
        <f>SUM(B21:B32)</f>
        <v>3316.35</v>
      </c>
      <c r="C33" s="56">
        <f>SUM(C21:C32)</f>
        <v>1415.83</v>
      </c>
      <c r="D33" s="56">
        <f t="shared" ref="D33:F33" si="11">SUM(D21:D32)</f>
        <v>746.07</v>
      </c>
      <c r="E33" s="56">
        <f t="shared" si="11"/>
        <v>591.52</v>
      </c>
      <c r="F33" s="57">
        <f t="shared" si="11"/>
        <v>84</v>
      </c>
      <c r="G33" s="58"/>
      <c r="H33" s="59"/>
      <c r="I33" s="60">
        <f>AVERAGE(I21:I32)</f>
        <v>0.51837456282874361</v>
      </c>
      <c r="J33" s="59"/>
      <c r="K33" s="61">
        <f>AVERAGE(K21:K32)</f>
        <v>1.1356083417272236</v>
      </c>
    </row>
    <row r="34" spans="1:11" ht="15.75" thickBot="1" x14ac:dyDescent="0.3">
      <c r="A34" s="22" t="s">
        <v>129</v>
      </c>
      <c r="B34" s="23"/>
      <c r="C34" s="23"/>
      <c r="D34" s="62">
        <f>D33/B33</f>
        <v>0.22496720792437472</v>
      </c>
      <c r="E34" s="62">
        <f>E33/B33</f>
        <v>0.17836476849548449</v>
      </c>
      <c r="F34" s="63">
        <f>F33/B33</f>
        <v>2.532905151748157E-2</v>
      </c>
      <c r="I34" s="64"/>
    </row>
    <row r="40" spans="1:11" x14ac:dyDescent="0.25">
      <c r="A40" s="383"/>
      <c r="B40" s="383"/>
      <c r="C40" s="383"/>
      <c r="D40" s="383"/>
      <c r="E40" s="383"/>
      <c r="F40" s="383"/>
    </row>
    <row r="41" spans="1:11" ht="32.25" customHeight="1" x14ac:dyDescent="0.25">
      <c r="A41" s="65"/>
      <c r="B41" s="65"/>
      <c r="C41" s="65"/>
      <c r="D41" s="65"/>
      <c r="E41" s="65"/>
      <c r="F41" s="65"/>
    </row>
    <row r="42" spans="1:11" ht="14.25" customHeight="1" x14ac:dyDescent="0.25">
      <c r="A42" s="66"/>
      <c r="B42" s="66"/>
      <c r="C42" s="66"/>
      <c r="D42" s="66"/>
      <c r="E42" s="66"/>
      <c r="F42" s="66"/>
    </row>
    <row r="43" spans="1:11" x14ac:dyDescent="0.25">
      <c r="A43" s="66"/>
      <c r="B43" s="66"/>
      <c r="C43" s="66"/>
      <c r="D43" s="66"/>
      <c r="E43" s="66"/>
      <c r="F43" s="66"/>
    </row>
    <row r="44" spans="1:11" x14ac:dyDescent="0.25">
      <c r="A44" s="66"/>
      <c r="B44" s="66"/>
      <c r="C44" s="385"/>
      <c r="D44" s="385"/>
      <c r="E44" s="385"/>
      <c r="F44" s="385"/>
    </row>
    <row r="45" spans="1:11" x14ac:dyDescent="0.25">
      <c r="A45" s="384"/>
      <c r="B45" s="384"/>
      <c r="C45" s="384"/>
      <c r="D45" s="384"/>
      <c r="E45" s="384"/>
      <c r="F45" s="384"/>
    </row>
    <row r="46" spans="1:11" x14ac:dyDescent="0.25">
      <c r="A46" s="66"/>
      <c r="B46" s="66"/>
      <c r="C46" s="66"/>
      <c r="D46" s="66"/>
      <c r="E46" s="66"/>
      <c r="F46" s="66"/>
    </row>
    <row r="47" spans="1:11" x14ac:dyDescent="0.25">
      <c r="A47" s="66"/>
      <c r="B47" s="66"/>
      <c r="C47" s="66"/>
      <c r="D47" s="66"/>
      <c r="E47" s="66"/>
      <c r="F47" s="66"/>
    </row>
    <row r="48" spans="1:11" x14ac:dyDescent="0.25">
      <c r="A48" s="66"/>
      <c r="B48" s="66"/>
      <c r="C48" s="66"/>
      <c r="D48" s="66"/>
      <c r="E48" s="66"/>
      <c r="F48" s="66"/>
    </row>
    <row r="49" spans="1:6" x14ac:dyDescent="0.25">
      <c r="A49" s="66"/>
      <c r="B49" s="66"/>
      <c r="C49" s="66"/>
      <c r="D49" s="66"/>
      <c r="E49" s="66"/>
      <c r="F49" s="66"/>
    </row>
  </sheetData>
  <sheetProtection algorithmName="SHA-512" hashValue="Assou9xtZmtab2nTvZL4wXEqjThlTdOyEC0P2SOyGLQG5GCsPNCrCd5VLYMyPqIINhEjI3NRz+UixlqBAgYyIA==" saltValue="SIDKUXiFMHJaEhaMpM1voQ==" spinCount="100000" sheet="1" objects="1" scenarios="1"/>
  <mergeCells count="4">
    <mergeCell ref="A18:K18"/>
    <mergeCell ref="A40:F40"/>
    <mergeCell ref="A45:F45"/>
    <mergeCell ref="C44:F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89E-DBEC-4CB6-8A3C-B653CA104D79}">
  <dimension ref="A1:M25"/>
  <sheetViews>
    <sheetView zoomScale="89" zoomScaleNormal="91" workbookViewId="0">
      <selection activeCell="K11" sqref="K11"/>
    </sheetView>
  </sheetViews>
  <sheetFormatPr defaultColWidth="12.5703125" defaultRowHeight="15" x14ac:dyDescent="0.25"/>
  <cols>
    <col min="2" max="2" width="17.28515625" customWidth="1"/>
    <col min="3" max="3" width="29.28515625" bestFit="1" customWidth="1"/>
    <col min="4" max="4" width="20.7109375" bestFit="1" customWidth="1"/>
    <col min="5" max="5" width="17.28515625" bestFit="1" customWidth="1"/>
    <col min="6" max="6" width="8.7109375" bestFit="1" customWidth="1"/>
    <col min="7" max="7" width="20.140625" bestFit="1" customWidth="1"/>
    <col min="8" max="8" width="21.5703125" bestFit="1" customWidth="1"/>
    <col min="9" max="9" width="25.7109375" bestFit="1" customWidth="1"/>
    <col min="10" max="10" width="23.42578125" bestFit="1" customWidth="1"/>
    <col min="11" max="11" width="24" bestFit="1" customWidth="1"/>
    <col min="12" max="12" width="20" bestFit="1" customWidth="1"/>
    <col min="13" max="13" width="31.85546875" customWidth="1"/>
  </cols>
  <sheetData>
    <row r="1" spans="1:13" x14ac:dyDescent="0.25">
      <c r="A1" s="34" t="s">
        <v>139</v>
      </c>
      <c r="B1" s="34" t="s">
        <v>140</v>
      </c>
      <c r="C1" s="34" t="s">
        <v>141</v>
      </c>
      <c r="D1" s="34" t="s">
        <v>142</v>
      </c>
      <c r="E1" s="34" t="s">
        <v>143</v>
      </c>
      <c r="F1" s="34" t="s">
        <v>144</v>
      </c>
      <c r="G1" t="s">
        <v>145</v>
      </c>
      <c r="H1" s="34" t="s">
        <v>146</v>
      </c>
      <c r="I1" t="s">
        <v>147</v>
      </c>
      <c r="J1" t="s">
        <v>148</v>
      </c>
      <c r="K1" t="s">
        <v>149</v>
      </c>
      <c r="L1" s="34" t="s">
        <v>150</v>
      </c>
      <c r="M1" s="34" t="s">
        <v>169</v>
      </c>
    </row>
    <row r="2" spans="1:13" x14ac:dyDescent="0.25">
      <c r="A2" s="35" t="s">
        <v>151</v>
      </c>
      <c r="B2">
        <v>62.2</v>
      </c>
      <c r="C2">
        <v>48.76</v>
      </c>
      <c r="D2">
        <v>20.73</v>
      </c>
      <c r="E2">
        <v>20.399999999999999</v>
      </c>
      <c r="F2">
        <v>30.94</v>
      </c>
      <c r="G2">
        <v>951</v>
      </c>
      <c r="H2">
        <v>629.91</v>
      </c>
      <c r="I2">
        <v>108</v>
      </c>
      <c r="J2">
        <v>224</v>
      </c>
      <c r="K2">
        <v>108</v>
      </c>
      <c r="L2">
        <v>3.39</v>
      </c>
      <c r="M2">
        <f>L2</f>
        <v>3.39</v>
      </c>
    </row>
    <row r="3" spans="1:13" x14ac:dyDescent="0.25">
      <c r="A3" s="35" t="s">
        <v>152</v>
      </c>
      <c r="B3">
        <v>39.46</v>
      </c>
      <c r="C3">
        <v>37.01</v>
      </c>
      <c r="D3">
        <v>18.579999999999998</v>
      </c>
      <c r="E3">
        <v>14.7</v>
      </c>
      <c r="F3">
        <v>22.32</v>
      </c>
      <c r="G3">
        <v>779</v>
      </c>
      <c r="H3">
        <v>454.02</v>
      </c>
      <c r="I3">
        <v>147</v>
      </c>
      <c r="J3">
        <v>179</v>
      </c>
      <c r="K3">
        <v>155</v>
      </c>
      <c r="L3">
        <v>8.74</v>
      </c>
      <c r="M3">
        <f>L3</f>
        <v>8.74</v>
      </c>
    </row>
    <row r="4" spans="1:13" x14ac:dyDescent="0.25">
      <c r="A4" s="35" t="s">
        <v>153</v>
      </c>
      <c r="B4">
        <v>30.96</v>
      </c>
      <c r="C4">
        <v>30.66</v>
      </c>
      <c r="D4">
        <v>17.309999999999999</v>
      </c>
      <c r="E4">
        <v>11.36</v>
      </c>
      <c r="F4">
        <v>17.79</v>
      </c>
      <c r="G4">
        <v>763</v>
      </c>
      <c r="H4">
        <v>350.48</v>
      </c>
      <c r="I4">
        <v>176</v>
      </c>
      <c r="J4">
        <v>236</v>
      </c>
      <c r="K4">
        <v>186</v>
      </c>
      <c r="L4">
        <v>39.700000000000003</v>
      </c>
      <c r="M4">
        <f>L4</f>
        <v>39.700000000000003</v>
      </c>
    </row>
    <row r="5" spans="1:13" x14ac:dyDescent="0.25">
      <c r="A5" s="36" t="s">
        <v>154</v>
      </c>
      <c r="B5" s="37">
        <v>4.2300000000000004</v>
      </c>
      <c r="C5" s="37">
        <v>11.66</v>
      </c>
      <c r="D5" s="37">
        <v>13.64</v>
      </c>
      <c r="E5" s="37">
        <v>1.91</v>
      </c>
      <c r="F5" s="37">
        <v>4.38</v>
      </c>
      <c r="G5" s="37">
        <v>432</v>
      </c>
      <c r="H5" s="37">
        <v>49.35</v>
      </c>
      <c r="I5" s="37">
        <v>154</v>
      </c>
      <c r="J5" s="37">
        <v>230</v>
      </c>
      <c r="K5" s="37">
        <v>159</v>
      </c>
      <c r="L5" s="37">
        <v>333</v>
      </c>
      <c r="M5" s="2">
        <f t="shared" ref="M5:M10" si="0">L5-E18</f>
        <v>7</v>
      </c>
    </row>
    <row r="6" spans="1:13" x14ac:dyDescent="0.25">
      <c r="A6" s="36" t="s">
        <v>155</v>
      </c>
      <c r="B6" s="37">
        <v>3.55</v>
      </c>
      <c r="C6" s="37">
        <v>10.84</v>
      </c>
      <c r="D6" s="37">
        <v>13.47</v>
      </c>
      <c r="E6" s="37">
        <v>1.36</v>
      </c>
      <c r="F6" s="37">
        <v>3.8</v>
      </c>
      <c r="G6" s="37">
        <v>296</v>
      </c>
      <c r="H6" s="37">
        <v>35.229999999999997</v>
      </c>
      <c r="I6" s="37">
        <v>104</v>
      </c>
      <c r="J6" s="37">
        <v>182</v>
      </c>
      <c r="K6" s="37">
        <v>101</v>
      </c>
      <c r="L6" s="37">
        <v>371</v>
      </c>
      <c r="M6" s="2">
        <f t="shared" si="0"/>
        <v>0</v>
      </c>
    </row>
    <row r="7" spans="1:13" x14ac:dyDescent="0.25">
      <c r="A7" s="36" t="s">
        <v>156</v>
      </c>
      <c r="B7" s="37">
        <v>0.49</v>
      </c>
      <c r="C7" s="37">
        <v>8.9</v>
      </c>
      <c r="D7" s="37">
        <v>13.1</v>
      </c>
      <c r="E7" s="37">
        <v>0.18</v>
      </c>
      <c r="F7" s="37">
        <v>2.39</v>
      </c>
      <c r="G7" s="37">
        <v>271</v>
      </c>
      <c r="H7" s="37">
        <v>4.75</v>
      </c>
      <c r="I7" s="37">
        <v>67.599999999999994</v>
      </c>
      <c r="J7" s="37">
        <v>200</v>
      </c>
      <c r="K7" s="37">
        <v>65.599999999999994</v>
      </c>
      <c r="L7" s="37">
        <v>509</v>
      </c>
      <c r="M7">
        <f t="shared" si="0"/>
        <v>96.600000000000023</v>
      </c>
    </row>
    <row r="8" spans="1:13" x14ac:dyDescent="0.25">
      <c r="A8" s="36" t="s">
        <v>157</v>
      </c>
      <c r="B8" s="37">
        <v>0.8</v>
      </c>
      <c r="C8" s="37">
        <v>10.06</v>
      </c>
      <c r="D8" s="37">
        <v>13.12</v>
      </c>
      <c r="E8" s="37">
        <v>0.27</v>
      </c>
      <c r="F8" s="37">
        <v>2.6</v>
      </c>
      <c r="G8" s="37">
        <v>421</v>
      </c>
      <c r="H8" s="37">
        <v>6.98</v>
      </c>
      <c r="I8" s="37">
        <v>122</v>
      </c>
      <c r="J8" s="37">
        <v>295</v>
      </c>
      <c r="K8" s="37">
        <v>149</v>
      </c>
      <c r="L8" s="37">
        <v>503</v>
      </c>
      <c r="M8">
        <f t="shared" si="0"/>
        <v>129</v>
      </c>
    </row>
    <row r="9" spans="1:13" x14ac:dyDescent="0.25">
      <c r="A9" s="36" t="s">
        <v>158</v>
      </c>
      <c r="B9" s="37">
        <v>0.7</v>
      </c>
      <c r="C9" s="37">
        <v>9.9499999999999993</v>
      </c>
      <c r="D9" s="37">
        <v>13.11</v>
      </c>
      <c r="E9" s="37">
        <v>0.21</v>
      </c>
      <c r="F9" s="37">
        <v>2.5299999999999998</v>
      </c>
      <c r="G9" s="37">
        <v>341</v>
      </c>
      <c r="H9" s="37">
        <v>5.38</v>
      </c>
      <c r="I9" s="37">
        <v>96.7</v>
      </c>
      <c r="J9" s="37">
        <v>241</v>
      </c>
      <c r="K9" s="37">
        <v>135</v>
      </c>
      <c r="L9" s="37">
        <v>525</v>
      </c>
      <c r="M9">
        <f t="shared" si="0"/>
        <v>125.69999999999999</v>
      </c>
    </row>
    <row r="10" spans="1:13" x14ac:dyDescent="0.25">
      <c r="A10" s="36" t="s">
        <v>159</v>
      </c>
      <c r="B10" s="37">
        <v>2.94</v>
      </c>
      <c r="C10" s="37">
        <v>11.19</v>
      </c>
      <c r="D10" s="37">
        <v>13.34</v>
      </c>
      <c r="E10" s="37">
        <v>0.95</v>
      </c>
      <c r="F10" s="37">
        <v>3.45</v>
      </c>
      <c r="G10" s="37">
        <v>370</v>
      </c>
      <c r="H10" s="37">
        <v>24.39</v>
      </c>
      <c r="I10" s="37">
        <v>106</v>
      </c>
      <c r="J10" s="37">
        <v>252</v>
      </c>
      <c r="K10" s="37">
        <v>132</v>
      </c>
      <c r="L10" s="37">
        <v>176</v>
      </c>
      <c r="M10">
        <f t="shared" si="0"/>
        <v>0</v>
      </c>
    </row>
    <row r="11" spans="1:13" x14ac:dyDescent="0.25">
      <c r="A11" s="35" t="s">
        <v>160</v>
      </c>
      <c r="B11">
        <v>15.18</v>
      </c>
      <c r="C11">
        <v>18.18</v>
      </c>
      <c r="D11">
        <v>14.61</v>
      </c>
      <c r="E11">
        <v>4.96</v>
      </c>
      <c r="F11">
        <v>8.81</v>
      </c>
      <c r="G11">
        <v>383</v>
      </c>
      <c r="H11">
        <v>128.43</v>
      </c>
      <c r="I11">
        <v>100</v>
      </c>
      <c r="J11">
        <v>163</v>
      </c>
      <c r="K11">
        <v>110</v>
      </c>
      <c r="L11">
        <v>50.8</v>
      </c>
      <c r="M11">
        <f>L11</f>
        <v>50.8</v>
      </c>
    </row>
    <row r="12" spans="1:13" x14ac:dyDescent="0.25">
      <c r="A12" s="35" t="s">
        <v>161</v>
      </c>
      <c r="B12">
        <v>50.95</v>
      </c>
      <c r="C12">
        <v>36.31</v>
      </c>
      <c r="D12">
        <v>17.84</v>
      </c>
      <c r="E12">
        <v>15.21</v>
      </c>
      <c r="F12">
        <v>21.87</v>
      </c>
      <c r="G12">
        <v>754</v>
      </c>
      <c r="H12">
        <v>393.62</v>
      </c>
      <c r="I12">
        <v>109</v>
      </c>
      <c r="J12">
        <v>243</v>
      </c>
      <c r="K12">
        <v>132</v>
      </c>
      <c r="L12">
        <v>69.5</v>
      </c>
      <c r="M12">
        <f>L12</f>
        <v>69.5</v>
      </c>
    </row>
    <row r="13" spans="1:13" x14ac:dyDescent="0.25">
      <c r="A13" s="35" t="s">
        <v>162</v>
      </c>
      <c r="B13">
        <v>74.38</v>
      </c>
      <c r="C13">
        <v>47.54</v>
      </c>
      <c r="D13">
        <v>19.82</v>
      </c>
      <c r="E13">
        <v>21.46</v>
      </c>
      <c r="F13">
        <v>30.19</v>
      </c>
      <c r="G13">
        <v>861</v>
      </c>
      <c r="H13">
        <v>555</v>
      </c>
      <c r="I13">
        <v>52.9</v>
      </c>
      <c r="J13">
        <v>238</v>
      </c>
      <c r="K13">
        <v>78.3</v>
      </c>
      <c r="L13">
        <v>12.5</v>
      </c>
      <c r="M13">
        <f>L13</f>
        <v>12.5</v>
      </c>
    </row>
    <row r="14" spans="1:13" x14ac:dyDescent="0.25">
      <c r="H14">
        <f>SUM(H2:H13)</f>
        <v>2637.54</v>
      </c>
      <c r="I14" s="2"/>
      <c r="L14" s="34">
        <f>SUM(L2:L13)</f>
        <v>2601.63</v>
      </c>
      <c r="M14" s="34">
        <f>SUM(M2:M13)</f>
        <v>542.93000000000006</v>
      </c>
    </row>
    <row r="15" spans="1:13" x14ac:dyDescent="0.25">
      <c r="I15" s="2"/>
      <c r="L15" s="2"/>
    </row>
    <row r="16" spans="1:13" x14ac:dyDescent="0.25">
      <c r="A16" s="35" t="s">
        <v>163</v>
      </c>
      <c r="I16" s="2"/>
      <c r="L16" s="2"/>
    </row>
    <row r="17" spans="1:12" ht="48" customHeight="1" x14ac:dyDescent="0.25">
      <c r="A17" s="38" t="s">
        <v>164</v>
      </c>
      <c r="B17" s="39" t="s">
        <v>165</v>
      </c>
      <c r="C17" s="38" t="s">
        <v>166</v>
      </c>
      <c r="D17" s="39" t="s">
        <v>167</v>
      </c>
      <c r="E17" s="40" t="s">
        <v>168</v>
      </c>
      <c r="I17" s="2"/>
      <c r="L17" s="2"/>
    </row>
    <row r="18" spans="1:12" x14ac:dyDescent="0.25">
      <c r="A18" s="41" t="s">
        <v>154</v>
      </c>
      <c r="B18" s="3">
        <f>I5/30</f>
        <v>5.1333333333333337</v>
      </c>
      <c r="C18" s="3">
        <f>16-B18</f>
        <v>10.866666666666667</v>
      </c>
      <c r="D18" s="3">
        <f>C18*30</f>
        <v>326</v>
      </c>
      <c r="E18" s="3">
        <v>326</v>
      </c>
      <c r="I18" s="2"/>
      <c r="L18" s="2"/>
    </row>
    <row r="19" spans="1:12" x14ac:dyDescent="0.25">
      <c r="A19" s="41" t="s">
        <v>155</v>
      </c>
      <c r="B19" s="3">
        <f>I6/31</f>
        <v>3.3548387096774195</v>
      </c>
      <c r="C19" s="3">
        <f t="shared" ref="C19:C23" si="1">16-B19</f>
        <v>12.64516129032258</v>
      </c>
      <c r="D19" s="3">
        <f>C19*31</f>
        <v>392</v>
      </c>
      <c r="E19" s="3">
        <v>371</v>
      </c>
      <c r="I19" s="2"/>
    </row>
    <row r="20" spans="1:12" x14ac:dyDescent="0.25">
      <c r="A20" s="41" t="s">
        <v>156</v>
      </c>
      <c r="B20" s="3">
        <f>I7/30</f>
        <v>2.253333333333333</v>
      </c>
      <c r="C20" s="3">
        <f t="shared" si="1"/>
        <v>13.746666666666666</v>
      </c>
      <c r="D20" s="3">
        <f>C20*30</f>
        <v>412.4</v>
      </c>
      <c r="E20" s="3">
        <v>412.4</v>
      </c>
    </row>
    <row r="21" spans="1:12" x14ac:dyDescent="0.25">
      <c r="A21" s="41" t="s">
        <v>157</v>
      </c>
      <c r="B21" s="3">
        <f>I8/31</f>
        <v>3.935483870967742</v>
      </c>
      <c r="C21" s="3">
        <f t="shared" si="1"/>
        <v>12.064516129032258</v>
      </c>
      <c r="D21" s="3">
        <f>C21*31</f>
        <v>374</v>
      </c>
      <c r="E21" s="3">
        <v>374</v>
      </c>
    </row>
    <row r="22" spans="1:12" x14ac:dyDescent="0.25">
      <c r="A22" s="41" t="s">
        <v>158</v>
      </c>
      <c r="B22" s="3">
        <f>I9/31</f>
        <v>3.1193548387096777</v>
      </c>
      <c r="C22" s="3">
        <f t="shared" si="1"/>
        <v>12.880645161290323</v>
      </c>
      <c r="D22" s="3">
        <f>C22*31</f>
        <v>399.3</v>
      </c>
      <c r="E22" s="3">
        <v>399.3</v>
      </c>
    </row>
    <row r="23" spans="1:12" x14ac:dyDescent="0.25">
      <c r="A23" s="41" t="s">
        <v>159</v>
      </c>
      <c r="B23" s="3">
        <f>I10/30</f>
        <v>3.5333333333333332</v>
      </c>
      <c r="C23" s="3">
        <f t="shared" si="1"/>
        <v>12.466666666666667</v>
      </c>
      <c r="D23" s="3">
        <f>C23*30</f>
        <v>374</v>
      </c>
      <c r="E23" s="3">
        <v>176</v>
      </c>
    </row>
    <row r="24" spans="1:12" x14ac:dyDescent="0.25">
      <c r="A24" s="42" t="s">
        <v>127</v>
      </c>
      <c r="C24" s="3">
        <f>SUM(C18:C23)</f>
        <v>74.670322580645163</v>
      </c>
      <c r="D24" s="9">
        <f>SUM(D18:D23)</f>
        <v>2277.6999999999998</v>
      </c>
      <c r="E24" s="3">
        <f>SUM(E18:E23)</f>
        <v>2058.6999999999998</v>
      </c>
    </row>
    <row r="25" spans="1:12" x14ac:dyDescent="0.25">
      <c r="A25" s="41" t="s">
        <v>137</v>
      </c>
      <c r="C25" s="43">
        <f>C24/6</f>
        <v>12.44505376344086</v>
      </c>
    </row>
  </sheetData>
  <sheetProtection algorithmName="SHA-512" hashValue="XeMoi9Y/lPhQ+1Ai0pEBjW0qMsBkUNzTNaN4rsfm5L4aWI3O7cnvrjWRn60YNSGEl2omjC6KKyk4beFHq+XpCA==" saltValue="0qmjqUjTrUUM1y2ry2ANRA=="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BA72-FC32-401F-BAAB-989BB57E9DE4}">
  <dimension ref="A1:H34"/>
  <sheetViews>
    <sheetView topLeftCell="A16" zoomScale="107" workbookViewId="0">
      <selection activeCell="A16" sqref="A1:XFD1048576"/>
    </sheetView>
  </sheetViews>
  <sheetFormatPr defaultRowHeight="15" x14ac:dyDescent="0.25"/>
  <cols>
    <col min="1" max="1" width="38" style="79" customWidth="1"/>
    <col min="2" max="2" width="18" style="79" customWidth="1"/>
    <col min="3" max="5" width="22" style="79" customWidth="1"/>
    <col min="6" max="8" width="18" style="79" customWidth="1"/>
    <col min="9" max="16384" width="9.140625" style="79"/>
  </cols>
  <sheetData>
    <row r="1" spans="1:8" x14ac:dyDescent="0.25">
      <c r="A1" s="388" t="s">
        <v>180</v>
      </c>
      <c r="B1" s="389"/>
      <c r="C1" s="389"/>
      <c r="D1" s="389"/>
      <c r="E1" s="389"/>
      <c r="F1" s="389"/>
      <c r="G1" s="389"/>
      <c r="H1" s="389"/>
    </row>
    <row r="2" spans="1:8" x14ac:dyDescent="0.25">
      <c r="A2" s="390" t="s">
        <v>181</v>
      </c>
      <c r="B2" s="389"/>
      <c r="C2" s="389"/>
      <c r="D2" s="389"/>
      <c r="E2" s="389"/>
      <c r="F2" s="389"/>
      <c r="G2" s="389"/>
      <c r="H2" s="389"/>
    </row>
    <row r="4" spans="1:8" x14ac:dyDescent="0.25">
      <c r="A4" s="391" t="s">
        <v>182</v>
      </c>
      <c r="B4" s="389"/>
      <c r="C4" s="389"/>
      <c r="D4" s="389"/>
      <c r="E4" s="389"/>
      <c r="F4" s="389"/>
      <c r="G4" s="389"/>
      <c r="H4" s="389"/>
    </row>
    <row r="5" spans="1:8" x14ac:dyDescent="0.25">
      <c r="A5" s="90" t="s">
        <v>183</v>
      </c>
      <c r="B5" s="291">
        <f>D6</f>
        <v>4.2105263157894735</v>
      </c>
      <c r="C5" s="91" t="s">
        <v>184</v>
      </c>
    </row>
    <row r="6" spans="1:8" x14ac:dyDescent="0.25">
      <c r="A6" s="90" t="s">
        <v>185</v>
      </c>
      <c r="B6" s="291">
        <f>'Vantaggio Cliente iDea vs RID'!I56</f>
        <v>12</v>
      </c>
      <c r="C6" s="91" t="s">
        <v>111</v>
      </c>
      <c r="D6" s="81">
        <f>(B6/2.85)</f>
        <v>4.2105263157894735</v>
      </c>
    </row>
    <row r="7" spans="1:8" x14ac:dyDescent="0.25">
      <c r="A7" s="90" t="s">
        <v>186</v>
      </c>
      <c r="B7" s="292">
        <v>100</v>
      </c>
      <c r="C7" s="91" t="s">
        <v>187</v>
      </c>
    </row>
    <row r="8" spans="1:8" x14ac:dyDescent="0.25">
      <c r="A8" s="90" t="s">
        <v>188</v>
      </c>
      <c r="B8" s="292">
        <v>27</v>
      </c>
      <c r="C8" s="91" t="s">
        <v>187</v>
      </c>
    </row>
    <row r="9" spans="1:8" x14ac:dyDescent="0.25">
      <c r="A9" s="90" t="s">
        <v>189</v>
      </c>
      <c r="B9" s="293">
        <v>75000</v>
      </c>
      <c r="C9" s="91" t="s">
        <v>190</v>
      </c>
    </row>
    <row r="10" spans="1:8" x14ac:dyDescent="0.25">
      <c r="A10" s="90" t="s">
        <v>191</v>
      </c>
      <c r="B10" s="293">
        <v>200</v>
      </c>
      <c r="C10" s="91" t="s">
        <v>192</v>
      </c>
    </row>
    <row r="11" spans="1:8" x14ac:dyDescent="0.25">
      <c r="A11" s="90" t="s">
        <v>193</v>
      </c>
      <c r="B11" s="292">
        <v>25</v>
      </c>
      <c r="C11" s="91" t="s">
        <v>187</v>
      </c>
    </row>
    <row r="13" spans="1:8" x14ac:dyDescent="0.25">
      <c r="A13" s="391" t="s">
        <v>194</v>
      </c>
      <c r="B13" s="389"/>
      <c r="C13" s="389"/>
      <c r="D13" s="389"/>
      <c r="E13" s="389"/>
      <c r="F13" s="389"/>
      <c r="G13" s="389"/>
      <c r="H13" s="389"/>
    </row>
    <row r="14" spans="1:8" x14ac:dyDescent="0.25">
      <c r="A14" s="92" t="s">
        <v>195</v>
      </c>
      <c r="B14" s="92" t="s">
        <v>196</v>
      </c>
      <c r="C14" s="92" t="s">
        <v>197</v>
      </c>
      <c r="D14" s="92" t="s">
        <v>198</v>
      </c>
      <c r="E14" s="92" t="s">
        <v>199</v>
      </c>
    </row>
    <row r="15" spans="1:8" ht="30" x14ac:dyDescent="0.25">
      <c r="A15" s="93" t="s">
        <v>200</v>
      </c>
      <c r="B15" s="93" t="s">
        <v>201</v>
      </c>
      <c r="C15" s="94">
        <v>664</v>
      </c>
      <c r="D15" s="93" t="s">
        <v>202</v>
      </c>
      <c r="E15" s="93" t="s">
        <v>203</v>
      </c>
    </row>
    <row r="16" spans="1:8" ht="45" x14ac:dyDescent="0.25">
      <c r="A16" s="93" t="s">
        <v>204</v>
      </c>
      <c r="B16" s="93" t="s">
        <v>205</v>
      </c>
      <c r="C16" s="94">
        <v>1556</v>
      </c>
      <c r="D16" s="93" t="s">
        <v>206</v>
      </c>
      <c r="E16" s="93" t="s">
        <v>207</v>
      </c>
    </row>
    <row r="17" spans="1:8" x14ac:dyDescent="0.25">
      <c r="A17" s="95" t="s">
        <v>127</v>
      </c>
      <c r="B17" s="96"/>
      <c r="C17" s="97">
        <f>C15+C16</f>
        <v>2220</v>
      </c>
      <c r="D17" s="96"/>
      <c r="E17" s="96"/>
    </row>
    <row r="18" spans="1:8" x14ac:dyDescent="0.25">
      <c r="A18" s="391" t="s">
        <v>208</v>
      </c>
      <c r="B18" s="389"/>
      <c r="C18" s="389"/>
      <c r="D18" s="389"/>
      <c r="E18" s="389"/>
      <c r="F18" s="389"/>
      <c r="G18" s="389"/>
      <c r="H18" s="389"/>
    </row>
    <row r="19" spans="1:8" x14ac:dyDescent="0.25">
      <c r="A19" s="98" t="s">
        <v>209</v>
      </c>
      <c r="B19" s="99">
        <f>B5/1000</f>
        <v>4.2105263157894736E-3</v>
      </c>
    </row>
    <row r="20" spans="1:8" ht="30" x14ac:dyDescent="0.25">
      <c r="A20" s="98" t="s">
        <v>210</v>
      </c>
      <c r="B20" s="100">
        <f>IF(B5&gt;0,B6/B5,"")</f>
        <v>2.85</v>
      </c>
    </row>
    <row r="22" spans="1:8" ht="30" x14ac:dyDescent="0.25">
      <c r="A22" s="92" t="s">
        <v>195</v>
      </c>
      <c r="B22" s="92" t="s">
        <v>211</v>
      </c>
      <c r="C22" s="92" t="s">
        <v>212</v>
      </c>
      <c r="D22" s="92" t="s">
        <v>213</v>
      </c>
      <c r="E22" s="92" t="s">
        <v>214</v>
      </c>
      <c r="F22" s="92" t="s">
        <v>215</v>
      </c>
      <c r="G22" s="92" t="s">
        <v>247</v>
      </c>
    </row>
    <row r="23" spans="1:8" x14ac:dyDescent="0.25">
      <c r="A23" s="101" t="s">
        <v>200</v>
      </c>
      <c r="B23" s="94">
        <f>C15</f>
        <v>664</v>
      </c>
      <c r="C23" s="102">
        <f>($B$9)*($B$19)*(B23/8760)*($B$7/100)</f>
        <v>23.936553713049747</v>
      </c>
      <c r="D23" s="103">
        <f>($B$5)*B23*($B$8/100)*($B$7/100)</f>
        <v>754.8631578947369</v>
      </c>
      <c r="E23" s="102">
        <f>($B$10)*(D23/1000)</f>
        <v>150.97263157894739</v>
      </c>
      <c r="F23" s="102">
        <f>C23+E23</f>
        <v>174.90918529199712</v>
      </c>
    </row>
    <row r="24" spans="1:8" x14ac:dyDescent="0.25">
      <c r="A24" s="101" t="s">
        <v>204</v>
      </c>
      <c r="B24" s="94">
        <f>C16</f>
        <v>1556</v>
      </c>
      <c r="C24" s="102">
        <f>($B$9)*($B$19)*(B24/8760)*($B$7/100)</f>
        <v>56.092285508291276</v>
      </c>
      <c r="D24" s="103">
        <f>($B$5)*B24*($B$8/100)*($B$7/100)</f>
        <v>1768.9263157894738</v>
      </c>
      <c r="E24" s="102">
        <f>($B$10)*(D24/1000)*(1+$B$11/100)</f>
        <v>442.23157894736852</v>
      </c>
      <c r="F24" s="102">
        <f>C24+E24</f>
        <v>498.32386445565982</v>
      </c>
    </row>
    <row r="25" spans="1:8" x14ac:dyDescent="0.25">
      <c r="A25" s="95" t="s">
        <v>216</v>
      </c>
      <c r="B25" s="104">
        <f>B23+B24</f>
        <v>2220</v>
      </c>
      <c r="C25" s="105">
        <f>C23+C24</f>
        <v>80.02883922134103</v>
      </c>
      <c r="D25" s="106">
        <f>D23+D24</f>
        <v>2523.7894736842109</v>
      </c>
      <c r="E25" s="105">
        <f>E23+E24</f>
        <v>593.20421052631593</v>
      </c>
      <c r="F25" s="105">
        <f>F23+F24</f>
        <v>673.23304974765688</v>
      </c>
      <c r="G25" s="288">
        <f>F25*0.1</f>
        <v>67.323304974765691</v>
      </c>
    </row>
    <row r="27" spans="1:8" x14ac:dyDescent="0.25">
      <c r="A27" s="391" t="s">
        <v>217</v>
      </c>
      <c r="B27" s="389"/>
      <c r="C27" s="389"/>
      <c r="D27" s="389"/>
      <c r="E27" s="389"/>
      <c r="F27" s="389"/>
      <c r="G27" s="389"/>
      <c r="H27" s="389"/>
    </row>
    <row r="28" spans="1:8" ht="30" x14ac:dyDescent="0.25">
      <c r="A28" s="98" t="s">
        <v>218</v>
      </c>
      <c r="B28" s="107">
        <f>IF($B$5&gt;0,F25/$B$5,"")</f>
        <v>159.89284931506853</v>
      </c>
    </row>
    <row r="29" spans="1:8" ht="30" x14ac:dyDescent="0.25">
      <c r="A29" s="98" t="s">
        <v>219</v>
      </c>
      <c r="B29" s="107">
        <f>IF($B$6&gt;0,F25/$B$6,"")</f>
        <v>56.102754145638073</v>
      </c>
    </row>
    <row r="31" spans="1:8" x14ac:dyDescent="0.25">
      <c r="A31" s="386" t="s">
        <v>220</v>
      </c>
      <c r="B31" s="387"/>
      <c r="C31" s="387"/>
      <c r="D31" s="387"/>
      <c r="E31" s="387"/>
      <c r="F31" s="387"/>
      <c r="G31" s="387"/>
      <c r="H31" s="387"/>
    </row>
    <row r="32" spans="1:8" x14ac:dyDescent="0.25">
      <c r="A32" s="387"/>
      <c r="B32" s="387"/>
      <c r="C32" s="387"/>
      <c r="D32" s="387"/>
      <c r="E32" s="387"/>
      <c r="F32" s="387"/>
      <c r="G32" s="387"/>
      <c r="H32" s="387"/>
    </row>
    <row r="33" spans="1:8" x14ac:dyDescent="0.25">
      <c r="A33" s="387"/>
      <c r="B33" s="387"/>
      <c r="C33" s="387"/>
      <c r="D33" s="387"/>
      <c r="E33" s="387"/>
      <c r="F33" s="387"/>
      <c r="G33" s="387"/>
      <c r="H33" s="387"/>
    </row>
    <row r="34" spans="1:8" x14ac:dyDescent="0.25">
      <c r="A34" s="387"/>
      <c r="B34" s="387"/>
      <c r="C34" s="387"/>
      <c r="D34" s="387"/>
      <c r="E34" s="387"/>
      <c r="F34" s="387"/>
      <c r="G34" s="387"/>
      <c r="H34" s="387"/>
    </row>
  </sheetData>
  <sheetProtection algorithmName="SHA-512" hashValue="4jUywAOt2pEo7io/1kwsQ2o88178OCCGoCXp0TYGEeUFYB9+/5nWRvV7iBQr1swmOv8wkq2gzvLTrznHiC+NZA==" saltValue="5N0nY7qKLqEy+TVGesAQFA==" spinCount="100000" sheet="1" objects="1" scenarios="1"/>
  <mergeCells count="7">
    <mergeCell ref="A31:H34"/>
    <mergeCell ref="A1:H1"/>
    <mergeCell ref="A2:H2"/>
    <mergeCell ref="A4:H4"/>
    <mergeCell ref="A13:H13"/>
    <mergeCell ref="A18:H18"/>
    <mergeCell ref="A27:H27"/>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B4CF-4671-4F96-A22C-F40C2065AE9E}">
  <dimension ref="A1:I13"/>
  <sheetViews>
    <sheetView workbookViewId="0">
      <selection activeCell="J12" sqref="J12"/>
    </sheetView>
  </sheetViews>
  <sheetFormatPr defaultColWidth="9.140625" defaultRowHeight="15" x14ac:dyDescent="0.25"/>
  <cols>
    <col min="1" max="1" width="9.140625" style="80"/>
    <col min="2" max="3" width="14.42578125" style="80" customWidth="1"/>
    <col min="4" max="4" width="15.28515625" style="80" customWidth="1"/>
    <col min="5" max="5" width="15.42578125" style="80" customWidth="1"/>
    <col min="6" max="6" width="28.7109375" style="80" customWidth="1"/>
    <col min="7" max="7" width="25.85546875" style="80" customWidth="1"/>
    <col min="8" max="16384" width="9.140625" style="80"/>
  </cols>
  <sheetData>
    <row r="1" spans="1:9" ht="29.25" customHeight="1" x14ac:dyDescent="0.25">
      <c r="A1" s="82" t="s">
        <v>178</v>
      </c>
      <c r="B1" s="83" t="s">
        <v>172</v>
      </c>
      <c r="C1" s="83" t="s">
        <v>173</v>
      </c>
      <c r="D1" s="83" t="s">
        <v>171</v>
      </c>
      <c r="E1" s="83" t="s">
        <v>174</v>
      </c>
      <c r="F1" s="83" t="s">
        <v>177</v>
      </c>
      <c r="G1" s="84"/>
      <c r="H1" s="84"/>
      <c r="I1" s="84"/>
    </row>
    <row r="2" spans="1:9" x14ac:dyDescent="0.25">
      <c r="A2" s="82">
        <v>1</v>
      </c>
      <c r="B2" s="85">
        <v>1</v>
      </c>
      <c r="C2" s="85">
        <v>3</v>
      </c>
      <c r="D2" s="86">
        <f>'Vantaggio Energy Cloud'!I27</f>
        <v>105</v>
      </c>
      <c r="E2" s="86">
        <f>(B2*(C2)*(F2/12000)*D13)/10</f>
        <v>18</v>
      </c>
      <c r="F2" s="87">
        <v>60000</v>
      </c>
    </row>
    <row r="3" spans="1:9" x14ac:dyDescent="0.25">
      <c r="A3" s="82">
        <v>2</v>
      </c>
      <c r="B3" s="85">
        <v>1</v>
      </c>
      <c r="C3" s="85">
        <v>6</v>
      </c>
      <c r="D3" s="86">
        <f>D2</f>
        <v>105</v>
      </c>
      <c r="E3" s="86">
        <f>(B3*(C3)*(F3/12000)*D13)/10</f>
        <v>36</v>
      </c>
      <c r="F3" s="87">
        <v>60000</v>
      </c>
    </row>
    <row r="4" spans="1:9" x14ac:dyDescent="0.25">
      <c r="A4" s="82">
        <v>3</v>
      </c>
      <c r="B4" s="85">
        <v>0</v>
      </c>
      <c r="C4" s="85">
        <v>0</v>
      </c>
      <c r="D4" s="86">
        <f t="shared" ref="D4:D10" si="0">D3</f>
        <v>105</v>
      </c>
      <c r="E4" s="86">
        <f>(B4*(C4)*(F4/12000)*D13)/10</f>
        <v>0</v>
      </c>
      <c r="F4" s="87">
        <v>60000</v>
      </c>
    </row>
    <row r="5" spans="1:9" x14ac:dyDescent="0.25">
      <c r="A5" s="82">
        <v>4</v>
      </c>
      <c r="B5" s="85">
        <v>0</v>
      </c>
      <c r="C5" s="85">
        <v>0</v>
      </c>
      <c r="D5" s="86">
        <f t="shared" si="0"/>
        <v>105</v>
      </c>
      <c r="E5" s="86">
        <f>(B5*(C5)*(F5/12000)*D13)/10</f>
        <v>0</v>
      </c>
      <c r="F5" s="87">
        <v>60000</v>
      </c>
    </row>
    <row r="6" spans="1:9" x14ac:dyDescent="0.25">
      <c r="A6" s="82">
        <v>5</v>
      </c>
      <c r="B6" s="85">
        <v>1</v>
      </c>
      <c r="C6" s="85">
        <v>3</v>
      </c>
      <c r="D6" s="86">
        <f t="shared" si="0"/>
        <v>105</v>
      </c>
      <c r="E6" s="86">
        <f>(B6*(C6)*(F6/12000)*D13)/10</f>
        <v>18</v>
      </c>
      <c r="F6" s="87">
        <v>60000</v>
      </c>
    </row>
    <row r="7" spans="1:9" x14ac:dyDescent="0.25">
      <c r="A7" s="82">
        <v>6</v>
      </c>
      <c r="B7" s="85">
        <v>0</v>
      </c>
      <c r="C7" s="85">
        <v>3</v>
      </c>
      <c r="D7" s="86">
        <f t="shared" si="0"/>
        <v>105</v>
      </c>
      <c r="E7" s="86">
        <f>(B7*(C7)*(F7/12000)*D13)/10</f>
        <v>0</v>
      </c>
      <c r="F7" s="87">
        <v>60000</v>
      </c>
    </row>
    <row r="8" spans="1:9" x14ac:dyDescent="0.25">
      <c r="A8" s="82">
        <v>7</v>
      </c>
      <c r="B8" s="85">
        <v>0</v>
      </c>
      <c r="C8" s="85">
        <v>3</v>
      </c>
      <c r="D8" s="86">
        <f t="shared" si="0"/>
        <v>105</v>
      </c>
      <c r="E8" s="86">
        <f>(B8*(C8)*(F8/12000)*D13)/10</f>
        <v>0</v>
      </c>
      <c r="F8" s="87">
        <v>60000</v>
      </c>
    </row>
    <row r="9" spans="1:9" x14ac:dyDescent="0.25">
      <c r="A9" s="82">
        <v>8</v>
      </c>
      <c r="B9" s="85">
        <v>1</v>
      </c>
      <c r="C9" s="85">
        <v>3</v>
      </c>
      <c r="D9" s="86">
        <f t="shared" si="0"/>
        <v>105</v>
      </c>
      <c r="E9" s="86">
        <f>(B9*(C9)*(F9/12000)*D13)/10</f>
        <v>18</v>
      </c>
      <c r="F9" s="87">
        <v>60000</v>
      </c>
    </row>
    <row r="10" spans="1:9" x14ac:dyDescent="0.25">
      <c r="A10" s="82">
        <v>9</v>
      </c>
      <c r="B10" s="85">
        <v>1</v>
      </c>
      <c r="C10" s="85">
        <v>12</v>
      </c>
      <c r="D10" s="86">
        <f t="shared" si="0"/>
        <v>105</v>
      </c>
      <c r="E10" s="86">
        <f>(B10*(C10)*(F10/12000)*D13)/10</f>
        <v>72</v>
      </c>
      <c r="F10" s="87">
        <v>60000</v>
      </c>
    </row>
    <row r="11" spans="1:9" x14ac:dyDescent="0.25">
      <c r="C11" s="88" t="s">
        <v>179</v>
      </c>
      <c r="D11" s="89">
        <f>SUM(D2:D10)+SUM(E2:E10)</f>
        <v>1107</v>
      </c>
    </row>
    <row r="12" spans="1:9" x14ac:dyDescent="0.25">
      <c r="C12" s="88" t="s">
        <v>178</v>
      </c>
      <c r="D12" s="89">
        <f>D11/9</f>
        <v>123</v>
      </c>
    </row>
    <row r="13" spans="1:9" x14ac:dyDescent="0.25">
      <c r="D13" s="80">
        <f>'Vantaggio Cliente iDea vs RID'!L54</f>
        <v>12</v>
      </c>
    </row>
  </sheetData>
  <sheetProtection algorithmName="SHA-512" hashValue="xMMwwRs/JIepMFv+Gd92ugE0M7lXoO+E4vWEqZZFyGImeM2l1zJA/h9n7JeJMTq1Y3UJdaW+efa1CoXV1+Z15w==" saltValue="6aw/txG09ygU9U8JUZf58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Vantaggio Cliente iDea vs RID</vt:lpstr>
      <vt:lpstr>Prezzi medi anno PUN e RID</vt:lpstr>
      <vt:lpstr>Vantaggio Energy Cloud</vt:lpstr>
      <vt:lpstr>Simulazione costi fissi</vt:lpstr>
      <vt:lpstr>analisi accumulo prosumer</vt:lpstr>
      <vt:lpstr>Flex</vt:lpstr>
      <vt:lpstr>Ricavi Tot PUN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Ulian</dc:creator>
  <cp:lastModifiedBy>Francesco Ulian</cp:lastModifiedBy>
  <dcterms:created xsi:type="dcterms:W3CDTF">2025-01-22T12:46:32Z</dcterms:created>
  <dcterms:modified xsi:type="dcterms:W3CDTF">2026-05-20T20:00:07Z</dcterms:modified>
</cp:coreProperties>
</file>