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xr:revisionPtr revIDLastSave="0" documentId="8_{E771A358-9563-4403-A50E-83EF47724388}"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4" i="1" l="1"/>
  <c r="K254" i="1"/>
  <c r="L254" i="1"/>
  <c r="M254" i="1"/>
  <c r="N254" i="1"/>
  <c r="O254" i="1"/>
  <c r="W254" i="1"/>
  <c r="X254" i="1"/>
  <c r="AC254" i="1"/>
  <c r="AG254" i="1"/>
  <c r="AH254" i="1"/>
  <c r="AI254" i="1"/>
  <c r="AJ254" i="1"/>
  <c r="AN254" i="1"/>
  <c r="AR254" i="1"/>
  <c r="AS254" i="1"/>
  <c r="AT254" i="1"/>
  <c r="BA254" i="1"/>
  <c r="BB254" i="1"/>
  <c r="BC254" i="1"/>
  <c r="BO254" i="1"/>
  <c r="BZ254" i="1"/>
  <c r="CG254" i="1"/>
  <c r="R23" i="1"/>
  <c r="A3" i="1"/>
  <c r="F3" i="1"/>
  <c r="A4" i="1"/>
  <c r="F4" i="1"/>
  <c r="A5" i="1"/>
  <c r="F5" i="1"/>
  <c r="A6" i="1"/>
  <c r="F6" i="1"/>
  <c r="A7" i="1"/>
  <c r="F7" i="1"/>
  <c r="A8" i="1"/>
  <c r="F8" i="1"/>
  <c r="A9" i="1"/>
  <c r="F9" i="1"/>
  <c r="A10" i="1"/>
  <c r="F10" i="1"/>
  <c r="A11" i="1"/>
  <c r="F11" i="1"/>
  <c r="A12" i="1"/>
  <c r="F12" i="1"/>
  <c r="A13" i="1"/>
  <c r="F13" i="1"/>
  <c r="A14" i="1"/>
  <c r="F14" i="1"/>
  <c r="A15" i="1"/>
  <c r="F15" i="1"/>
  <c r="A16" i="1"/>
  <c r="F16" i="1"/>
  <c r="A17" i="1"/>
  <c r="F17" i="1"/>
  <c r="A18" i="1"/>
  <c r="F18" i="1"/>
  <c r="A19" i="1"/>
  <c r="F19" i="1"/>
  <c r="A20" i="1"/>
  <c r="F20" i="1"/>
  <c r="A21" i="1"/>
  <c r="F21" i="1"/>
  <c r="A22" i="1"/>
  <c r="F22" i="1"/>
  <c r="A23" i="1"/>
  <c r="F23" i="1"/>
  <c r="A24" i="1"/>
  <c r="F24" i="1"/>
  <c r="A25" i="1"/>
  <c r="F25" i="1"/>
  <c r="A26" i="1"/>
  <c r="F26" i="1"/>
  <c r="A27" i="1"/>
  <c r="F27" i="1"/>
  <c r="A28" i="1"/>
  <c r="F28" i="1"/>
  <c r="A29" i="1"/>
  <c r="F29" i="1"/>
  <c r="A30" i="1"/>
  <c r="F30" i="1"/>
  <c r="A31" i="1"/>
  <c r="F31" i="1"/>
  <c r="A32" i="1"/>
  <c r="F32" i="1"/>
  <c r="A33" i="1"/>
  <c r="F33" i="1"/>
  <c r="A34" i="1"/>
  <c r="F34" i="1"/>
  <c r="A35" i="1"/>
  <c r="F35" i="1"/>
  <c r="A36" i="1"/>
  <c r="F36" i="1"/>
  <c r="A37" i="1"/>
  <c r="F37" i="1"/>
  <c r="A38" i="1"/>
  <c r="F38" i="1"/>
  <c r="A39" i="1"/>
  <c r="F39" i="1"/>
  <c r="A40" i="1"/>
  <c r="F40" i="1"/>
  <c r="A41" i="1"/>
  <c r="F41" i="1"/>
  <c r="A42" i="1"/>
  <c r="F42" i="1"/>
  <c r="A43" i="1"/>
  <c r="F43" i="1"/>
  <c r="A44" i="1"/>
  <c r="F44" i="1"/>
  <c r="A45" i="1"/>
  <c r="F45" i="1"/>
  <c r="A46" i="1"/>
  <c r="F46" i="1"/>
  <c r="A47" i="1"/>
  <c r="F47" i="1"/>
  <c r="A48" i="1"/>
  <c r="F48" i="1"/>
  <c r="F49" i="1"/>
  <c r="F50" i="1"/>
  <c r="F51" i="1"/>
  <c r="F52" i="1"/>
  <c r="F53" i="1"/>
  <c r="F54" i="1"/>
  <c r="F55" i="1"/>
  <c r="F56" i="1"/>
  <c r="F57" i="1"/>
  <c r="F58" i="1"/>
  <c r="F59" i="1"/>
  <c r="F60" i="1"/>
  <c r="F61" i="1"/>
  <c r="F62" i="1"/>
  <c r="F63" i="1"/>
  <c r="F64" i="1"/>
  <c r="F65" i="1"/>
  <c r="F66" i="1"/>
  <c r="F67" i="1"/>
  <c r="F68" i="1"/>
  <c r="F69" i="1"/>
  <c r="F70" i="1"/>
  <c r="F71" i="1"/>
  <c r="F72" i="1"/>
  <c r="F73" i="1"/>
  <c r="F74" i="1"/>
  <c r="A75" i="1"/>
  <c r="F75" i="1"/>
  <c r="A76" i="1"/>
  <c r="F76" i="1"/>
  <c r="A77" i="1"/>
  <c r="F77" i="1"/>
  <c r="A78" i="1"/>
  <c r="F78" i="1"/>
  <c r="A79" i="1"/>
  <c r="F79" i="1"/>
  <c r="A80" i="1"/>
  <c r="F80" i="1"/>
  <c r="A81" i="1"/>
  <c r="F81" i="1"/>
  <c r="A82" i="1"/>
  <c r="F82" i="1"/>
  <c r="A83" i="1"/>
  <c r="F83" i="1"/>
  <c r="A84" i="1"/>
  <c r="F84" i="1"/>
  <c r="A85" i="1"/>
  <c r="F85" i="1"/>
  <c r="A86" i="1"/>
  <c r="F86" i="1"/>
  <c r="A87" i="1"/>
  <c r="F87" i="1"/>
  <c r="A88" i="1"/>
  <c r="F88" i="1"/>
  <c r="A89" i="1"/>
  <c r="F89" i="1"/>
  <c r="A90" i="1"/>
  <c r="F90" i="1"/>
  <c r="A91" i="1"/>
  <c r="F91" i="1"/>
  <c r="A92" i="1"/>
  <c r="F92" i="1"/>
  <c r="A93" i="1"/>
  <c r="F93" i="1"/>
  <c r="A94" i="1"/>
  <c r="F94" i="1"/>
  <c r="A95" i="1"/>
  <c r="F95" i="1"/>
  <c r="A96" i="1"/>
  <c r="F96" i="1"/>
  <c r="A97" i="1"/>
  <c r="F97" i="1"/>
  <c r="A98" i="1"/>
  <c r="F98" i="1"/>
  <c r="A99" i="1"/>
  <c r="F99" i="1"/>
  <c r="A100" i="1"/>
  <c r="F100" i="1"/>
  <c r="A101" i="1"/>
  <c r="F101" i="1"/>
  <c r="A102" i="1"/>
  <c r="F102" i="1"/>
  <c r="A103" i="1"/>
  <c r="F103" i="1"/>
  <c r="A104" i="1"/>
  <c r="F104" i="1"/>
  <c r="A105" i="1"/>
  <c r="F105" i="1"/>
  <c r="A106" i="1"/>
  <c r="F106" i="1"/>
  <c r="A107" i="1"/>
  <c r="F107" i="1"/>
  <c r="A108" i="1"/>
  <c r="F108" i="1"/>
  <c r="A109" i="1"/>
  <c r="F109" i="1"/>
  <c r="A110" i="1"/>
  <c r="F110" i="1"/>
  <c r="A111" i="1"/>
  <c r="F111" i="1"/>
  <c r="A112" i="1"/>
  <c r="F112" i="1"/>
  <c r="A113" i="1"/>
  <c r="F113" i="1"/>
  <c r="A114" i="1"/>
  <c r="F114" i="1"/>
  <c r="A115" i="1"/>
  <c r="F115" i="1"/>
  <c r="A116" i="1"/>
  <c r="F116" i="1"/>
  <c r="F117" i="1"/>
  <c r="F118" i="1"/>
  <c r="F119" i="1"/>
  <c r="F120" i="1"/>
  <c r="F121" i="1"/>
  <c r="F122" i="1"/>
  <c r="F123" i="1"/>
  <c r="F124" i="1"/>
  <c r="A125" i="1"/>
  <c r="F125" i="1"/>
  <c r="A126" i="1"/>
  <c r="F126" i="1"/>
  <c r="A127" i="1"/>
  <c r="F127" i="1"/>
  <c r="A128" i="1"/>
  <c r="F128" i="1"/>
  <c r="A129" i="1"/>
  <c r="F129" i="1"/>
  <c r="A130" i="1"/>
  <c r="F130" i="1"/>
  <c r="A131" i="1"/>
  <c r="F131" i="1"/>
  <c r="A132" i="1"/>
  <c r="F132" i="1"/>
  <c r="A133" i="1"/>
  <c r="F133" i="1"/>
  <c r="A134" i="1"/>
  <c r="F134" i="1"/>
  <c r="A135" i="1"/>
  <c r="F135" i="1"/>
  <c r="A136" i="1"/>
  <c r="F136" i="1"/>
  <c r="A137" i="1"/>
  <c r="F137" i="1"/>
  <c r="A138" i="1"/>
  <c r="F138" i="1"/>
  <c r="A139" i="1"/>
  <c r="F139" i="1"/>
  <c r="A140" i="1"/>
  <c r="F140" i="1"/>
  <c r="A141" i="1"/>
  <c r="F141" i="1"/>
  <c r="A142" i="1"/>
  <c r="F142" i="1"/>
  <c r="A143" i="1"/>
  <c r="F143" i="1"/>
  <c r="A144" i="1"/>
  <c r="F144" i="1"/>
  <c r="A145" i="1"/>
  <c r="F145" i="1"/>
  <c r="A146" i="1"/>
  <c r="F146" i="1"/>
  <c r="A147" i="1"/>
  <c r="F147" i="1"/>
  <c r="A148" i="1"/>
  <c r="F148" i="1"/>
  <c r="A149" i="1"/>
  <c r="F149" i="1"/>
  <c r="A150" i="1"/>
  <c r="F150" i="1"/>
  <c r="A151" i="1"/>
  <c r="F151" i="1"/>
  <c r="A152" i="1"/>
  <c r="F152" i="1"/>
  <c r="A153" i="1"/>
  <c r="F153" i="1"/>
  <c r="A154" i="1"/>
  <c r="F154" i="1"/>
  <c r="A155" i="1"/>
  <c r="F155" i="1"/>
  <c r="A156" i="1"/>
  <c r="F156" i="1"/>
  <c r="A157" i="1"/>
  <c r="F157" i="1"/>
  <c r="A158" i="1"/>
  <c r="F158" i="1"/>
  <c r="A159" i="1"/>
  <c r="F159" i="1"/>
  <c r="A160" i="1"/>
  <c r="F160" i="1"/>
  <c r="A161" i="1"/>
  <c r="F161" i="1"/>
  <c r="A162" i="1"/>
  <c r="F162" i="1"/>
  <c r="A163" i="1"/>
  <c r="F163" i="1"/>
  <c r="A164" i="1"/>
  <c r="F164" i="1"/>
  <c r="A165" i="1"/>
  <c r="F165" i="1"/>
  <c r="A166" i="1"/>
  <c r="F166" i="1"/>
  <c r="A167" i="1"/>
  <c r="F167" i="1"/>
  <c r="A168" i="1"/>
  <c r="F168" i="1"/>
  <c r="A169" i="1"/>
  <c r="F169" i="1"/>
  <c r="A170" i="1"/>
  <c r="F170" i="1"/>
  <c r="A171" i="1"/>
  <c r="F171" i="1"/>
  <c r="A172" i="1"/>
  <c r="F172" i="1"/>
  <c r="A173" i="1"/>
  <c r="F173" i="1"/>
  <c r="A174" i="1"/>
  <c r="F174" i="1"/>
  <c r="A175" i="1"/>
  <c r="F175" i="1"/>
  <c r="A176" i="1"/>
  <c r="F176" i="1"/>
  <c r="A177" i="1"/>
  <c r="F177" i="1"/>
  <c r="A178" i="1"/>
  <c r="F178" i="1"/>
  <c r="A179" i="1"/>
  <c r="F179" i="1"/>
  <c r="A180" i="1"/>
  <c r="F180" i="1"/>
  <c r="A181" i="1"/>
  <c r="F181" i="1"/>
  <c r="A182" i="1"/>
  <c r="F182" i="1"/>
  <c r="A183" i="1"/>
  <c r="F183" i="1"/>
  <c r="A184" i="1"/>
  <c r="F184" i="1"/>
  <c r="A185" i="1"/>
  <c r="F185" i="1"/>
  <c r="A186" i="1"/>
  <c r="F186" i="1"/>
  <c r="A187" i="1"/>
  <c r="F187" i="1"/>
  <c r="A188" i="1"/>
  <c r="F188" i="1"/>
  <c r="A189" i="1"/>
  <c r="F189" i="1"/>
  <c r="A190" i="1"/>
  <c r="F190" i="1"/>
  <c r="A191" i="1"/>
  <c r="F191" i="1"/>
  <c r="A192" i="1"/>
  <c r="F192" i="1"/>
  <c r="A193" i="1"/>
  <c r="F193" i="1"/>
  <c r="A194" i="1"/>
  <c r="F194" i="1"/>
  <c r="A195" i="1"/>
  <c r="F195" i="1"/>
  <c r="A196" i="1"/>
  <c r="F196" i="1"/>
  <c r="A197" i="1"/>
  <c r="F197" i="1"/>
  <c r="A198" i="1"/>
  <c r="F198" i="1"/>
  <c r="A199" i="1"/>
  <c r="F199" i="1"/>
  <c r="A200" i="1"/>
  <c r="F200" i="1"/>
  <c r="A201" i="1"/>
  <c r="F201" i="1"/>
  <c r="A202" i="1"/>
  <c r="F202" i="1"/>
  <c r="A203" i="1"/>
  <c r="F203" i="1"/>
  <c r="A204" i="1"/>
  <c r="F204" i="1"/>
  <c r="A205" i="1"/>
  <c r="F205" i="1"/>
  <c r="A206" i="1"/>
  <c r="F206" i="1"/>
  <c r="A207" i="1"/>
  <c r="F207" i="1"/>
  <c r="A208" i="1"/>
  <c r="F208" i="1"/>
  <c r="A209" i="1"/>
  <c r="F209" i="1"/>
  <c r="A210" i="1"/>
  <c r="F210" i="1"/>
  <c r="A211" i="1"/>
  <c r="F211" i="1"/>
  <c r="A212" i="1"/>
  <c r="F212" i="1"/>
  <c r="A213" i="1"/>
  <c r="F213" i="1"/>
  <c r="A214" i="1"/>
  <c r="F214" i="1"/>
  <c r="A215" i="1"/>
  <c r="F215" i="1"/>
  <c r="A216" i="1"/>
  <c r="F216" i="1"/>
  <c r="A217" i="1"/>
  <c r="F217" i="1"/>
  <c r="A218" i="1"/>
  <c r="F218" i="1"/>
  <c r="A219" i="1"/>
  <c r="F219" i="1"/>
  <c r="A220" i="1"/>
  <c r="F220" i="1"/>
  <c r="A221" i="1"/>
  <c r="F221" i="1"/>
  <c r="A222" i="1"/>
  <c r="F222" i="1"/>
  <c r="A223" i="1"/>
  <c r="F223" i="1"/>
  <c r="A224" i="1"/>
  <c r="F224" i="1"/>
  <c r="A225" i="1"/>
  <c r="F225" i="1"/>
  <c r="A226" i="1"/>
  <c r="F226" i="1"/>
  <c r="A227" i="1"/>
  <c r="F227" i="1"/>
  <c r="A228" i="1"/>
  <c r="F228" i="1"/>
  <c r="A229" i="1"/>
  <c r="F229" i="1"/>
  <c r="A230" i="1"/>
  <c r="F230" i="1"/>
  <c r="A231" i="1"/>
  <c r="F231" i="1"/>
  <c r="A232" i="1"/>
  <c r="F232" i="1"/>
  <c r="A233" i="1"/>
  <c r="F233" i="1"/>
  <c r="A234" i="1"/>
  <c r="F234" i="1"/>
  <c r="A235" i="1"/>
  <c r="F235" i="1"/>
  <c r="A236" i="1"/>
  <c r="F236" i="1"/>
  <c r="A237" i="1"/>
  <c r="F237" i="1"/>
  <c r="A238" i="1"/>
  <c r="F238" i="1"/>
  <c r="A239" i="1"/>
  <c r="F239" i="1"/>
  <c r="A240" i="1"/>
  <c r="F240" i="1"/>
  <c r="A241" i="1"/>
  <c r="F241" i="1"/>
  <c r="A242" i="1"/>
  <c r="F242" i="1"/>
  <c r="A243" i="1"/>
  <c r="F243" i="1"/>
  <c r="A244" i="1"/>
  <c r="F244" i="1"/>
  <c r="A245" i="1"/>
  <c r="F245" i="1"/>
  <c r="A246" i="1"/>
  <c r="F246" i="1"/>
  <c r="A247" i="1"/>
  <c r="F247" i="1"/>
  <c r="A248" i="1"/>
  <c r="F248" i="1"/>
  <c r="A249" i="1"/>
  <c r="F249" i="1"/>
  <c r="A250" i="1"/>
  <c r="F250" i="1"/>
  <c r="A251" i="1"/>
  <c r="F251" i="1"/>
  <c r="A252" i="1"/>
  <c r="F252" i="1"/>
  <c r="A253" i="1"/>
  <c r="F25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CM253" i="1"/>
  <c r="CK253" i="1"/>
  <c r="CJ253" i="1"/>
  <c r="CH253" i="1"/>
  <c r="CC253" i="1"/>
  <c r="BM253" i="1"/>
  <c r="BL253" i="1"/>
  <c r="BK253" i="1"/>
  <c r="CN253" i="1" s="1"/>
  <c r="AU253" i="1"/>
  <c r="CL253" i="1" s="1"/>
  <c r="AK253" i="1"/>
  <c r="R253" i="1"/>
  <c r="Q253" i="1"/>
  <c r="CM252" i="1"/>
  <c r="CK252" i="1"/>
  <c r="CJ252" i="1"/>
  <c r="CH252" i="1"/>
  <c r="CC252" i="1"/>
  <c r="BM252" i="1"/>
  <c r="BL252" i="1"/>
  <c r="BK252" i="1"/>
  <c r="CN252" i="1" s="1"/>
  <c r="AU252" i="1"/>
  <c r="CL252" i="1" s="1"/>
  <c r="AK252" i="1"/>
  <c r="R252" i="1"/>
  <c r="Q252" i="1"/>
  <c r="CM251" i="1"/>
  <c r="CK251" i="1"/>
  <c r="CJ251" i="1"/>
  <c r="CH251" i="1"/>
  <c r="CC251" i="1"/>
  <c r="BM251" i="1"/>
  <c r="BL251" i="1"/>
  <c r="BK251" i="1"/>
  <c r="CN251" i="1" s="1"/>
  <c r="AU251" i="1"/>
  <c r="CL251" i="1" s="1"/>
  <c r="AK251" i="1"/>
  <c r="R251" i="1"/>
  <c r="Q251" i="1"/>
  <c r="CM250" i="1"/>
  <c r="CK250" i="1"/>
  <c r="CJ250" i="1"/>
  <c r="CH250" i="1"/>
  <c r="CC250" i="1"/>
  <c r="BM250" i="1"/>
  <c r="BL250" i="1"/>
  <c r="BK250" i="1"/>
  <c r="CN250" i="1" s="1"/>
  <c r="AU250" i="1"/>
  <c r="CL250" i="1" s="1"/>
  <c r="AK250" i="1"/>
  <c r="R250" i="1"/>
  <c r="Q250" i="1"/>
  <c r="CM249" i="1"/>
  <c r="CK249" i="1"/>
  <c r="CJ249" i="1"/>
  <c r="CH249" i="1"/>
  <c r="CC249" i="1"/>
  <c r="BM249" i="1"/>
  <c r="BL249" i="1"/>
  <c r="BK249" i="1"/>
  <c r="CN249" i="1" s="1"/>
  <c r="AU249" i="1"/>
  <c r="CL249" i="1" s="1"/>
  <c r="AK249" i="1"/>
  <c r="R249" i="1"/>
  <c r="Q249" i="1"/>
  <c r="CM248" i="1"/>
  <c r="CK248" i="1"/>
  <c r="CJ248" i="1"/>
  <c r="CH248" i="1"/>
  <c r="CC248" i="1"/>
  <c r="BM248" i="1"/>
  <c r="BL248" i="1"/>
  <c r="BK248" i="1"/>
  <c r="CN248" i="1" s="1"/>
  <c r="AU248" i="1"/>
  <c r="CL248" i="1" s="1"/>
  <c r="AK248" i="1"/>
  <c r="R248" i="1"/>
  <c r="Q248" i="1"/>
  <c r="CM247" i="1"/>
  <c r="CK247" i="1"/>
  <c r="CJ247" i="1"/>
  <c r="CH247" i="1"/>
  <c r="CC247" i="1"/>
  <c r="BM247" i="1"/>
  <c r="BL247" i="1"/>
  <c r="BK247" i="1"/>
  <c r="CN247" i="1" s="1"/>
  <c r="AW247" i="1"/>
  <c r="AV247" i="1"/>
  <c r="AU247" i="1"/>
  <c r="CL247" i="1" s="1"/>
  <c r="AM247" i="1"/>
  <c r="AL247" i="1"/>
  <c r="AK247" i="1"/>
  <c r="R247" i="1"/>
  <c r="Q247" i="1"/>
  <c r="CM246" i="1"/>
  <c r="CK246" i="1"/>
  <c r="CJ246" i="1"/>
  <c r="CH246" i="1"/>
  <c r="CC246" i="1"/>
  <c r="BM246" i="1"/>
  <c r="BL246" i="1"/>
  <c r="BK246" i="1"/>
  <c r="CN246" i="1" s="1"/>
  <c r="AU246" i="1"/>
  <c r="CL246" i="1" s="1"/>
  <c r="AK246" i="1"/>
  <c r="R246" i="1"/>
  <c r="Q246" i="1"/>
  <c r="CM245" i="1"/>
  <c r="CK245" i="1"/>
  <c r="CJ245" i="1"/>
  <c r="CH245" i="1"/>
  <c r="CC245" i="1"/>
  <c r="BM245" i="1"/>
  <c r="BL245" i="1"/>
  <c r="BK245" i="1"/>
  <c r="CN245" i="1" s="1"/>
  <c r="AU245" i="1"/>
  <c r="CL245" i="1" s="1"/>
  <c r="AK245" i="1"/>
  <c r="R245" i="1"/>
  <c r="Q245" i="1"/>
  <c r="CM244" i="1"/>
  <c r="CK244" i="1"/>
  <c r="CJ244" i="1"/>
  <c r="CH244" i="1"/>
  <c r="CC244" i="1"/>
  <c r="BM244" i="1"/>
  <c r="BL244" i="1"/>
  <c r="BK244" i="1"/>
  <c r="CN244" i="1" s="1"/>
  <c r="AU244" i="1"/>
  <c r="CL244" i="1" s="1"/>
  <c r="AK244" i="1"/>
  <c r="R244" i="1"/>
  <c r="Q244" i="1"/>
  <c r="CM243" i="1"/>
  <c r="CK243" i="1"/>
  <c r="CJ243" i="1"/>
  <c r="CH243" i="1"/>
  <c r="CC243" i="1"/>
  <c r="BM243" i="1"/>
  <c r="BL243" i="1"/>
  <c r="BK243" i="1"/>
  <c r="CN243" i="1" s="1"/>
  <c r="AU243" i="1"/>
  <c r="CL243" i="1" s="1"/>
  <c r="AK243" i="1"/>
  <c r="R243" i="1"/>
  <c r="Q243" i="1"/>
  <c r="CM242" i="1"/>
  <c r="CK242" i="1"/>
  <c r="CJ242" i="1"/>
  <c r="CH242" i="1"/>
  <c r="CC242" i="1"/>
  <c r="BM242" i="1"/>
  <c r="BL242" i="1"/>
  <c r="BK242" i="1"/>
  <c r="CN242" i="1" s="1"/>
  <c r="AU242" i="1"/>
  <c r="CL242" i="1" s="1"/>
  <c r="AK242" i="1"/>
  <c r="R242" i="1"/>
  <c r="Q242" i="1"/>
  <c r="CM241" i="1"/>
  <c r="CK241" i="1"/>
  <c r="CJ241" i="1"/>
  <c r="CH241" i="1"/>
  <c r="CC241" i="1"/>
  <c r="BM241" i="1"/>
  <c r="BL241" i="1"/>
  <c r="BK241" i="1"/>
  <c r="CN241" i="1" s="1"/>
  <c r="AU241" i="1"/>
  <c r="CL241" i="1" s="1"/>
  <c r="AK241" i="1"/>
  <c r="R241" i="1"/>
  <c r="Q241" i="1"/>
  <c r="CM240" i="1"/>
  <c r="CK240" i="1"/>
  <c r="CJ240" i="1"/>
  <c r="CH240" i="1"/>
  <c r="CC240" i="1"/>
  <c r="BM240" i="1"/>
  <c r="BL240" i="1"/>
  <c r="BK240" i="1"/>
  <c r="CN240" i="1" s="1"/>
  <c r="AW240" i="1"/>
  <c r="AV240" i="1"/>
  <c r="AU240" i="1"/>
  <c r="CL240" i="1" s="1"/>
  <c r="AM240" i="1"/>
  <c r="AL240" i="1"/>
  <c r="AK240" i="1"/>
  <c r="R240" i="1"/>
  <c r="Q240" i="1"/>
  <c r="CM239" i="1"/>
  <c r="CK239" i="1"/>
  <c r="CJ239" i="1"/>
  <c r="CH239" i="1"/>
  <c r="CC239" i="1"/>
  <c r="BM239" i="1"/>
  <c r="BL239" i="1"/>
  <c r="BK239" i="1"/>
  <c r="CN239" i="1" s="1"/>
  <c r="AU239" i="1"/>
  <c r="CL239" i="1" s="1"/>
  <c r="AK239" i="1"/>
  <c r="R239" i="1"/>
  <c r="Q239" i="1"/>
  <c r="CM238" i="1"/>
  <c r="CK238" i="1"/>
  <c r="CJ238" i="1"/>
  <c r="CH238" i="1"/>
  <c r="CC238" i="1"/>
  <c r="BM238" i="1"/>
  <c r="BL238" i="1"/>
  <c r="BK238" i="1"/>
  <c r="CN238" i="1" s="1"/>
  <c r="AU238" i="1"/>
  <c r="CL238" i="1" s="1"/>
  <c r="AK238" i="1"/>
  <c r="R238" i="1"/>
  <c r="Q238" i="1"/>
  <c r="CM237" i="1"/>
  <c r="CK237" i="1"/>
  <c r="CJ237" i="1"/>
  <c r="CH237" i="1"/>
  <c r="CC237" i="1"/>
  <c r="BM237" i="1"/>
  <c r="BL237" i="1"/>
  <c r="BK237" i="1"/>
  <c r="CN237" i="1" s="1"/>
  <c r="AU237" i="1"/>
  <c r="CL237" i="1" s="1"/>
  <c r="AK237" i="1"/>
  <c r="R237" i="1"/>
  <c r="Q237" i="1"/>
  <c r="CM236" i="1"/>
  <c r="CK236" i="1"/>
  <c r="CJ236" i="1"/>
  <c r="CH236" i="1"/>
  <c r="CC236" i="1"/>
  <c r="BM236" i="1"/>
  <c r="BL236" i="1"/>
  <c r="BK236" i="1"/>
  <c r="CN236" i="1" s="1"/>
  <c r="AU236" i="1"/>
  <c r="CL236" i="1" s="1"/>
  <c r="AK236" i="1"/>
  <c r="R236" i="1"/>
  <c r="Q236" i="1"/>
  <c r="CM235" i="1"/>
  <c r="CK235" i="1"/>
  <c r="CJ235" i="1"/>
  <c r="CH235" i="1"/>
  <c r="CC235" i="1"/>
  <c r="BM235" i="1"/>
  <c r="BL235" i="1"/>
  <c r="BK235" i="1"/>
  <c r="CN235" i="1" s="1"/>
  <c r="AU235" i="1"/>
  <c r="CL235" i="1" s="1"/>
  <c r="AK235" i="1"/>
  <c r="R235" i="1"/>
  <c r="Q235" i="1"/>
  <c r="CM234" i="1"/>
  <c r="CK234" i="1"/>
  <c r="CJ234" i="1"/>
  <c r="CH234" i="1"/>
  <c r="CC234" i="1"/>
  <c r="BM234" i="1"/>
  <c r="BL234" i="1"/>
  <c r="BK234" i="1"/>
  <c r="CN234" i="1" s="1"/>
  <c r="AU234" i="1"/>
  <c r="CL234" i="1" s="1"/>
  <c r="AK234" i="1"/>
  <c r="R234" i="1"/>
  <c r="Q234" i="1"/>
  <c r="CM233" i="1"/>
  <c r="CK233" i="1"/>
  <c r="CJ233" i="1"/>
  <c r="CI233" i="1"/>
  <c r="CC233" i="1"/>
  <c r="BM233" i="1"/>
  <c r="BL233" i="1"/>
  <c r="BK233" i="1"/>
  <c r="CN233" i="1" s="1"/>
  <c r="AW233" i="1"/>
  <c r="AV233" i="1"/>
  <c r="AU233" i="1"/>
  <c r="CL233" i="1" s="1"/>
  <c r="AM233" i="1"/>
  <c r="AL233" i="1"/>
  <c r="AK233" i="1"/>
  <c r="R233" i="1"/>
  <c r="Q233" i="1"/>
  <c r="CM232" i="1"/>
  <c r="CK232" i="1"/>
  <c r="CJ232" i="1"/>
  <c r="CI232" i="1"/>
  <c r="CH232" i="1"/>
  <c r="CC232" i="1"/>
  <c r="BM232" i="1"/>
  <c r="BL232" i="1"/>
  <c r="BK232" i="1"/>
  <c r="CN232" i="1" s="1"/>
  <c r="BA232" i="1"/>
  <c r="BD232" i="1" s="1"/>
  <c r="AR232" i="1"/>
  <c r="AU232" i="1" s="1"/>
  <c r="CL232" i="1" s="1"/>
  <c r="AK232" i="1"/>
  <c r="R232" i="1"/>
  <c r="Q232" i="1"/>
  <c r="CM231" i="1"/>
  <c r="CK231" i="1"/>
  <c r="CJ231" i="1"/>
  <c r="CI231" i="1"/>
  <c r="CH231" i="1"/>
  <c r="CC231" i="1"/>
  <c r="BM231" i="1"/>
  <c r="BL231" i="1"/>
  <c r="BK231" i="1"/>
  <c r="CN231" i="1" s="1"/>
  <c r="BA231" i="1"/>
  <c r="BD231" i="1" s="1"/>
  <c r="AR231" i="1"/>
  <c r="AU231" i="1" s="1"/>
  <c r="CL231" i="1" s="1"/>
  <c r="AK231" i="1"/>
  <c r="R231" i="1"/>
  <c r="Q231" i="1"/>
  <c r="CM230" i="1"/>
  <c r="CK230" i="1"/>
  <c r="CJ230" i="1"/>
  <c r="CI230" i="1"/>
  <c r="CH230" i="1"/>
  <c r="CC230" i="1"/>
  <c r="BM230" i="1"/>
  <c r="BL230" i="1"/>
  <c r="BK230" i="1"/>
  <c r="CN230" i="1" s="1"/>
  <c r="BA230" i="1"/>
  <c r="BD230" i="1" s="1"/>
  <c r="AR230" i="1"/>
  <c r="AU230" i="1" s="1"/>
  <c r="CL230" i="1" s="1"/>
  <c r="AK230" i="1"/>
  <c r="R230" i="1"/>
  <c r="Q230" i="1"/>
  <c r="CM229" i="1"/>
  <c r="CK229" i="1"/>
  <c r="CJ229" i="1"/>
  <c r="CI229" i="1"/>
  <c r="CH229" i="1"/>
  <c r="CC229" i="1"/>
  <c r="BM229" i="1"/>
  <c r="BL229" i="1"/>
  <c r="BK229" i="1"/>
  <c r="CN229" i="1" s="1"/>
  <c r="BA229" i="1"/>
  <c r="BD229" i="1" s="1"/>
  <c r="AR229" i="1"/>
  <c r="AU229" i="1" s="1"/>
  <c r="CL229" i="1" s="1"/>
  <c r="AK229" i="1"/>
  <c r="R229" i="1"/>
  <c r="Q229" i="1"/>
  <c r="CM228" i="1"/>
  <c r="CK228" i="1"/>
  <c r="CJ228" i="1"/>
  <c r="CI228" i="1"/>
  <c r="CH228" i="1"/>
  <c r="CC228" i="1"/>
  <c r="BM228" i="1"/>
  <c r="BL228" i="1"/>
  <c r="BK228" i="1"/>
  <c r="CN228" i="1" s="1"/>
  <c r="BA228" i="1"/>
  <c r="BD228" i="1" s="1"/>
  <c r="AR228" i="1"/>
  <c r="AU228" i="1" s="1"/>
  <c r="CL228" i="1" s="1"/>
  <c r="AK228" i="1"/>
  <c r="R228" i="1"/>
  <c r="Q228" i="1"/>
  <c r="CM227" i="1"/>
  <c r="CK227" i="1"/>
  <c r="CJ227" i="1"/>
  <c r="CI227" i="1"/>
  <c r="CH227" i="1"/>
  <c r="CC227" i="1"/>
  <c r="BM227" i="1"/>
  <c r="BL227" i="1"/>
  <c r="BK227" i="1"/>
  <c r="CN227" i="1" s="1"/>
  <c r="BA227" i="1"/>
  <c r="BD227" i="1" s="1"/>
  <c r="AR227" i="1"/>
  <c r="AU227" i="1" s="1"/>
  <c r="CL227" i="1" s="1"/>
  <c r="AK227" i="1"/>
  <c r="R227" i="1"/>
  <c r="Q227" i="1"/>
  <c r="CM226" i="1"/>
  <c r="CK226" i="1"/>
  <c r="CJ226" i="1"/>
  <c r="CI226" i="1"/>
  <c r="CH226" i="1"/>
  <c r="CC226" i="1"/>
  <c r="BM226" i="1"/>
  <c r="BL226" i="1"/>
  <c r="BK226" i="1"/>
  <c r="CN226" i="1" s="1"/>
  <c r="BA226" i="1"/>
  <c r="BD226" i="1" s="1"/>
  <c r="AR226" i="1"/>
  <c r="AU226" i="1" s="1"/>
  <c r="CL226" i="1" s="1"/>
  <c r="AK226" i="1"/>
  <c r="R226" i="1"/>
  <c r="Q226" i="1"/>
  <c r="CM225" i="1"/>
  <c r="CK225" i="1"/>
  <c r="CJ225" i="1"/>
  <c r="CI225" i="1"/>
  <c r="CH225" i="1"/>
  <c r="CC225" i="1"/>
  <c r="BM225" i="1"/>
  <c r="BL225" i="1"/>
  <c r="BK225" i="1"/>
  <c r="CN225" i="1" s="1"/>
  <c r="BA225" i="1"/>
  <c r="BD225" i="1" s="1"/>
  <c r="AR225" i="1"/>
  <c r="AU225" i="1" s="1"/>
  <c r="CL225" i="1" s="1"/>
  <c r="AK225" i="1"/>
  <c r="R225" i="1"/>
  <c r="Q225" i="1"/>
  <c r="CM224" i="1"/>
  <c r="CK224" i="1"/>
  <c r="CJ224" i="1"/>
  <c r="CI224" i="1"/>
  <c r="CH224" i="1"/>
  <c r="CC224" i="1"/>
  <c r="BM224" i="1"/>
  <c r="BL224" i="1"/>
  <c r="BK224" i="1"/>
  <c r="CN224" i="1" s="1"/>
  <c r="BA224" i="1"/>
  <c r="BD224" i="1" s="1"/>
  <c r="AR224" i="1"/>
  <c r="AU224" i="1" s="1"/>
  <c r="CL224" i="1" s="1"/>
  <c r="AK224" i="1"/>
  <c r="R224" i="1"/>
  <c r="Q224" i="1"/>
  <c r="CM223" i="1"/>
  <c r="CK223" i="1"/>
  <c r="CJ223" i="1"/>
  <c r="CI223" i="1"/>
  <c r="CH223" i="1"/>
  <c r="CC223" i="1"/>
  <c r="BM223" i="1"/>
  <c r="BL223" i="1"/>
  <c r="BK223" i="1"/>
  <c r="CN223" i="1" s="1"/>
  <c r="BA223" i="1"/>
  <c r="BD223" i="1" s="1"/>
  <c r="AR223" i="1"/>
  <c r="AU223" i="1" s="1"/>
  <c r="CL223" i="1" s="1"/>
  <c r="AK223" i="1"/>
  <c r="R223" i="1"/>
  <c r="Q223" i="1"/>
  <c r="CM222" i="1"/>
  <c r="CK222" i="1"/>
  <c r="CJ222" i="1"/>
  <c r="CH222" i="1"/>
  <c r="CC222" i="1"/>
  <c r="BM222" i="1"/>
  <c r="BL222" i="1"/>
  <c r="BK222" i="1"/>
  <c r="CN222" i="1" s="1"/>
  <c r="AU222" i="1"/>
  <c r="CL222" i="1" s="1"/>
  <c r="AK222" i="1"/>
  <c r="CM221" i="1"/>
  <c r="CK221" i="1"/>
  <c r="CJ221" i="1"/>
  <c r="CH221" i="1"/>
  <c r="CC221" i="1"/>
  <c r="BM221" i="1"/>
  <c r="BL221" i="1"/>
  <c r="BK221" i="1"/>
  <c r="CN221" i="1" s="1"/>
  <c r="AU221" i="1"/>
  <c r="CL221" i="1" s="1"/>
  <c r="AK221" i="1"/>
  <c r="CM220" i="1"/>
  <c r="CK220" i="1"/>
  <c r="CJ220" i="1"/>
  <c r="CH220" i="1"/>
  <c r="CC220" i="1"/>
  <c r="BM220" i="1"/>
  <c r="BL220" i="1"/>
  <c r="BK220" i="1"/>
  <c r="CN220" i="1" s="1"/>
  <c r="AU220" i="1"/>
  <c r="CL220" i="1" s="1"/>
  <c r="AK220" i="1"/>
  <c r="CM219" i="1"/>
  <c r="CK219" i="1"/>
  <c r="CJ219" i="1"/>
  <c r="CH219" i="1"/>
  <c r="CC219" i="1"/>
  <c r="BM219" i="1"/>
  <c r="BL219" i="1"/>
  <c r="BK219" i="1"/>
  <c r="CN219" i="1" s="1"/>
  <c r="AU219" i="1"/>
  <c r="CL219" i="1" s="1"/>
  <c r="AK219" i="1"/>
  <c r="CM218" i="1"/>
  <c r="CK218" i="1"/>
  <c r="CJ218" i="1"/>
  <c r="CH218" i="1"/>
  <c r="CC218" i="1"/>
  <c r="BM218" i="1"/>
  <c r="BL218" i="1"/>
  <c r="BK218" i="1"/>
  <c r="CN218" i="1" s="1"/>
  <c r="AU218" i="1"/>
  <c r="CL218" i="1" s="1"/>
  <c r="AK218" i="1"/>
  <c r="CM217" i="1"/>
  <c r="CK217" i="1"/>
  <c r="CJ217" i="1"/>
  <c r="CH217" i="1"/>
  <c r="CC217" i="1"/>
  <c r="BM217" i="1"/>
  <c r="BL217" i="1"/>
  <c r="BK217" i="1"/>
  <c r="CN217" i="1" s="1"/>
  <c r="AU217" i="1"/>
  <c r="CL217" i="1" s="1"/>
  <c r="AK217" i="1"/>
  <c r="CM216" i="1"/>
  <c r="CK216" i="1"/>
  <c r="CJ216" i="1"/>
  <c r="CH216" i="1"/>
  <c r="CC216" i="1"/>
  <c r="BM216" i="1"/>
  <c r="BL216" i="1"/>
  <c r="BK216" i="1"/>
  <c r="CN216" i="1" s="1"/>
  <c r="AU216" i="1"/>
  <c r="CL216" i="1" s="1"/>
  <c r="AK216" i="1"/>
  <c r="CM215" i="1"/>
  <c r="CK215" i="1"/>
  <c r="CJ215" i="1"/>
  <c r="CH215" i="1"/>
  <c r="CC215" i="1"/>
  <c r="BM215" i="1"/>
  <c r="BL215" i="1"/>
  <c r="BK215" i="1"/>
  <c r="CN215" i="1" s="1"/>
  <c r="AU215" i="1"/>
  <c r="CL215" i="1" s="1"/>
  <c r="AK215" i="1"/>
  <c r="CM214" i="1"/>
  <c r="CK214" i="1"/>
  <c r="CJ214" i="1"/>
  <c r="CH214" i="1"/>
  <c r="CC214" i="1"/>
  <c r="BM214" i="1"/>
  <c r="BL214" i="1"/>
  <c r="BK214" i="1"/>
  <c r="CN214" i="1" s="1"/>
  <c r="AU214" i="1"/>
  <c r="CL214" i="1" s="1"/>
  <c r="AK214" i="1"/>
  <c r="CM213" i="1"/>
  <c r="CK213" i="1"/>
  <c r="CJ213" i="1"/>
  <c r="CH213" i="1"/>
  <c r="CC213" i="1"/>
  <c r="BM213" i="1"/>
  <c r="BL213" i="1"/>
  <c r="BK213" i="1"/>
  <c r="CN213" i="1" s="1"/>
  <c r="AU213" i="1"/>
  <c r="CL213" i="1" s="1"/>
  <c r="AK213" i="1"/>
  <c r="CM212" i="1"/>
  <c r="CK212" i="1"/>
  <c r="CJ212" i="1"/>
  <c r="CH212" i="1"/>
  <c r="CC212" i="1"/>
  <c r="BM212" i="1"/>
  <c r="BL212" i="1"/>
  <c r="BK212" i="1"/>
  <c r="CN212" i="1" s="1"/>
  <c r="AU212" i="1"/>
  <c r="CL212" i="1" s="1"/>
  <c r="AK212" i="1"/>
  <c r="CM211" i="1"/>
  <c r="CK211" i="1"/>
  <c r="CJ211" i="1"/>
  <c r="CH211" i="1"/>
  <c r="CC211" i="1"/>
  <c r="BM211" i="1"/>
  <c r="BL211" i="1"/>
  <c r="BK211" i="1"/>
  <c r="CN211" i="1" s="1"/>
  <c r="AU211" i="1"/>
  <c r="CL211" i="1" s="1"/>
  <c r="AK211" i="1"/>
  <c r="CM210" i="1"/>
  <c r="CK210" i="1"/>
  <c r="CJ210" i="1"/>
  <c r="CH210" i="1"/>
  <c r="CC210" i="1"/>
  <c r="BM210" i="1"/>
  <c r="BL210" i="1"/>
  <c r="BK210" i="1"/>
  <c r="CN210" i="1" s="1"/>
  <c r="AU210" i="1"/>
  <c r="CL210" i="1" s="1"/>
  <c r="AK210" i="1"/>
  <c r="CM209" i="1"/>
  <c r="CK209" i="1"/>
  <c r="CJ209" i="1"/>
  <c r="CH209" i="1"/>
  <c r="CC209" i="1"/>
  <c r="BM209" i="1"/>
  <c r="BL209" i="1"/>
  <c r="BK209" i="1"/>
  <c r="CN209" i="1" s="1"/>
  <c r="AU209" i="1"/>
  <c r="CL209" i="1" s="1"/>
  <c r="AK209" i="1"/>
  <c r="CM208" i="1"/>
  <c r="CK208" i="1"/>
  <c r="CJ208" i="1"/>
  <c r="CH208" i="1"/>
  <c r="CC208" i="1"/>
  <c r="BM208" i="1"/>
  <c r="BL208" i="1"/>
  <c r="BK208" i="1"/>
  <c r="CN208" i="1" s="1"/>
  <c r="AU208" i="1"/>
  <c r="CL208" i="1" s="1"/>
  <c r="AK208" i="1"/>
  <c r="CM207" i="1"/>
  <c r="CK207" i="1"/>
  <c r="CJ207" i="1"/>
  <c r="CH207" i="1"/>
  <c r="CC207" i="1"/>
  <c r="BM207" i="1"/>
  <c r="BL207" i="1"/>
  <c r="BK207" i="1"/>
  <c r="CN207" i="1" s="1"/>
  <c r="AU207" i="1"/>
  <c r="CL207" i="1" s="1"/>
  <c r="AK207" i="1"/>
  <c r="CM206" i="1"/>
  <c r="CK206" i="1"/>
  <c r="CJ206" i="1"/>
  <c r="CH206" i="1"/>
  <c r="CC206" i="1"/>
  <c r="BM206" i="1"/>
  <c r="BL206" i="1"/>
  <c r="BK206" i="1"/>
  <c r="CN206" i="1" s="1"/>
  <c r="AU206" i="1"/>
  <c r="CL206" i="1" s="1"/>
  <c r="AK206" i="1"/>
  <c r="CM205" i="1"/>
  <c r="CK205" i="1"/>
  <c r="CJ205" i="1"/>
  <c r="CH205" i="1"/>
  <c r="CC205" i="1"/>
  <c r="BM205" i="1"/>
  <c r="BL205" i="1"/>
  <c r="BK205" i="1"/>
  <c r="CN205" i="1" s="1"/>
  <c r="AU205" i="1"/>
  <c r="CL205" i="1" s="1"/>
  <c r="AK205" i="1"/>
  <c r="CM204" i="1"/>
  <c r="CK204" i="1"/>
  <c r="CJ204" i="1"/>
  <c r="CH204" i="1"/>
  <c r="CC204" i="1"/>
  <c r="BM204" i="1"/>
  <c r="BL204" i="1"/>
  <c r="BK204" i="1"/>
  <c r="CN204" i="1" s="1"/>
  <c r="AU204" i="1"/>
  <c r="CL204" i="1" s="1"/>
  <c r="AK204" i="1"/>
  <c r="CM203" i="1"/>
  <c r="CK203" i="1"/>
  <c r="CJ203" i="1"/>
  <c r="CH203" i="1"/>
  <c r="CC203" i="1"/>
  <c r="BM203" i="1"/>
  <c r="BL203" i="1"/>
  <c r="BK203" i="1"/>
  <c r="CN203" i="1" s="1"/>
  <c r="AU203" i="1"/>
  <c r="CL203" i="1" s="1"/>
  <c r="AK203" i="1"/>
  <c r="CM202" i="1"/>
  <c r="CK202" i="1"/>
  <c r="CJ202" i="1"/>
  <c r="CH202" i="1"/>
  <c r="CC202" i="1"/>
  <c r="BM202" i="1"/>
  <c r="BL202" i="1"/>
  <c r="BK202" i="1"/>
  <c r="CN202" i="1" s="1"/>
  <c r="AU202" i="1"/>
  <c r="CL202" i="1" s="1"/>
  <c r="AK202" i="1"/>
  <c r="CM201" i="1"/>
  <c r="CK201" i="1"/>
  <c r="CJ201" i="1"/>
  <c r="CH201" i="1"/>
  <c r="CC201" i="1"/>
  <c r="BM201" i="1"/>
  <c r="BL201" i="1"/>
  <c r="BK201" i="1"/>
  <c r="CN201" i="1" s="1"/>
  <c r="AU201" i="1"/>
  <c r="CL201" i="1" s="1"/>
  <c r="AK201" i="1"/>
  <c r="CM200" i="1"/>
  <c r="CK200" i="1"/>
  <c r="CJ200" i="1"/>
  <c r="CH200" i="1"/>
  <c r="CC200" i="1"/>
  <c r="BM200" i="1"/>
  <c r="BL200" i="1"/>
  <c r="BK200" i="1"/>
  <c r="CN200" i="1" s="1"/>
  <c r="AU200" i="1"/>
  <c r="CL200" i="1" s="1"/>
  <c r="AK200" i="1"/>
  <c r="CM199" i="1"/>
  <c r="CK199" i="1"/>
  <c r="CJ199" i="1"/>
  <c r="CH199" i="1"/>
  <c r="CC199" i="1"/>
  <c r="BM199" i="1"/>
  <c r="BL199" i="1"/>
  <c r="BK199" i="1"/>
  <c r="CN199" i="1" s="1"/>
  <c r="AU199" i="1"/>
  <c r="CL199" i="1" s="1"/>
  <c r="AK199" i="1"/>
  <c r="CM198" i="1"/>
  <c r="CK198" i="1"/>
  <c r="CJ198" i="1"/>
  <c r="CH198" i="1"/>
  <c r="CC198" i="1"/>
  <c r="BM198" i="1"/>
  <c r="BL198" i="1"/>
  <c r="BK198" i="1"/>
  <c r="CN198" i="1" s="1"/>
  <c r="AW198" i="1"/>
  <c r="AV198" i="1"/>
  <c r="AU198" i="1"/>
  <c r="CL198" i="1" s="1"/>
  <c r="AM198" i="1"/>
  <c r="AL198" i="1"/>
  <c r="AK198" i="1"/>
  <c r="CM197" i="1"/>
  <c r="CK197" i="1"/>
  <c r="CJ197" i="1"/>
  <c r="CH197" i="1"/>
  <c r="CC197" i="1"/>
  <c r="BM197" i="1"/>
  <c r="BL197" i="1"/>
  <c r="BK197" i="1"/>
  <c r="CN197" i="1" s="1"/>
  <c r="AW197" i="1"/>
  <c r="AV197" i="1"/>
  <c r="AU197" i="1"/>
  <c r="CL197" i="1" s="1"/>
  <c r="AM197" i="1"/>
  <c r="AL197" i="1"/>
  <c r="AK197" i="1"/>
  <c r="CM196" i="1"/>
  <c r="CK196" i="1"/>
  <c r="CJ196" i="1"/>
  <c r="CI196" i="1"/>
  <c r="CC196" i="1"/>
  <c r="BM196" i="1"/>
  <c r="BL196" i="1"/>
  <c r="BK196" i="1"/>
  <c r="CN196" i="1" s="1"/>
  <c r="AW196" i="1"/>
  <c r="AV196" i="1"/>
  <c r="AU196" i="1"/>
  <c r="CL196" i="1" s="1"/>
  <c r="AM196" i="1"/>
  <c r="AL196" i="1"/>
  <c r="AK196" i="1"/>
  <c r="R196" i="1"/>
  <c r="Q196" i="1"/>
  <c r="CM195" i="1"/>
  <c r="CK195" i="1"/>
  <c r="CJ195" i="1"/>
  <c r="CH195" i="1"/>
  <c r="CC195" i="1"/>
  <c r="BM195" i="1"/>
  <c r="BL195" i="1"/>
  <c r="BK195" i="1"/>
  <c r="CN195" i="1" s="1"/>
  <c r="AU195" i="1"/>
  <c r="CL195" i="1" s="1"/>
  <c r="AK195" i="1"/>
  <c r="R195" i="1"/>
  <c r="Q195" i="1"/>
  <c r="CM194" i="1"/>
  <c r="CK194" i="1"/>
  <c r="CJ194" i="1"/>
  <c r="CH194" i="1"/>
  <c r="CC194" i="1"/>
  <c r="BM194" i="1"/>
  <c r="BL194" i="1"/>
  <c r="BK194" i="1"/>
  <c r="CN194" i="1" s="1"/>
  <c r="AU194" i="1"/>
  <c r="CL194" i="1" s="1"/>
  <c r="AK194" i="1"/>
  <c r="R194" i="1"/>
  <c r="Q194" i="1"/>
  <c r="CM193" i="1"/>
  <c r="CK193" i="1"/>
  <c r="CJ193" i="1"/>
  <c r="CH193" i="1"/>
  <c r="CC193" i="1"/>
  <c r="BM193" i="1"/>
  <c r="BL193" i="1"/>
  <c r="BK193" i="1"/>
  <c r="CN193" i="1" s="1"/>
  <c r="AU193" i="1"/>
  <c r="CL193" i="1" s="1"/>
  <c r="AK193" i="1"/>
  <c r="R193" i="1"/>
  <c r="Q193" i="1"/>
  <c r="CM192" i="1"/>
  <c r="CK192" i="1"/>
  <c r="CJ192" i="1"/>
  <c r="CH192" i="1"/>
  <c r="CC192" i="1"/>
  <c r="BM192" i="1"/>
  <c r="BL192" i="1"/>
  <c r="BK192" i="1"/>
  <c r="CN192" i="1" s="1"/>
  <c r="AU192" i="1"/>
  <c r="CL192" i="1" s="1"/>
  <c r="AK192" i="1"/>
  <c r="R192" i="1"/>
  <c r="Q192" i="1"/>
  <c r="CM191" i="1"/>
  <c r="CK191" i="1"/>
  <c r="CJ191" i="1"/>
  <c r="CH191" i="1"/>
  <c r="CC191" i="1"/>
  <c r="BM191" i="1"/>
  <c r="BL191" i="1"/>
  <c r="BK191" i="1"/>
  <c r="CN191" i="1" s="1"/>
  <c r="AU191" i="1"/>
  <c r="CL191" i="1" s="1"/>
  <c r="AK191" i="1"/>
  <c r="R191" i="1"/>
  <c r="Q191" i="1"/>
  <c r="CM190" i="1"/>
  <c r="CK190" i="1"/>
  <c r="CJ190" i="1"/>
  <c r="CH190" i="1"/>
  <c r="CC190" i="1"/>
  <c r="BM190" i="1"/>
  <c r="BL190" i="1"/>
  <c r="BK190" i="1"/>
  <c r="CN190" i="1" s="1"/>
  <c r="AW190" i="1"/>
  <c r="AV190" i="1"/>
  <c r="AU190" i="1"/>
  <c r="CL190" i="1" s="1"/>
  <c r="AM190" i="1"/>
  <c r="AL190" i="1"/>
  <c r="AK190" i="1"/>
  <c r="R190" i="1"/>
  <c r="Q190" i="1"/>
  <c r="CM189" i="1"/>
  <c r="CK189" i="1"/>
  <c r="CJ189" i="1"/>
  <c r="CH189" i="1"/>
  <c r="CC189" i="1"/>
  <c r="BM189" i="1"/>
  <c r="BL189" i="1"/>
  <c r="BK189" i="1"/>
  <c r="CN189" i="1" s="1"/>
  <c r="AU189" i="1"/>
  <c r="CL189" i="1" s="1"/>
  <c r="AK189" i="1"/>
  <c r="R189" i="1"/>
  <c r="Q189" i="1"/>
  <c r="CM188" i="1"/>
  <c r="CK188" i="1"/>
  <c r="CJ188" i="1"/>
  <c r="CH188" i="1"/>
  <c r="CC188" i="1"/>
  <c r="BM188" i="1"/>
  <c r="BL188" i="1"/>
  <c r="BK188" i="1"/>
  <c r="CN188" i="1" s="1"/>
  <c r="AU188" i="1"/>
  <c r="CL188" i="1" s="1"/>
  <c r="AK188" i="1"/>
  <c r="R188" i="1"/>
  <c r="Q188" i="1"/>
  <c r="CM187" i="1"/>
  <c r="CK187" i="1"/>
  <c r="CJ187" i="1"/>
  <c r="CH187" i="1"/>
  <c r="CC187" i="1"/>
  <c r="BM187" i="1"/>
  <c r="BL187" i="1"/>
  <c r="BK187" i="1"/>
  <c r="CN187" i="1" s="1"/>
  <c r="AU187" i="1"/>
  <c r="CL187" i="1" s="1"/>
  <c r="AK187" i="1"/>
  <c r="R187" i="1"/>
  <c r="Q187" i="1"/>
  <c r="CM186" i="1"/>
  <c r="CK186" i="1"/>
  <c r="CJ186" i="1"/>
  <c r="CH186" i="1"/>
  <c r="CC186" i="1"/>
  <c r="BM186" i="1"/>
  <c r="BL186" i="1"/>
  <c r="BK186" i="1"/>
  <c r="CN186" i="1" s="1"/>
  <c r="AU186" i="1"/>
  <c r="CL186" i="1" s="1"/>
  <c r="AK186" i="1"/>
  <c r="R186" i="1"/>
  <c r="Q186" i="1"/>
  <c r="CM185" i="1"/>
  <c r="CK185" i="1"/>
  <c r="CJ185" i="1"/>
  <c r="CH185" i="1"/>
  <c r="CC185" i="1"/>
  <c r="BM185" i="1"/>
  <c r="BL185" i="1"/>
  <c r="BK185" i="1"/>
  <c r="CN185" i="1" s="1"/>
  <c r="AU185" i="1"/>
  <c r="CL185" i="1" s="1"/>
  <c r="AK185" i="1"/>
  <c r="R185" i="1"/>
  <c r="Q185" i="1"/>
  <c r="CM184" i="1"/>
  <c r="CK184" i="1"/>
  <c r="CJ184" i="1"/>
  <c r="CH184" i="1"/>
  <c r="CC184" i="1"/>
  <c r="BM184" i="1"/>
  <c r="BL184" i="1"/>
  <c r="BK184" i="1"/>
  <c r="CN184" i="1" s="1"/>
  <c r="AU184" i="1"/>
  <c r="CL184" i="1" s="1"/>
  <c r="AK184" i="1"/>
  <c r="R184" i="1"/>
  <c r="Q184" i="1"/>
  <c r="CM183" i="1"/>
  <c r="CK183" i="1"/>
  <c r="CJ183" i="1"/>
  <c r="CH183" i="1"/>
  <c r="CC183" i="1"/>
  <c r="BM183" i="1"/>
  <c r="BL183" i="1"/>
  <c r="BK183" i="1"/>
  <c r="CN183" i="1" s="1"/>
  <c r="AU183" i="1"/>
  <c r="CL183" i="1" s="1"/>
  <c r="AK183" i="1"/>
  <c r="R183" i="1"/>
  <c r="Q183" i="1"/>
  <c r="CM182" i="1"/>
  <c r="CK182" i="1"/>
  <c r="CJ182" i="1"/>
  <c r="CH182" i="1"/>
  <c r="CC182" i="1"/>
  <c r="BM182" i="1"/>
  <c r="BL182" i="1"/>
  <c r="BK182" i="1"/>
  <c r="CN182" i="1" s="1"/>
  <c r="AU182" i="1"/>
  <c r="CL182" i="1" s="1"/>
  <c r="AK182" i="1"/>
  <c r="R182" i="1"/>
  <c r="Q182" i="1"/>
  <c r="CM181" i="1"/>
  <c r="CK181" i="1"/>
  <c r="CJ181" i="1"/>
  <c r="CH181" i="1"/>
  <c r="CC181" i="1"/>
  <c r="BM181" i="1"/>
  <c r="BL181" i="1"/>
  <c r="BK181" i="1"/>
  <c r="CN181" i="1" s="1"/>
  <c r="AU181" i="1"/>
  <c r="CL181" i="1" s="1"/>
  <c r="AK181" i="1"/>
  <c r="R181" i="1"/>
  <c r="Q181" i="1"/>
  <c r="CM180" i="1"/>
  <c r="CK180" i="1"/>
  <c r="CJ180" i="1"/>
  <c r="CH180" i="1"/>
  <c r="CC180" i="1"/>
  <c r="BM180" i="1"/>
  <c r="BL180" i="1"/>
  <c r="BK180" i="1"/>
  <c r="CN180" i="1" s="1"/>
  <c r="AU180" i="1"/>
  <c r="CL180" i="1" s="1"/>
  <c r="AK180" i="1"/>
  <c r="R180" i="1"/>
  <c r="Q180" i="1"/>
  <c r="CM179" i="1"/>
  <c r="CK179" i="1"/>
  <c r="CJ179" i="1"/>
  <c r="CH179" i="1"/>
  <c r="CC179" i="1"/>
  <c r="BM179" i="1"/>
  <c r="BL179" i="1"/>
  <c r="BK179" i="1"/>
  <c r="CN179" i="1" s="1"/>
  <c r="AU179" i="1"/>
  <c r="CL179" i="1" s="1"/>
  <c r="AK179" i="1"/>
  <c r="R179" i="1"/>
  <c r="Q179" i="1"/>
  <c r="CM178" i="1"/>
  <c r="CK178" i="1"/>
  <c r="CJ178" i="1"/>
  <c r="CH178" i="1"/>
  <c r="CC178" i="1"/>
  <c r="BM178" i="1"/>
  <c r="BL178" i="1"/>
  <c r="BK178" i="1"/>
  <c r="CN178" i="1" s="1"/>
  <c r="AU178" i="1"/>
  <c r="CL178" i="1" s="1"/>
  <c r="AK178" i="1"/>
  <c r="R178" i="1"/>
  <c r="Q178" i="1"/>
  <c r="CM177" i="1"/>
  <c r="CK177" i="1"/>
  <c r="CJ177" i="1"/>
  <c r="CH177" i="1"/>
  <c r="CC177" i="1"/>
  <c r="BM177" i="1"/>
  <c r="BL177" i="1"/>
  <c r="BK177" i="1"/>
  <c r="CN177" i="1" s="1"/>
  <c r="AW177" i="1"/>
  <c r="AV177" i="1"/>
  <c r="AU177" i="1"/>
  <c r="CL177" i="1" s="1"/>
  <c r="AM177" i="1"/>
  <c r="AL177" i="1"/>
  <c r="AK177" i="1"/>
  <c r="R177" i="1"/>
  <c r="Q177" i="1"/>
  <c r="CM176" i="1"/>
  <c r="CK176" i="1"/>
  <c r="CJ176" i="1"/>
  <c r="CH176" i="1"/>
  <c r="CC176" i="1"/>
  <c r="BM176" i="1"/>
  <c r="BL176" i="1"/>
  <c r="BK176" i="1"/>
  <c r="CN176" i="1" s="1"/>
  <c r="AU176" i="1"/>
  <c r="CL176" i="1" s="1"/>
  <c r="AK176" i="1"/>
  <c r="R176" i="1"/>
  <c r="Q176" i="1"/>
  <c r="CM175" i="1"/>
  <c r="CK175" i="1"/>
  <c r="CJ175" i="1"/>
  <c r="CH175" i="1"/>
  <c r="CC175" i="1"/>
  <c r="BM175" i="1"/>
  <c r="BL175" i="1"/>
  <c r="BK175" i="1"/>
  <c r="CN175" i="1" s="1"/>
  <c r="AU175" i="1"/>
  <c r="CL175" i="1" s="1"/>
  <c r="AK175" i="1"/>
  <c r="R175" i="1"/>
  <c r="Q175" i="1"/>
  <c r="CM174" i="1"/>
  <c r="CK174" i="1"/>
  <c r="CJ174" i="1"/>
  <c r="CH174" i="1"/>
  <c r="CC174" i="1"/>
  <c r="BM174" i="1"/>
  <c r="BL174" i="1"/>
  <c r="BK174" i="1"/>
  <c r="CN174" i="1" s="1"/>
  <c r="AU174" i="1"/>
  <c r="CL174" i="1" s="1"/>
  <c r="AK174" i="1"/>
  <c r="R174" i="1"/>
  <c r="Q174" i="1"/>
  <c r="CM173" i="1"/>
  <c r="CK173" i="1"/>
  <c r="CJ173" i="1"/>
  <c r="CH173" i="1"/>
  <c r="CC173" i="1"/>
  <c r="BM173" i="1"/>
  <c r="BL173" i="1"/>
  <c r="BK173" i="1"/>
  <c r="CN173" i="1" s="1"/>
  <c r="AU173" i="1"/>
  <c r="CL173" i="1" s="1"/>
  <c r="AK173" i="1"/>
  <c r="R173" i="1"/>
  <c r="Q173" i="1"/>
  <c r="CM172" i="1"/>
  <c r="CK172" i="1"/>
  <c r="CJ172" i="1"/>
  <c r="CH172" i="1"/>
  <c r="CC172" i="1"/>
  <c r="BM172" i="1"/>
  <c r="BL172" i="1"/>
  <c r="BK172" i="1"/>
  <c r="CN172" i="1" s="1"/>
  <c r="AU172" i="1"/>
  <c r="CL172" i="1" s="1"/>
  <c r="AK172" i="1"/>
  <c r="R172" i="1"/>
  <c r="Q172" i="1"/>
  <c r="CM171" i="1"/>
  <c r="CK171" i="1"/>
  <c r="CJ171" i="1"/>
  <c r="CH171" i="1"/>
  <c r="CC171" i="1"/>
  <c r="BM171" i="1"/>
  <c r="BL171" i="1"/>
  <c r="BK171" i="1"/>
  <c r="CN171" i="1" s="1"/>
  <c r="AU171" i="1"/>
  <c r="CL171" i="1" s="1"/>
  <c r="AK171" i="1"/>
  <c r="R171" i="1"/>
  <c r="Q171" i="1"/>
  <c r="CM170" i="1"/>
  <c r="CK170" i="1"/>
  <c r="CJ170" i="1"/>
  <c r="CH170" i="1"/>
  <c r="CC170" i="1"/>
  <c r="BM170" i="1"/>
  <c r="BL170" i="1"/>
  <c r="BK170" i="1"/>
  <c r="CN170" i="1" s="1"/>
  <c r="AU170" i="1"/>
  <c r="CL170" i="1" s="1"/>
  <c r="AK170" i="1"/>
  <c r="R170" i="1"/>
  <c r="Q170" i="1"/>
  <c r="CM169" i="1"/>
  <c r="CK169" i="1"/>
  <c r="CJ169" i="1"/>
  <c r="CH169" i="1"/>
  <c r="CC169" i="1"/>
  <c r="BM169" i="1"/>
  <c r="BL169" i="1"/>
  <c r="BK169" i="1"/>
  <c r="CN169" i="1" s="1"/>
  <c r="AU169" i="1"/>
  <c r="CL169" i="1" s="1"/>
  <c r="AK169" i="1"/>
  <c r="R169" i="1"/>
  <c r="Q169" i="1"/>
  <c r="CM168" i="1"/>
  <c r="CK168" i="1"/>
  <c r="CJ168" i="1"/>
  <c r="CH168" i="1"/>
  <c r="CC168" i="1"/>
  <c r="BM168" i="1"/>
  <c r="BL168" i="1"/>
  <c r="BK168" i="1"/>
  <c r="CN168" i="1" s="1"/>
  <c r="AU168" i="1"/>
  <c r="CL168" i="1" s="1"/>
  <c r="AK168" i="1"/>
  <c r="R168" i="1"/>
  <c r="Q168" i="1"/>
  <c r="CM167" i="1"/>
  <c r="CK167" i="1"/>
  <c r="CJ167" i="1"/>
  <c r="CH167" i="1"/>
  <c r="CC167" i="1"/>
  <c r="BM167" i="1"/>
  <c r="BL167" i="1"/>
  <c r="BK167" i="1"/>
  <c r="CN167" i="1" s="1"/>
  <c r="AU167" i="1"/>
  <c r="CL167" i="1" s="1"/>
  <c r="AK167" i="1"/>
  <c r="R167" i="1"/>
  <c r="Q167" i="1"/>
  <c r="CM166" i="1"/>
  <c r="CK166" i="1"/>
  <c r="CJ166" i="1"/>
  <c r="CH166" i="1"/>
  <c r="CC166" i="1"/>
  <c r="BM166" i="1"/>
  <c r="BL166" i="1"/>
  <c r="BK166" i="1"/>
  <c r="CN166" i="1" s="1"/>
  <c r="AU166" i="1"/>
  <c r="CL166" i="1" s="1"/>
  <c r="AK166" i="1"/>
  <c r="R166" i="1"/>
  <c r="Q166" i="1"/>
  <c r="CM165" i="1"/>
  <c r="CK165" i="1"/>
  <c r="CJ165" i="1"/>
  <c r="CH165" i="1"/>
  <c r="CC165" i="1"/>
  <c r="BM165" i="1"/>
  <c r="BL165" i="1"/>
  <c r="BK165" i="1"/>
  <c r="CN165" i="1" s="1"/>
  <c r="AU165" i="1"/>
  <c r="CL165" i="1" s="1"/>
  <c r="AK165" i="1"/>
  <c r="R165" i="1"/>
  <c r="Q165" i="1"/>
  <c r="CM164" i="1"/>
  <c r="CK164" i="1"/>
  <c r="CJ164" i="1"/>
  <c r="CI164" i="1"/>
  <c r="CC164" i="1"/>
  <c r="BM164" i="1"/>
  <c r="BL164" i="1"/>
  <c r="BK164" i="1"/>
  <c r="CN164" i="1" s="1"/>
  <c r="AW164" i="1"/>
  <c r="AV164" i="1"/>
  <c r="AU164" i="1"/>
  <c r="CL164" i="1" s="1"/>
  <c r="AM164" i="1"/>
  <c r="AL164" i="1"/>
  <c r="AK164" i="1"/>
  <c r="R164" i="1"/>
  <c r="Q164" i="1"/>
  <c r="CM163" i="1"/>
  <c r="CK163" i="1"/>
  <c r="CJ163" i="1"/>
  <c r="CH163" i="1"/>
  <c r="CC163" i="1"/>
  <c r="BM163" i="1"/>
  <c r="BL163" i="1"/>
  <c r="BK163" i="1"/>
  <c r="CN163" i="1" s="1"/>
  <c r="AU163" i="1"/>
  <c r="CL163" i="1" s="1"/>
  <c r="AK163" i="1"/>
  <c r="R163" i="1"/>
  <c r="Q163" i="1"/>
  <c r="CM162" i="1"/>
  <c r="CK162" i="1"/>
  <c r="CJ162" i="1"/>
  <c r="CH162" i="1"/>
  <c r="CC162" i="1"/>
  <c r="BM162" i="1"/>
  <c r="BL162" i="1"/>
  <c r="BK162" i="1"/>
  <c r="CN162" i="1" s="1"/>
  <c r="AU162" i="1"/>
  <c r="CL162" i="1" s="1"/>
  <c r="AK162" i="1"/>
  <c r="R162" i="1"/>
  <c r="Q162" i="1"/>
  <c r="CM161" i="1"/>
  <c r="CK161" i="1"/>
  <c r="CJ161" i="1"/>
  <c r="CH161" i="1"/>
  <c r="CC161" i="1"/>
  <c r="BM161" i="1"/>
  <c r="BL161" i="1"/>
  <c r="BK161" i="1"/>
  <c r="CN161" i="1" s="1"/>
  <c r="AU161" i="1"/>
  <c r="CL161" i="1" s="1"/>
  <c r="AK161" i="1"/>
  <c r="R161" i="1"/>
  <c r="Q161" i="1"/>
  <c r="CM160" i="1"/>
  <c r="CK160" i="1"/>
  <c r="CJ160" i="1"/>
  <c r="CH160" i="1"/>
  <c r="CC160" i="1"/>
  <c r="BM160" i="1"/>
  <c r="BL160" i="1"/>
  <c r="BK160" i="1"/>
  <c r="CN160" i="1" s="1"/>
  <c r="AU160" i="1"/>
  <c r="CL160" i="1" s="1"/>
  <c r="AK160" i="1"/>
  <c r="R160" i="1"/>
  <c r="Q160" i="1"/>
  <c r="CM159" i="1"/>
  <c r="CK159" i="1"/>
  <c r="CJ159" i="1"/>
  <c r="CH159" i="1"/>
  <c r="CC159" i="1"/>
  <c r="BM159" i="1"/>
  <c r="BL159" i="1"/>
  <c r="BK159" i="1"/>
  <c r="CN159" i="1" s="1"/>
  <c r="AU159" i="1"/>
  <c r="CL159" i="1" s="1"/>
  <c r="AK159" i="1"/>
  <c r="R159" i="1"/>
  <c r="Q159" i="1"/>
  <c r="CM158" i="1"/>
  <c r="CK158" i="1"/>
  <c r="CJ158" i="1"/>
  <c r="CH158" i="1"/>
  <c r="CC158" i="1"/>
  <c r="BM158" i="1"/>
  <c r="BL158" i="1"/>
  <c r="BK158" i="1"/>
  <c r="CN158" i="1" s="1"/>
  <c r="AU158" i="1"/>
  <c r="CL158" i="1" s="1"/>
  <c r="AK158" i="1"/>
  <c r="R158" i="1"/>
  <c r="Q158" i="1"/>
  <c r="CM157" i="1"/>
  <c r="CK157" i="1"/>
  <c r="CJ157" i="1"/>
  <c r="CH157" i="1"/>
  <c r="CC157" i="1"/>
  <c r="BM157" i="1"/>
  <c r="BL157" i="1"/>
  <c r="BK157" i="1"/>
  <c r="CN157" i="1" s="1"/>
  <c r="AU157" i="1"/>
  <c r="CL157" i="1" s="1"/>
  <c r="AK157" i="1"/>
  <c r="R157" i="1"/>
  <c r="Q157" i="1"/>
  <c r="CM156" i="1"/>
  <c r="CK156" i="1"/>
  <c r="CJ156" i="1"/>
  <c r="CH156" i="1"/>
  <c r="CC156" i="1"/>
  <c r="BM156" i="1"/>
  <c r="BL156" i="1"/>
  <c r="BK156" i="1"/>
  <c r="CN156" i="1" s="1"/>
  <c r="AU156" i="1"/>
  <c r="CL156" i="1" s="1"/>
  <c r="AK156" i="1"/>
  <c r="R156" i="1"/>
  <c r="Q156" i="1"/>
  <c r="CM155" i="1"/>
  <c r="CK155" i="1"/>
  <c r="CJ155" i="1"/>
  <c r="CH155" i="1"/>
  <c r="CC155" i="1"/>
  <c r="BM155" i="1"/>
  <c r="BL155" i="1"/>
  <c r="BK155" i="1"/>
  <c r="CN155" i="1" s="1"/>
  <c r="AU155" i="1"/>
  <c r="CL155" i="1" s="1"/>
  <c r="AK155" i="1"/>
  <c r="R155" i="1"/>
  <c r="Q155" i="1"/>
  <c r="CM154" i="1"/>
  <c r="CK154" i="1"/>
  <c r="CJ154" i="1"/>
  <c r="CH154" i="1"/>
  <c r="CC154" i="1"/>
  <c r="BM154" i="1"/>
  <c r="BL154" i="1"/>
  <c r="BK154" i="1"/>
  <c r="CN154" i="1" s="1"/>
  <c r="AU154" i="1"/>
  <c r="CL154" i="1" s="1"/>
  <c r="AK154" i="1"/>
  <c r="R154" i="1"/>
  <c r="Q154" i="1"/>
  <c r="CM153" i="1"/>
  <c r="CK153" i="1"/>
  <c r="CJ153" i="1"/>
  <c r="CH153" i="1"/>
  <c r="CC153" i="1"/>
  <c r="BM153" i="1"/>
  <c r="BL153" i="1"/>
  <c r="BK153" i="1"/>
  <c r="CN153" i="1" s="1"/>
  <c r="AU153" i="1"/>
  <c r="CL153" i="1" s="1"/>
  <c r="AK153" i="1"/>
  <c r="R153" i="1"/>
  <c r="Q153" i="1"/>
  <c r="CM152" i="1"/>
  <c r="CK152" i="1"/>
  <c r="CJ152" i="1"/>
  <c r="CH152" i="1"/>
  <c r="CC152" i="1"/>
  <c r="BM152" i="1"/>
  <c r="BL152" i="1"/>
  <c r="BK152" i="1"/>
  <c r="CN152" i="1" s="1"/>
  <c r="AU152" i="1"/>
  <c r="CL152" i="1" s="1"/>
  <c r="AK152" i="1"/>
  <c r="R152" i="1"/>
  <c r="Q152" i="1"/>
  <c r="CM151" i="1"/>
  <c r="CK151" i="1"/>
  <c r="CJ151" i="1"/>
  <c r="CH151" i="1"/>
  <c r="CC151" i="1"/>
  <c r="BM151" i="1"/>
  <c r="BL151" i="1"/>
  <c r="BK151" i="1"/>
  <c r="CN151" i="1" s="1"/>
  <c r="AW151" i="1"/>
  <c r="AV151" i="1"/>
  <c r="AU151" i="1"/>
  <c r="CL151" i="1" s="1"/>
  <c r="AM151" i="1"/>
  <c r="AL151" i="1"/>
  <c r="AK151" i="1"/>
  <c r="R151" i="1"/>
  <c r="Q151" i="1"/>
  <c r="CM150" i="1"/>
  <c r="CK150" i="1"/>
  <c r="CJ150" i="1"/>
  <c r="CH150" i="1"/>
  <c r="CC150" i="1"/>
  <c r="BM150" i="1"/>
  <c r="BL150" i="1"/>
  <c r="BK150" i="1"/>
  <c r="CN150" i="1" s="1"/>
  <c r="AU150" i="1"/>
  <c r="CL150" i="1" s="1"/>
  <c r="AK150" i="1"/>
  <c r="R150" i="1"/>
  <c r="Q150" i="1"/>
  <c r="CM149" i="1"/>
  <c r="CK149" i="1"/>
  <c r="CJ149" i="1"/>
  <c r="CH149" i="1"/>
  <c r="CC149" i="1"/>
  <c r="BM149" i="1"/>
  <c r="BL149" i="1"/>
  <c r="BK149" i="1"/>
  <c r="CN149" i="1" s="1"/>
  <c r="AU149" i="1"/>
  <c r="CL149" i="1" s="1"/>
  <c r="AK149" i="1"/>
  <c r="R149" i="1"/>
  <c r="Q149" i="1"/>
  <c r="CM148" i="1"/>
  <c r="CK148" i="1"/>
  <c r="CJ148" i="1"/>
  <c r="CH148" i="1"/>
  <c r="CC148" i="1"/>
  <c r="BM148" i="1"/>
  <c r="BL148" i="1"/>
  <c r="BK148" i="1"/>
  <c r="CN148" i="1" s="1"/>
  <c r="AU148" i="1"/>
  <c r="CL148" i="1" s="1"/>
  <c r="AK148" i="1"/>
  <c r="R148" i="1"/>
  <c r="Q148" i="1"/>
  <c r="CM147" i="1"/>
  <c r="CK147" i="1"/>
  <c r="CJ147" i="1"/>
  <c r="CH147" i="1"/>
  <c r="CC147" i="1"/>
  <c r="BM147" i="1"/>
  <c r="BL147" i="1"/>
  <c r="BK147" i="1"/>
  <c r="CN147" i="1" s="1"/>
  <c r="AU147" i="1"/>
  <c r="CL147" i="1" s="1"/>
  <c r="AK147" i="1"/>
  <c r="R147" i="1"/>
  <c r="Q147" i="1"/>
  <c r="CM146" i="1"/>
  <c r="CK146" i="1"/>
  <c r="CJ146" i="1"/>
  <c r="CH146" i="1"/>
  <c r="CC146" i="1"/>
  <c r="BM146" i="1"/>
  <c r="BL146" i="1"/>
  <c r="BK146" i="1"/>
  <c r="CN146" i="1" s="1"/>
  <c r="AU146" i="1"/>
  <c r="CL146" i="1" s="1"/>
  <c r="AK146" i="1"/>
  <c r="R146" i="1"/>
  <c r="Q146" i="1"/>
  <c r="CM145" i="1"/>
  <c r="CK145" i="1"/>
  <c r="CJ145" i="1"/>
  <c r="CH145" i="1"/>
  <c r="CC145" i="1"/>
  <c r="BM145" i="1"/>
  <c r="BL145" i="1"/>
  <c r="BK145" i="1"/>
  <c r="CN145" i="1" s="1"/>
  <c r="AU145" i="1"/>
  <c r="CL145" i="1" s="1"/>
  <c r="AK145" i="1"/>
  <c r="R145" i="1"/>
  <c r="Q145" i="1"/>
  <c r="CM144" i="1"/>
  <c r="CK144" i="1"/>
  <c r="CJ144" i="1"/>
  <c r="CH144" i="1"/>
  <c r="CC144" i="1"/>
  <c r="BM144" i="1"/>
  <c r="BL144" i="1"/>
  <c r="BK144" i="1"/>
  <c r="CN144" i="1" s="1"/>
  <c r="AU144" i="1"/>
  <c r="CL144" i="1" s="1"/>
  <c r="AK144" i="1"/>
  <c r="R144" i="1"/>
  <c r="Q144" i="1"/>
  <c r="CM143" i="1"/>
  <c r="CK143" i="1"/>
  <c r="CJ143" i="1"/>
  <c r="CH143" i="1"/>
  <c r="CC143" i="1"/>
  <c r="BM143" i="1"/>
  <c r="BL143" i="1"/>
  <c r="BK143" i="1"/>
  <c r="CN143" i="1" s="1"/>
  <c r="AU143" i="1"/>
  <c r="CL143" i="1" s="1"/>
  <c r="AK143" i="1"/>
  <c r="R143" i="1"/>
  <c r="Q143" i="1"/>
  <c r="CM142" i="1"/>
  <c r="CK142" i="1"/>
  <c r="CJ142" i="1"/>
  <c r="CH142" i="1"/>
  <c r="CC142" i="1"/>
  <c r="BM142" i="1"/>
  <c r="BL142" i="1"/>
  <c r="BK142" i="1"/>
  <c r="CN142" i="1" s="1"/>
  <c r="AU142" i="1"/>
  <c r="CL142" i="1" s="1"/>
  <c r="AK142" i="1"/>
  <c r="R142" i="1"/>
  <c r="Q142" i="1"/>
  <c r="CM141" i="1"/>
  <c r="CK141" i="1"/>
  <c r="CJ141" i="1"/>
  <c r="CH141" i="1"/>
  <c r="CC141" i="1"/>
  <c r="BM141" i="1"/>
  <c r="BL141" i="1"/>
  <c r="BK141" i="1"/>
  <c r="CN141" i="1" s="1"/>
  <c r="AU141" i="1"/>
  <c r="CL141" i="1" s="1"/>
  <c r="AK141" i="1"/>
  <c r="R141" i="1"/>
  <c r="Q141" i="1"/>
  <c r="CM140" i="1"/>
  <c r="CK140" i="1"/>
  <c r="CJ140" i="1"/>
  <c r="CH140" i="1"/>
  <c r="CC140" i="1"/>
  <c r="BM140" i="1"/>
  <c r="BL140" i="1"/>
  <c r="BK140" i="1"/>
  <c r="CN140" i="1" s="1"/>
  <c r="AU140" i="1"/>
  <c r="CL140" i="1" s="1"/>
  <c r="AK140" i="1"/>
  <c r="R140" i="1"/>
  <c r="Q140" i="1"/>
  <c r="CM139" i="1"/>
  <c r="CK139" i="1"/>
  <c r="CJ139" i="1"/>
  <c r="CH139" i="1"/>
  <c r="CC139" i="1"/>
  <c r="BM139" i="1"/>
  <c r="BL139" i="1"/>
  <c r="BK139" i="1"/>
  <c r="CN139" i="1" s="1"/>
  <c r="AU139" i="1"/>
  <c r="CL139" i="1" s="1"/>
  <c r="AK139" i="1"/>
  <c r="R139" i="1"/>
  <c r="Q139" i="1"/>
  <c r="CM138" i="1"/>
  <c r="CK138" i="1"/>
  <c r="CJ138" i="1"/>
  <c r="CH138" i="1"/>
  <c r="CC138" i="1"/>
  <c r="BM138" i="1"/>
  <c r="BL138" i="1"/>
  <c r="BK138" i="1"/>
  <c r="CN138" i="1" s="1"/>
  <c r="AW138" i="1"/>
  <c r="AV138" i="1"/>
  <c r="AU138" i="1"/>
  <c r="CL138" i="1" s="1"/>
  <c r="AM138" i="1"/>
  <c r="AL138" i="1"/>
  <c r="AK138" i="1"/>
  <c r="R138" i="1"/>
  <c r="Q138" i="1"/>
  <c r="CM137" i="1"/>
  <c r="CK137" i="1"/>
  <c r="CJ137" i="1"/>
  <c r="CH137" i="1"/>
  <c r="CC137" i="1"/>
  <c r="BM137" i="1"/>
  <c r="BL137" i="1"/>
  <c r="BK137" i="1"/>
  <c r="CN137" i="1" s="1"/>
  <c r="AU137" i="1"/>
  <c r="CL137" i="1" s="1"/>
  <c r="AK137" i="1"/>
  <c r="R137" i="1"/>
  <c r="Q137" i="1"/>
  <c r="CM136" i="1"/>
  <c r="CK136" i="1"/>
  <c r="CJ136" i="1"/>
  <c r="CH136" i="1"/>
  <c r="CC136" i="1"/>
  <c r="BM136" i="1"/>
  <c r="BL136" i="1"/>
  <c r="BK136" i="1"/>
  <c r="CN136" i="1" s="1"/>
  <c r="AU136" i="1"/>
  <c r="CL136" i="1" s="1"/>
  <c r="AK136" i="1"/>
  <c r="R136" i="1"/>
  <c r="Q136" i="1"/>
  <c r="CM135" i="1"/>
  <c r="CK135" i="1"/>
  <c r="CJ135" i="1"/>
  <c r="CH135" i="1"/>
  <c r="CC135" i="1"/>
  <c r="BM135" i="1"/>
  <c r="BL135" i="1"/>
  <c r="BK135" i="1"/>
  <c r="CN135" i="1" s="1"/>
  <c r="AU135" i="1"/>
  <c r="CL135" i="1" s="1"/>
  <c r="AK135" i="1"/>
  <c r="R135" i="1"/>
  <c r="Q135" i="1"/>
  <c r="CM134" i="1"/>
  <c r="CK134" i="1"/>
  <c r="CJ134" i="1"/>
  <c r="CH134" i="1"/>
  <c r="CC134" i="1"/>
  <c r="BM134" i="1"/>
  <c r="BL134" i="1"/>
  <c r="BK134" i="1"/>
  <c r="CN134" i="1" s="1"/>
  <c r="AU134" i="1"/>
  <c r="CL134" i="1" s="1"/>
  <c r="AK134" i="1"/>
  <c r="R134" i="1"/>
  <c r="Q134" i="1"/>
  <c r="CM133" i="1"/>
  <c r="CK133" i="1"/>
  <c r="CJ133" i="1"/>
  <c r="CH133" i="1"/>
  <c r="CC133" i="1"/>
  <c r="BM133" i="1"/>
  <c r="BL133" i="1"/>
  <c r="BK133" i="1"/>
  <c r="CN133" i="1" s="1"/>
  <c r="AU133" i="1"/>
  <c r="CL133" i="1" s="1"/>
  <c r="AK133" i="1"/>
  <c r="R133" i="1"/>
  <c r="Q133" i="1"/>
  <c r="CM132" i="1"/>
  <c r="CK132" i="1"/>
  <c r="CJ132" i="1"/>
  <c r="CH132" i="1"/>
  <c r="CC132" i="1"/>
  <c r="BM132" i="1"/>
  <c r="BL132" i="1"/>
  <c r="BK132" i="1"/>
  <c r="CN132" i="1" s="1"/>
  <c r="AU132" i="1"/>
  <c r="CL132" i="1" s="1"/>
  <c r="AK132" i="1"/>
  <c r="R132" i="1"/>
  <c r="Q132" i="1"/>
  <c r="CM131" i="1"/>
  <c r="CK131" i="1"/>
  <c r="CJ131" i="1"/>
  <c r="CH131" i="1"/>
  <c r="CC131" i="1"/>
  <c r="BM131" i="1"/>
  <c r="BL131" i="1"/>
  <c r="BK131" i="1"/>
  <c r="CN131" i="1" s="1"/>
  <c r="AU131" i="1"/>
  <c r="CL131" i="1" s="1"/>
  <c r="AK131" i="1"/>
  <c r="R131" i="1"/>
  <c r="Q131" i="1"/>
  <c r="CM130" i="1"/>
  <c r="CK130" i="1"/>
  <c r="CJ130" i="1"/>
  <c r="CH130" i="1"/>
  <c r="CC130" i="1"/>
  <c r="BM130" i="1"/>
  <c r="BL130" i="1"/>
  <c r="BK130" i="1"/>
  <c r="CN130" i="1" s="1"/>
  <c r="AU130" i="1"/>
  <c r="CL130" i="1" s="1"/>
  <c r="AK130" i="1"/>
  <c r="R130" i="1"/>
  <c r="Q130" i="1"/>
  <c r="CM129" i="1"/>
  <c r="CK129" i="1"/>
  <c r="CJ129" i="1"/>
  <c r="CH129" i="1"/>
  <c r="CC129" i="1"/>
  <c r="BM129" i="1"/>
  <c r="BL129" i="1"/>
  <c r="BK129" i="1"/>
  <c r="CN129" i="1" s="1"/>
  <c r="AU129" i="1"/>
  <c r="CL129" i="1" s="1"/>
  <c r="AK129" i="1"/>
  <c r="R129" i="1"/>
  <c r="Q129" i="1"/>
  <c r="CM128" i="1"/>
  <c r="CK128" i="1"/>
  <c r="CJ128" i="1"/>
  <c r="CH128" i="1"/>
  <c r="CC128" i="1"/>
  <c r="BM128" i="1"/>
  <c r="BL128" i="1"/>
  <c r="BK128" i="1"/>
  <c r="CN128" i="1" s="1"/>
  <c r="AU128" i="1"/>
  <c r="CL128" i="1" s="1"/>
  <c r="AK128" i="1"/>
  <c r="R128" i="1"/>
  <c r="Q128" i="1"/>
  <c r="CM127" i="1"/>
  <c r="CK127" i="1"/>
  <c r="CJ127" i="1"/>
  <c r="CH127" i="1"/>
  <c r="CC127" i="1"/>
  <c r="BM127" i="1"/>
  <c r="BL127" i="1"/>
  <c r="BK127" i="1"/>
  <c r="CN127" i="1" s="1"/>
  <c r="AU127" i="1"/>
  <c r="CL127" i="1" s="1"/>
  <c r="AK127" i="1"/>
  <c r="R127" i="1"/>
  <c r="Q127" i="1"/>
  <c r="CM126" i="1"/>
  <c r="CK126" i="1"/>
  <c r="CJ126" i="1"/>
  <c r="CH126" i="1"/>
  <c r="CC126" i="1"/>
  <c r="BM126" i="1"/>
  <c r="BL126" i="1"/>
  <c r="BK126" i="1"/>
  <c r="CN126" i="1" s="1"/>
  <c r="AU126" i="1"/>
  <c r="CL126" i="1" s="1"/>
  <c r="AK126" i="1"/>
  <c r="R126" i="1"/>
  <c r="Q126" i="1"/>
  <c r="CM125" i="1"/>
  <c r="CK125" i="1"/>
  <c r="CJ125" i="1"/>
  <c r="CI125" i="1"/>
  <c r="CC125" i="1"/>
  <c r="BM125" i="1"/>
  <c r="BL125" i="1"/>
  <c r="BK125" i="1"/>
  <c r="CN125" i="1" s="1"/>
  <c r="AW125" i="1"/>
  <c r="AV125" i="1"/>
  <c r="AU125" i="1"/>
  <c r="CL125" i="1" s="1"/>
  <c r="AM125" i="1"/>
  <c r="AL125" i="1"/>
  <c r="AK125" i="1"/>
  <c r="R125" i="1"/>
  <c r="Q125" i="1"/>
  <c r="CK124" i="1"/>
  <c r="CH124" i="1"/>
  <c r="CC124" i="1"/>
  <c r="BM124" i="1"/>
  <c r="BL124" i="1"/>
  <c r="BK124" i="1"/>
  <c r="AU124" i="1"/>
  <c r="AK124" i="1"/>
  <c r="R124" i="1"/>
  <c r="Q124" i="1"/>
  <c r="CK123" i="1"/>
  <c r="CH123" i="1"/>
  <c r="CC123" i="1"/>
  <c r="BM123" i="1"/>
  <c r="BL123" i="1"/>
  <c r="BK123" i="1"/>
  <c r="AU123" i="1"/>
  <c r="AK123" i="1"/>
  <c r="R123" i="1"/>
  <c r="Q123" i="1"/>
  <c r="CK122" i="1"/>
  <c r="CH122" i="1"/>
  <c r="CC122" i="1"/>
  <c r="BM122" i="1"/>
  <c r="BL122" i="1"/>
  <c r="BK122" i="1"/>
  <c r="AU122" i="1"/>
  <c r="AK122" i="1"/>
  <c r="R122" i="1"/>
  <c r="Q122" i="1"/>
  <c r="CK121" i="1"/>
  <c r="CH121" i="1"/>
  <c r="CC121" i="1"/>
  <c r="BM121" i="1"/>
  <c r="BL121" i="1"/>
  <c r="BK121" i="1"/>
  <c r="AU121" i="1"/>
  <c r="AK121" i="1"/>
  <c r="R121" i="1"/>
  <c r="Q121" i="1"/>
  <c r="CK120" i="1"/>
  <c r="CH120" i="1"/>
  <c r="CC120" i="1"/>
  <c r="BM120" i="1"/>
  <c r="BL120" i="1"/>
  <c r="BK120" i="1"/>
  <c r="AU120" i="1"/>
  <c r="AK120" i="1"/>
  <c r="R120" i="1"/>
  <c r="Q120" i="1"/>
  <c r="CK119" i="1"/>
  <c r="CH119" i="1"/>
  <c r="CC119" i="1"/>
  <c r="BM119" i="1"/>
  <c r="BL119" i="1"/>
  <c r="BK119" i="1"/>
  <c r="AW119" i="1"/>
  <c r="AV119" i="1"/>
  <c r="AU119" i="1"/>
  <c r="AM119" i="1"/>
  <c r="AL119" i="1"/>
  <c r="AK119" i="1"/>
  <c r="CK118" i="1"/>
  <c r="CH118" i="1"/>
  <c r="CC118" i="1"/>
  <c r="BM118" i="1"/>
  <c r="BL118" i="1"/>
  <c r="BK118" i="1"/>
  <c r="AW118" i="1"/>
  <c r="AV118" i="1"/>
  <c r="AU118" i="1"/>
  <c r="AM118" i="1"/>
  <c r="AL118" i="1"/>
  <c r="AK118" i="1"/>
  <c r="CM117" i="1"/>
  <c r="CK117" i="1"/>
  <c r="CJ117" i="1"/>
  <c r="CI117" i="1"/>
  <c r="CH117" i="1"/>
  <c r="CC117" i="1"/>
  <c r="BM117" i="1"/>
  <c r="BL117" i="1"/>
  <c r="BK117" i="1"/>
  <c r="CN117" i="1" s="1"/>
  <c r="AW117" i="1"/>
  <c r="AV117" i="1"/>
  <c r="AU117" i="1"/>
  <c r="CL117" i="1" s="1"/>
  <c r="AM117" i="1"/>
  <c r="AL117" i="1"/>
  <c r="AK117" i="1"/>
  <c r="R117" i="1"/>
  <c r="Q117" i="1"/>
  <c r="CM116" i="1"/>
  <c r="CK116" i="1"/>
  <c r="CJ116" i="1"/>
  <c r="CI116" i="1"/>
  <c r="CC116" i="1"/>
  <c r="BM116" i="1"/>
  <c r="BL116" i="1"/>
  <c r="BK116" i="1"/>
  <c r="CN116" i="1" s="1"/>
  <c r="AW116" i="1"/>
  <c r="AV116" i="1"/>
  <c r="AU116" i="1"/>
  <c r="CL116" i="1" s="1"/>
  <c r="AM116" i="1"/>
  <c r="AL116" i="1"/>
  <c r="AK116" i="1"/>
  <c r="R116" i="1"/>
  <c r="Q116" i="1"/>
  <c r="CM115" i="1"/>
  <c r="CK115" i="1"/>
  <c r="CJ115" i="1"/>
  <c r="CI115" i="1"/>
  <c r="CC115" i="1"/>
  <c r="BM115" i="1"/>
  <c r="BL115" i="1"/>
  <c r="BK115" i="1"/>
  <c r="CN115" i="1" s="1"/>
  <c r="AW115" i="1"/>
  <c r="AV115" i="1"/>
  <c r="AU115" i="1"/>
  <c r="CL115" i="1" s="1"/>
  <c r="AM115" i="1"/>
  <c r="AL115" i="1"/>
  <c r="AK115" i="1"/>
  <c r="R115" i="1"/>
  <c r="Q115" i="1"/>
  <c r="CM114" i="1"/>
  <c r="CK114" i="1"/>
  <c r="CJ114" i="1"/>
  <c r="CI114" i="1"/>
  <c r="CC114" i="1"/>
  <c r="BM114" i="1"/>
  <c r="BL114" i="1"/>
  <c r="BK114" i="1"/>
  <c r="CN114" i="1" s="1"/>
  <c r="AU114" i="1"/>
  <c r="CL114" i="1" s="1"/>
  <c r="AK114" i="1"/>
  <c r="R114" i="1"/>
  <c r="Q114" i="1"/>
  <c r="CM113" i="1"/>
  <c r="CK113" i="1"/>
  <c r="CJ113" i="1"/>
  <c r="CH113" i="1"/>
  <c r="CC113" i="1"/>
  <c r="BM113" i="1"/>
  <c r="BL113" i="1"/>
  <c r="BK113" i="1"/>
  <c r="CN113" i="1" s="1"/>
  <c r="AU113" i="1"/>
  <c r="CL113" i="1" s="1"/>
  <c r="AK113" i="1"/>
  <c r="R113" i="1"/>
  <c r="Q113" i="1"/>
  <c r="CM112" i="1"/>
  <c r="CK112" i="1"/>
  <c r="CJ112" i="1"/>
  <c r="CH112" i="1"/>
  <c r="CC112" i="1"/>
  <c r="BM112" i="1"/>
  <c r="BL112" i="1"/>
  <c r="BK112" i="1"/>
  <c r="CN112" i="1" s="1"/>
  <c r="AU112" i="1"/>
  <c r="CL112" i="1" s="1"/>
  <c r="AK112" i="1"/>
  <c r="R112" i="1"/>
  <c r="Q112" i="1"/>
  <c r="CM111" i="1"/>
  <c r="CK111" i="1"/>
  <c r="CJ111" i="1"/>
  <c r="CH111" i="1"/>
  <c r="CC111" i="1"/>
  <c r="BM111" i="1"/>
  <c r="BL111" i="1"/>
  <c r="BK111" i="1"/>
  <c r="CN111" i="1" s="1"/>
  <c r="AU111" i="1"/>
  <c r="CL111" i="1" s="1"/>
  <c r="AK111" i="1"/>
  <c r="R111" i="1"/>
  <c r="Q111" i="1"/>
  <c r="CM110" i="1"/>
  <c r="CK110" i="1"/>
  <c r="CJ110" i="1"/>
  <c r="CH110" i="1"/>
  <c r="CC110" i="1"/>
  <c r="BM110" i="1"/>
  <c r="BL110" i="1"/>
  <c r="BK110" i="1"/>
  <c r="CN110" i="1" s="1"/>
  <c r="AU110" i="1"/>
  <c r="CL110" i="1" s="1"/>
  <c r="AK110" i="1"/>
  <c r="R110" i="1"/>
  <c r="Q110" i="1"/>
  <c r="CM109" i="1"/>
  <c r="CK109" i="1"/>
  <c r="CJ109" i="1"/>
  <c r="CH109" i="1"/>
  <c r="CC109" i="1"/>
  <c r="BM109" i="1"/>
  <c r="BL109" i="1"/>
  <c r="BK109" i="1"/>
  <c r="CN109" i="1" s="1"/>
  <c r="AU109" i="1"/>
  <c r="CL109" i="1" s="1"/>
  <c r="AK109" i="1"/>
  <c r="R109" i="1"/>
  <c r="Q109" i="1"/>
  <c r="CM108" i="1"/>
  <c r="CK108" i="1"/>
  <c r="CJ108" i="1"/>
  <c r="CH108" i="1"/>
  <c r="CC108" i="1"/>
  <c r="BM108" i="1"/>
  <c r="BL108" i="1"/>
  <c r="BK108" i="1"/>
  <c r="CN108" i="1" s="1"/>
  <c r="AU108" i="1"/>
  <c r="CL108" i="1" s="1"/>
  <c r="AK108" i="1"/>
  <c r="R108" i="1"/>
  <c r="Q108" i="1"/>
  <c r="CM107" i="1"/>
  <c r="CK107" i="1"/>
  <c r="CJ107" i="1"/>
  <c r="CH107" i="1"/>
  <c r="CC107" i="1"/>
  <c r="BM107" i="1"/>
  <c r="BL107" i="1"/>
  <c r="BK107" i="1"/>
  <c r="CN107" i="1" s="1"/>
  <c r="AU107" i="1"/>
  <c r="CL107" i="1" s="1"/>
  <c r="AK107" i="1"/>
  <c r="R107" i="1"/>
  <c r="Q107" i="1"/>
  <c r="CM106" i="1"/>
  <c r="CK106" i="1"/>
  <c r="CJ106" i="1"/>
  <c r="CH106" i="1"/>
  <c r="CC106" i="1"/>
  <c r="BM106" i="1"/>
  <c r="BL106" i="1"/>
  <c r="BK106" i="1"/>
  <c r="CN106" i="1" s="1"/>
  <c r="AU106" i="1"/>
  <c r="CL106" i="1" s="1"/>
  <c r="AK106" i="1"/>
  <c r="R106" i="1"/>
  <c r="Q106" i="1"/>
  <c r="CM105" i="1"/>
  <c r="CK105" i="1"/>
  <c r="CJ105" i="1"/>
  <c r="CH105" i="1"/>
  <c r="CC105" i="1"/>
  <c r="BM105" i="1"/>
  <c r="BL105" i="1"/>
  <c r="BK105" i="1"/>
  <c r="CN105" i="1" s="1"/>
  <c r="AU105" i="1"/>
  <c r="CL105" i="1" s="1"/>
  <c r="AK105" i="1"/>
  <c r="R105" i="1"/>
  <c r="Q105" i="1"/>
  <c r="CM104" i="1"/>
  <c r="CK104" i="1"/>
  <c r="CJ104" i="1"/>
  <c r="CH104" i="1"/>
  <c r="CC104" i="1"/>
  <c r="BM104" i="1"/>
  <c r="BL104" i="1"/>
  <c r="BK104" i="1"/>
  <c r="CN104" i="1" s="1"/>
  <c r="AU104" i="1"/>
  <c r="CL104" i="1" s="1"/>
  <c r="AK104" i="1"/>
  <c r="R104" i="1"/>
  <c r="Q104" i="1"/>
  <c r="CM103" i="1"/>
  <c r="CK103" i="1"/>
  <c r="CJ103" i="1"/>
  <c r="CH103" i="1"/>
  <c r="CC103" i="1"/>
  <c r="BM103" i="1"/>
  <c r="BL103" i="1"/>
  <c r="BK103" i="1"/>
  <c r="CN103" i="1" s="1"/>
  <c r="AU103" i="1"/>
  <c r="CL103" i="1" s="1"/>
  <c r="AK103" i="1"/>
  <c r="R103" i="1"/>
  <c r="Q103" i="1"/>
  <c r="CM102" i="1"/>
  <c r="CK102" i="1"/>
  <c r="CJ102" i="1"/>
  <c r="CH102" i="1"/>
  <c r="CC102" i="1"/>
  <c r="BM102" i="1"/>
  <c r="BL102" i="1"/>
  <c r="BK102" i="1"/>
  <c r="CN102" i="1" s="1"/>
  <c r="AU102" i="1"/>
  <c r="CL102" i="1" s="1"/>
  <c r="AK102" i="1"/>
  <c r="R102" i="1"/>
  <c r="Q102" i="1"/>
  <c r="CM101" i="1"/>
  <c r="CK101" i="1"/>
  <c r="CJ101" i="1"/>
  <c r="CH101" i="1"/>
  <c r="CC101" i="1"/>
  <c r="BM101" i="1"/>
  <c r="BL101" i="1"/>
  <c r="BK101" i="1"/>
  <c r="CN101" i="1" s="1"/>
  <c r="AW101" i="1"/>
  <c r="AV101" i="1"/>
  <c r="AU101" i="1"/>
  <c r="CL101" i="1" s="1"/>
  <c r="AM101" i="1"/>
  <c r="AL101" i="1"/>
  <c r="AK101" i="1"/>
  <c r="R101" i="1"/>
  <c r="Q101" i="1"/>
  <c r="CM100" i="1"/>
  <c r="CK100" i="1"/>
  <c r="CJ100" i="1"/>
  <c r="CH100" i="1"/>
  <c r="CC100" i="1"/>
  <c r="BM100" i="1"/>
  <c r="BL100" i="1"/>
  <c r="BK100" i="1"/>
  <c r="CN100" i="1" s="1"/>
  <c r="AU100" i="1"/>
  <c r="CL100" i="1" s="1"/>
  <c r="AK100" i="1"/>
  <c r="R100" i="1"/>
  <c r="Q100" i="1"/>
  <c r="CM99" i="1"/>
  <c r="CK99" i="1"/>
  <c r="CJ99" i="1"/>
  <c r="CH99" i="1"/>
  <c r="CC99" i="1"/>
  <c r="BM99" i="1"/>
  <c r="BL99" i="1"/>
  <c r="BK99" i="1"/>
  <c r="CN99" i="1" s="1"/>
  <c r="AU99" i="1"/>
  <c r="CL99" i="1" s="1"/>
  <c r="AK99" i="1"/>
  <c r="R99" i="1"/>
  <c r="Q99" i="1"/>
  <c r="CM98" i="1"/>
  <c r="CK98" i="1"/>
  <c r="CJ98" i="1"/>
  <c r="CH98" i="1"/>
  <c r="CC98" i="1"/>
  <c r="BM98" i="1"/>
  <c r="BL98" i="1"/>
  <c r="BK98" i="1"/>
  <c r="CN98" i="1" s="1"/>
  <c r="AU98" i="1"/>
  <c r="CL98" i="1" s="1"/>
  <c r="AK98" i="1"/>
  <c r="R98" i="1"/>
  <c r="Q98" i="1"/>
  <c r="CM97" i="1"/>
  <c r="CK97" i="1"/>
  <c r="CJ97" i="1"/>
  <c r="CH97" i="1"/>
  <c r="CC97" i="1"/>
  <c r="BM97" i="1"/>
  <c r="BL97" i="1"/>
  <c r="BK97" i="1"/>
  <c r="CN97" i="1" s="1"/>
  <c r="AU97" i="1"/>
  <c r="CL97" i="1" s="1"/>
  <c r="AK97" i="1"/>
  <c r="R97" i="1"/>
  <c r="Q97" i="1"/>
  <c r="CM96" i="1"/>
  <c r="CK96" i="1"/>
  <c r="CJ96" i="1"/>
  <c r="CH96" i="1"/>
  <c r="CC96" i="1"/>
  <c r="BM96" i="1"/>
  <c r="BL96" i="1"/>
  <c r="BK96" i="1"/>
  <c r="CN96" i="1" s="1"/>
  <c r="AU96" i="1"/>
  <c r="CL96" i="1" s="1"/>
  <c r="AK96" i="1"/>
  <c r="R96" i="1"/>
  <c r="Q96" i="1"/>
  <c r="CM95" i="1"/>
  <c r="CK95" i="1"/>
  <c r="CJ95" i="1"/>
  <c r="CH95" i="1"/>
  <c r="CC95" i="1"/>
  <c r="BM95" i="1"/>
  <c r="BL95" i="1"/>
  <c r="BK95" i="1"/>
  <c r="CN95" i="1" s="1"/>
  <c r="AU95" i="1"/>
  <c r="CL95" i="1" s="1"/>
  <c r="AK95" i="1"/>
  <c r="R95" i="1"/>
  <c r="Q95" i="1"/>
  <c r="CM94" i="1"/>
  <c r="CK94" i="1"/>
  <c r="CJ94" i="1"/>
  <c r="CH94" i="1"/>
  <c r="CC94" i="1"/>
  <c r="BM94" i="1"/>
  <c r="BL94" i="1"/>
  <c r="BK94" i="1"/>
  <c r="CN94" i="1" s="1"/>
  <c r="AU94" i="1"/>
  <c r="CL94" i="1" s="1"/>
  <c r="AK94" i="1"/>
  <c r="R94" i="1"/>
  <c r="Q94" i="1"/>
  <c r="CM93" i="1"/>
  <c r="CK93" i="1"/>
  <c r="CJ93" i="1"/>
  <c r="CH93" i="1"/>
  <c r="CC93" i="1"/>
  <c r="BM93" i="1"/>
  <c r="BL93" i="1"/>
  <c r="BK93" i="1"/>
  <c r="CN93" i="1" s="1"/>
  <c r="AU93" i="1"/>
  <c r="CL93" i="1" s="1"/>
  <c r="AK93" i="1"/>
  <c r="R93" i="1"/>
  <c r="Q93" i="1"/>
  <c r="CM92" i="1"/>
  <c r="CK92" i="1"/>
  <c r="CJ92" i="1"/>
  <c r="CH92" i="1"/>
  <c r="CC92" i="1"/>
  <c r="BM92" i="1"/>
  <c r="BL92" i="1"/>
  <c r="BK92" i="1"/>
  <c r="CN92" i="1" s="1"/>
  <c r="AU92" i="1"/>
  <c r="CL92" i="1" s="1"/>
  <c r="AK92" i="1"/>
  <c r="R92" i="1"/>
  <c r="Q92" i="1"/>
  <c r="CM91" i="1"/>
  <c r="CK91" i="1"/>
  <c r="CJ91" i="1"/>
  <c r="CH91" i="1"/>
  <c r="CC91" i="1"/>
  <c r="BM91" i="1"/>
  <c r="BL91" i="1"/>
  <c r="BK91" i="1"/>
  <c r="CN91" i="1" s="1"/>
  <c r="AU91" i="1"/>
  <c r="CL91" i="1" s="1"/>
  <c r="AK91" i="1"/>
  <c r="R91" i="1"/>
  <c r="Q91" i="1"/>
  <c r="CM90" i="1"/>
  <c r="CK90" i="1"/>
  <c r="CJ90" i="1"/>
  <c r="CH90" i="1"/>
  <c r="CC90" i="1"/>
  <c r="BM90" i="1"/>
  <c r="BL90" i="1"/>
  <c r="BK90" i="1"/>
  <c r="CN90" i="1" s="1"/>
  <c r="AU90" i="1"/>
  <c r="CL90" i="1" s="1"/>
  <c r="AK90" i="1"/>
  <c r="R90" i="1"/>
  <c r="Q90" i="1"/>
  <c r="CM89" i="1"/>
  <c r="CK89" i="1"/>
  <c r="CJ89" i="1"/>
  <c r="CH89" i="1"/>
  <c r="CC89" i="1"/>
  <c r="BM89" i="1"/>
  <c r="BL89" i="1"/>
  <c r="BK89" i="1"/>
  <c r="CN89" i="1" s="1"/>
  <c r="AU89" i="1"/>
  <c r="CL89" i="1" s="1"/>
  <c r="AK89" i="1"/>
  <c r="R89" i="1"/>
  <c r="Q89" i="1"/>
  <c r="CM88" i="1"/>
  <c r="CK88" i="1"/>
  <c r="CJ88" i="1"/>
  <c r="CH88" i="1"/>
  <c r="CC88" i="1"/>
  <c r="BM88" i="1"/>
  <c r="BL88" i="1"/>
  <c r="BK88" i="1"/>
  <c r="CN88" i="1" s="1"/>
  <c r="AW88" i="1"/>
  <c r="AV88" i="1"/>
  <c r="AU88" i="1"/>
  <c r="CL88" i="1" s="1"/>
  <c r="AM88" i="1"/>
  <c r="AL88" i="1"/>
  <c r="AK88" i="1"/>
  <c r="R88" i="1"/>
  <c r="Q88" i="1"/>
  <c r="CM87" i="1"/>
  <c r="CK87" i="1"/>
  <c r="CJ87" i="1"/>
  <c r="CH87" i="1"/>
  <c r="CC87" i="1"/>
  <c r="BM87" i="1"/>
  <c r="BL87" i="1"/>
  <c r="BK87" i="1"/>
  <c r="CN87" i="1" s="1"/>
  <c r="AU87" i="1"/>
  <c r="CL87" i="1" s="1"/>
  <c r="AK87" i="1"/>
  <c r="R87" i="1"/>
  <c r="Q87" i="1"/>
  <c r="CM86" i="1"/>
  <c r="CK86" i="1"/>
  <c r="CJ86" i="1"/>
  <c r="CH86" i="1"/>
  <c r="CC86" i="1"/>
  <c r="BM86" i="1"/>
  <c r="BL86" i="1"/>
  <c r="BK86" i="1"/>
  <c r="CN86" i="1" s="1"/>
  <c r="AU86" i="1"/>
  <c r="CL86" i="1" s="1"/>
  <c r="AK86" i="1"/>
  <c r="R86" i="1"/>
  <c r="Q86" i="1"/>
  <c r="CM85" i="1"/>
  <c r="CK85" i="1"/>
  <c r="CJ85" i="1"/>
  <c r="CH85" i="1"/>
  <c r="CC85" i="1"/>
  <c r="BM85" i="1"/>
  <c r="BL85" i="1"/>
  <c r="BK85" i="1"/>
  <c r="CN85" i="1" s="1"/>
  <c r="AU85" i="1"/>
  <c r="CL85" i="1" s="1"/>
  <c r="AK85" i="1"/>
  <c r="R85" i="1"/>
  <c r="Q85" i="1"/>
  <c r="CM84" i="1"/>
  <c r="CK84" i="1"/>
  <c r="CJ84" i="1"/>
  <c r="CH84" i="1"/>
  <c r="CC84" i="1"/>
  <c r="BM84" i="1"/>
  <c r="BL84" i="1"/>
  <c r="BK84" i="1"/>
  <c r="CN84" i="1" s="1"/>
  <c r="AU84" i="1"/>
  <c r="CL84" i="1" s="1"/>
  <c r="AK84" i="1"/>
  <c r="R84" i="1"/>
  <c r="Q84" i="1"/>
  <c r="CM83" i="1"/>
  <c r="CK83" i="1"/>
  <c r="CJ83" i="1"/>
  <c r="CH83" i="1"/>
  <c r="CC83" i="1"/>
  <c r="BM83" i="1"/>
  <c r="BL83" i="1"/>
  <c r="BK83" i="1"/>
  <c r="CN83" i="1" s="1"/>
  <c r="AU83" i="1"/>
  <c r="CL83" i="1" s="1"/>
  <c r="AK83" i="1"/>
  <c r="R83" i="1"/>
  <c r="Q83" i="1"/>
  <c r="CM82" i="1"/>
  <c r="CK82" i="1"/>
  <c r="CJ82" i="1"/>
  <c r="CH82" i="1"/>
  <c r="CC82" i="1"/>
  <c r="BM82" i="1"/>
  <c r="BL82" i="1"/>
  <c r="BK82" i="1"/>
  <c r="CN82" i="1" s="1"/>
  <c r="AU82" i="1"/>
  <c r="CL82" i="1" s="1"/>
  <c r="AK82" i="1"/>
  <c r="R82" i="1"/>
  <c r="Q82" i="1"/>
  <c r="CM81" i="1"/>
  <c r="CK81" i="1"/>
  <c r="CJ81" i="1"/>
  <c r="CH81" i="1"/>
  <c r="CC81" i="1"/>
  <c r="BM81" i="1"/>
  <c r="BL81" i="1"/>
  <c r="BK81" i="1"/>
  <c r="CN81" i="1" s="1"/>
  <c r="AU81" i="1"/>
  <c r="CL81" i="1" s="1"/>
  <c r="AK81" i="1"/>
  <c r="R81" i="1"/>
  <c r="Q81" i="1"/>
  <c r="CM80" i="1"/>
  <c r="CK80" i="1"/>
  <c r="CJ80" i="1"/>
  <c r="CH80" i="1"/>
  <c r="CC80" i="1"/>
  <c r="BM80" i="1"/>
  <c r="BL80" i="1"/>
  <c r="BK80" i="1"/>
  <c r="CN80" i="1" s="1"/>
  <c r="AU80" i="1"/>
  <c r="CL80" i="1" s="1"/>
  <c r="AK80" i="1"/>
  <c r="R80" i="1"/>
  <c r="Q80" i="1"/>
  <c r="CM79" i="1"/>
  <c r="CK79" i="1"/>
  <c r="CJ79" i="1"/>
  <c r="CH79" i="1"/>
  <c r="CC79" i="1"/>
  <c r="BM79" i="1"/>
  <c r="BL79" i="1"/>
  <c r="BK79" i="1"/>
  <c r="CN79" i="1" s="1"/>
  <c r="AU79" i="1"/>
  <c r="CL79" i="1" s="1"/>
  <c r="AK79" i="1"/>
  <c r="R79" i="1"/>
  <c r="Q79" i="1"/>
  <c r="CM78" i="1"/>
  <c r="CK78" i="1"/>
  <c r="CJ78" i="1"/>
  <c r="CH78" i="1"/>
  <c r="CC78" i="1"/>
  <c r="BM78" i="1"/>
  <c r="BL78" i="1"/>
  <c r="BK78" i="1"/>
  <c r="CN78" i="1" s="1"/>
  <c r="AU78" i="1"/>
  <c r="CL78" i="1" s="1"/>
  <c r="AK78" i="1"/>
  <c r="R78" i="1"/>
  <c r="Q78" i="1"/>
  <c r="CM77" i="1"/>
  <c r="CK77" i="1"/>
  <c r="CJ77" i="1"/>
  <c r="CH77" i="1"/>
  <c r="CC77" i="1"/>
  <c r="BM77" i="1"/>
  <c r="BL77" i="1"/>
  <c r="BK77" i="1"/>
  <c r="CN77" i="1" s="1"/>
  <c r="AU77" i="1"/>
  <c r="CL77" i="1" s="1"/>
  <c r="AK77" i="1"/>
  <c r="R77" i="1"/>
  <c r="Q77" i="1"/>
  <c r="CM76" i="1"/>
  <c r="CK76" i="1"/>
  <c r="CJ76" i="1"/>
  <c r="CH76" i="1"/>
  <c r="CC76" i="1"/>
  <c r="BM76" i="1"/>
  <c r="BL76" i="1"/>
  <c r="BK76" i="1"/>
  <c r="CN76" i="1" s="1"/>
  <c r="AU76" i="1"/>
  <c r="CL76" i="1" s="1"/>
  <c r="AK76" i="1"/>
  <c r="R76" i="1"/>
  <c r="Q76" i="1"/>
  <c r="CM75" i="1"/>
  <c r="CK75" i="1"/>
  <c r="CJ75" i="1"/>
  <c r="CI75" i="1"/>
  <c r="CC75" i="1"/>
  <c r="BM75" i="1"/>
  <c r="BL75" i="1"/>
  <c r="BK75" i="1"/>
  <c r="CN75" i="1" s="1"/>
  <c r="AW75" i="1"/>
  <c r="AV75" i="1"/>
  <c r="AU75" i="1"/>
  <c r="CL75" i="1" s="1"/>
  <c r="AM75" i="1"/>
  <c r="AL75" i="1"/>
  <c r="AK75" i="1"/>
  <c r="R75" i="1"/>
  <c r="Q75" i="1"/>
  <c r="BX74" i="1"/>
  <c r="BM74" i="1"/>
  <c r="BL74" i="1"/>
  <c r="AK74" i="1"/>
  <c r="R74" i="1"/>
  <c r="Q74" i="1"/>
  <c r="BX73" i="1"/>
  <c r="BM73" i="1"/>
  <c r="BL73" i="1"/>
  <c r="AK73" i="1"/>
  <c r="R73" i="1"/>
  <c r="Q73" i="1"/>
  <c r="BX72" i="1"/>
  <c r="BM72" i="1"/>
  <c r="BL72" i="1"/>
  <c r="AM72" i="1"/>
  <c r="AL72" i="1"/>
  <c r="AK72" i="1"/>
  <c r="R72" i="1"/>
  <c r="Q72" i="1"/>
  <c r="BX71" i="1"/>
  <c r="BM71" i="1"/>
  <c r="BL71" i="1"/>
  <c r="AK71" i="1"/>
  <c r="R71" i="1"/>
  <c r="Q71" i="1"/>
  <c r="BX70" i="1"/>
  <c r="BM70" i="1"/>
  <c r="BL70" i="1"/>
  <c r="AK70" i="1"/>
  <c r="R70" i="1"/>
  <c r="Q70" i="1"/>
  <c r="BX69" i="1"/>
  <c r="BM69" i="1"/>
  <c r="BL69" i="1"/>
  <c r="AM69" i="1"/>
  <c r="AL69" i="1"/>
  <c r="AK69" i="1"/>
  <c r="R69" i="1"/>
  <c r="Q69" i="1"/>
  <c r="BX68" i="1"/>
  <c r="BM68" i="1"/>
  <c r="BL68" i="1"/>
  <c r="AU68" i="1"/>
  <c r="AK68" i="1"/>
  <c r="R68" i="1"/>
  <c r="Q68" i="1"/>
  <c r="BX67" i="1"/>
  <c r="BM67" i="1"/>
  <c r="BL67" i="1"/>
  <c r="AU67" i="1"/>
  <c r="AK67" i="1"/>
  <c r="R67" i="1"/>
  <c r="Q67" i="1"/>
  <c r="BX66" i="1"/>
  <c r="BM66" i="1"/>
  <c r="BL66" i="1"/>
  <c r="AU66" i="1"/>
  <c r="AK66" i="1"/>
  <c r="R66" i="1"/>
  <c r="Q66" i="1"/>
  <c r="BX65" i="1"/>
  <c r="BM65" i="1"/>
  <c r="BL65" i="1"/>
  <c r="AU65" i="1"/>
  <c r="AK65" i="1"/>
  <c r="R65" i="1"/>
  <c r="Q65" i="1"/>
  <c r="BX64" i="1"/>
  <c r="BM64" i="1"/>
  <c r="BL64" i="1"/>
  <c r="AU64" i="1"/>
  <c r="AK64" i="1"/>
  <c r="R64" i="1"/>
  <c r="Q64" i="1"/>
  <c r="BX63" i="1"/>
  <c r="BM63" i="1"/>
  <c r="BL63" i="1"/>
  <c r="AU63" i="1"/>
  <c r="AK63" i="1"/>
  <c r="R63" i="1"/>
  <c r="Q63" i="1"/>
  <c r="BX62" i="1"/>
  <c r="BM62" i="1"/>
  <c r="BL62" i="1"/>
  <c r="AW62" i="1"/>
  <c r="AV62" i="1"/>
  <c r="AU62" i="1"/>
  <c r="AM62" i="1"/>
  <c r="AL62" i="1"/>
  <c r="AK62" i="1"/>
  <c r="R62" i="1"/>
  <c r="Q62" i="1"/>
  <c r="CK61" i="1"/>
  <c r="CH61" i="1"/>
  <c r="CC61" i="1"/>
  <c r="BN61" i="1"/>
  <c r="BN254" i="1" s="1"/>
  <c r="BM61" i="1"/>
  <c r="BL61" i="1"/>
  <c r="BK61" i="1"/>
  <c r="AW61" i="1"/>
  <c r="AV61" i="1"/>
  <c r="AU61" i="1"/>
  <c r="AM61" i="1"/>
  <c r="AL61" i="1"/>
  <c r="AK61" i="1"/>
  <c r="R61" i="1"/>
  <c r="Q61" i="1"/>
  <c r="CK60" i="1"/>
  <c r="CH60" i="1"/>
  <c r="CC60" i="1"/>
  <c r="BM60" i="1"/>
  <c r="BL60" i="1"/>
  <c r="BK60" i="1"/>
  <c r="AW60" i="1"/>
  <c r="AV60" i="1"/>
  <c r="AU60" i="1"/>
  <c r="AM60" i="1"/>
  <c r="AL60" i="1"/>
  <c r="AK60" i="1"/>
  <c r="R60" i="1"/>
  <c r="Q60" i="1"/>
  <c r="CK59" i="1"/>
  <c r="CH59" i="1"/>
  <c r="CC59" i="1"/>
  <c r="BM59" i="1"/>
  <c r="BL59" i="1"/>
  <c r="BK59" i="1"/>
  <c r="AW59" i="1"/>
  <c r="AV59" i="1"/>
  <c r="AU59" i="1"/>
  <c r="AM59" i="1"/>
  <c r="AL59" i="1"/>
  <c r="AK59" i="1"/>
  <c r="R59" i="1"/>
  <c r="Q59" i="1"/>
  <c r="CK58" i="1"/>
  <c r="CH58" i="1"/>
  <c r="CC58" i="1"/>
  <c r="BM58" i="1"/>
  <c r="BL58" i="1"/>
  <c r="BK58" i="1"/>
  <c r="AW58" i="1"/>
  <c r="AV58" i="1"/>
  <c r="AU58" i="1"/>
  <c r="AM58" i="1"/>
  <c r="AL58" i="1"/>
  <c r="AK58" i="1"/>
  <c r="R58" i="1"/>
  <c r="Q58" i="1"/>
  <c r="CK57" i="1"/>
  <c r="CH57" i="1"/>
  <c r="CC57" i="1"/>
  <c r="BM57" i="1"/>
  <c r="BL57" i="1"/>
  <c r="BK57" i="1"/>
  <c r="AM57" i="1"/>
  <c r="AL57" i="1"/>
  <c r="AK57" i="1"/>
  <c r="CK56" i="1"/>
  <c r="CH56" i="1"/>
  <c r="CC56" i="1"/>
  <c r="BM56" i="1"/>
  <c r="BL56" i="1"/>
  <c r="BK56" i="1"/>
  <c r="AM56" i="1"/>
  <c r="AL56" i="1"/>
  <c r="AK56" i="1"/>
  <c r="CM55" i="1"/>
  <c r="CK55" i="1"/>
  <c r="CJ55" i="1"/>
  <c r="CI55" i="1"/>
  <c r="CC55" i="1"/>
  <c r="BM55" i="1"/>
  <c r="BL55" i="1"/>
  <c r="BK55" i="1"/>
  <c r="CN55" i="1" s="1"/>
  <c r="AW55" i="1"/>
  <c r="AV55" i="1"/>
  <c r="AU55" i="1"/>
  <c r="CL55" i="1" s="1"/>
  <c r="AM55" i="1"/>
  <c r="AL55" i="1"/>
  <c r="AK55" i="1"/>
  <c r="R55" i="1"/>
  <c r="Q55" i="1"/>
  <c r="CK54" i="1"/>
  <c r="CC54" i="1"/>
  <c r="BP54" i="1"/>
  <c r="BM54" i="1"/>
  <c r="BL54" i="1"/>
  <c r="BK54" i="1"/>
  <c r="AM54" i="1"/>
  <c r="AL54" i="1"/>
  <c r="AK54" i="1"/>
  <c r="R54" i="1"/>
  <c r="Q54" i="1"/>
  <c r="CK53" i="1"/>
  <c r="CC53" i="1"/>
  <c r="BP53" i="1"/>
  <c r="BM53" i="1"/>
  <c r="BL53" i="1"/>
  <c r="BK53" i="1"/>
  <c r="AM53" i="1"/>
  <c r="AL53" i="1"/>
  <c r="AK53" i="1"/>
  <c r="R53" i="1"/>
  <c r="Q53" i="1"/>
  <c r="CK52" i="1"/>
  <c r="CC52" i="1"/>
  <c r="BM52" i="1"/>
  <c r="BL52" i="1"/>
  <c r="BK52" i="1"/>
  <c r="AM52" i="1"/>
  <c r="AL52" i="1"/>
  <c r="AK52" i="1"/>
  <c r="R52" i="1"/>
  <c r="Q52" i="1"/>
  <c r="CK51" i="1"/>
  <c r="CC51" i="1"/>
  <c r="BM51" i="1"/>
  <c r="BL51" i="1"/>
  <c r="BK51" i="1"/>
  <c r="AM51" i="1"/>
  <c r="AL51" i="1"/>
  <c r="AK51" i="1"/>
  <c r="R51" i="1"/>
  <c r="Q51" i="1"/>
  <c r="CK50" i="1"/>
  <c r="CC50" i="1"/>
  <c r="BP50" i="1"/>
  <c r="BP254" i="1" s="1"/>
  <c r="BM50" i="1"/>
  <c r="BL50" i="1"/>
  <c r="BK50" i="1"/>
  <c r="AM50" i="1"/>
  <c r="AL50" i="1"/>
  <c r="AK50" i="1"/>
  <c r="R50" i="1"/>
  <c r="Q50" i="1"/>
  <c r="CM49" i="1"/>
  <c r="CL49" i="1"/>
  <c r="CK49" i="1"/>
  <c r="CJ49" i="1"/>
  <c r="CI49" i="1"/>
  <c r="CC49" i="1"/>
  <c r="BM49" i="1"/>
  <c r="BL49" i="1"/>
  <c r="BK49" i="1"/>
  <c r="CN49" i="1" s="1"/>
  <c r="AM49" i="1"/>
  <c r="AL49" i="1"/>
  <c r="AK49" i="1"/>
  <c r="R49" i="1"/>
  <c r="Q49" i="1"/>
  <c r="CM48" i="1"/>
  <c r="CK48" i="1"/>
  <c r="CJ48" i="1"/>
  <c r="CI48" i="1"/>
  <c r="CC48" i="1"/>
  <c r="BM48" i="1"/>
  <c r="BL48" i="1"/>
  <c r="BK48" i="1"/>
  <c r="CN48" i="1" s="1"/>
  <c r="AW48" i="1"/>
  <c r="AV48" i="1"/>
  <c r="AU48" i="1"/>
  <c r="CL48" i="1" s="1"/>
  <c r="AM48" i="1"/>
  <c r="AL48" i="1"/>
  <c r="AK48" i="1"/>
  <c r="R48" i="1"/>
  <c r="Q48" i="1"/>
  <c r="CM47" i="1"/>
  <c r="CK47" i="1"/>
  <c r="CJ47" i="1"/>
  <c r="CI47" i="1"/>
  <c r="CC47" i="1"/>
  <c r="BM47" i="1"/>
  <c r="BL47" i="1"/>
  <c r="BK47" i="1"/>
  <c r="CN47" i="1" s="1"/>
  <c r="AW47" i="1"/>
  <c r="AV47" i="1"/>
  <c r="AU47" i="1"/>
  <c r="CL47" i="1" s="1"/>
  <c r="AM47" i="1"/>
  <c r="AL47" i="1"/>
  <c r="AK47" i="1"/>
  <c r="R47" i="1"/>
  <c r="Q47" i="1"/>
  <c r="CM46" i="1"/>
  <c r="CK46" i="1"/>
  <c r="CJ46" i="1"/>
  <c r="CH46" i="1"/>
  <c r="CC46" i="1"/>
  <c r="BM46" i="1"/>
  <c r="BL46" i="1"/>
  <c r="BK46" i="1"/>
  <c r="CN46" i="1" s="1"/>
  <c r="AU46" i="1"/>
  <c r="CL46" i="1" s="1"/>
  <c r="AK46" i="1"/>
  <c r="R46" i="1"/>
  <c r="Q46" i="1"/>
  <c r="CM45" i="1"/>
  <c r="CK45" i="1"/>
  <c r="CJ45" i="1"/>
  <c r="CH45" i="1"/>
  <c r="CC45" i="1"/>
  <c r="BM45" i="1"/>
  <c r="BL45" i="1"/>
  <c r="BK45" i="1"/>
  <c r="CN45" i="1" s="1"/>
  <c r="AU45" i="1"/>
  <c r="CL45" i="1" s="1"/>
  <c r="AK45" i="1"/>
  <c r="R45" i="1"/>
  <c r="Q45" i="1"/>
  <c r="CM44" i="1"/>
  <c r="CK44" i="1"/>
  <c r="CJ44" i="1"/>
  <c r="CH44" i="1"/>
  <c r="CC44" i="1"/>
  <c r="BM44" i="1"/>
  <c r="BL44" i="1"/>
  <c r="BK44" i="1"/>
  <c r="CN44" i="1" s="1"/>
  <c r="AU44" i="1"/>
  <c r="CL44" i="1" s="1"/>
  <c r="AK44" i="1"/>
  <c r="R44" i="1"/>
  <c r="Q44" i="1"/>
  <c r="CM43" i="1"/>
  <c r="CK43" i="1"/>
  <c r="CJ43" i="1"/>
  <c r="CH43" i="1"/>
  <c r="CC43" i="1"/>
  <c r="BM43" i="1"/>
  <c r="BL43" i="1"/>
  <c r="BK43" i="1"/>
  <c r="CN43" i="1" s="1"/>
  <c r="AU43" i="1"/>
  <c r="CL43" i="1" s="1"/>
  <c r="AK43" i="1"/>
  <c r="R43" i="1"/>
  <c r="Q43" i="1"/>
  <c r="CM42" i="1"/>
  <c r="CK42" i="1"/>
  <c r="CJ42" i="1"/>
  <c r="CH42" i="1"/>
  <c r="CC42" i="1"/>
  <c r="BM42" i="1"/>
  <c r="BL42" i="1"/>
  <c r="BK42" i="1"/>
  <c r="CN42" i="1" s="1"/>
  <c r="AU42" i="1"/>
  <c r="CL42" i="1" s="1"/>
  <c r="AK42" i="1"/>
  <c r="R42" i="1"/>
  <c r="Q42" i="1"/>
  <c r="CM41" i="1"/>
  <c r="CK41" i="1"/>
  <c r="CJ41" i="1"/>
  <c r="CH41" i="1"/>
  <c r="CC41" i="1"/>
  <c r="BM41" i="1"/>
  <c r="BL41" i="1"/>
  <c r="BK41" i="1"/>
  <c r="CN41" i="1" s="1"/>
  <c r="AU41" i="1"/>
  <c r="CL41" i="1" s="1"/>
  <c r="AK41" i="1"/>
  <c r="R41" i="1"/>
  <c r="Q41" i="1"/>
  <c r="CM40" i="1"/>
  <c r="CK40" i="1"/>
  <c r="CJ40" i="1"/>
  <c r="CH40" i="1"/>
  <c r="CC40" i="1"/>
  <c r="BM40" i="1"/>
  <c r="BL40" i="1"/>
  <c r="BK40" i="1"/>
  <c r="CN40" i="1" s="1"/>
  <c r="AU40" i="1"/>
  <c r="CL40" i="1" s="1"/>
  <c r="AK40" i="1"/>
  <c r="R40" i="1"/>
  <c r="Q40" i="1"/>
  <c r="CM39" i="1"/>
  <c r="CK39" i="1"/>
  <c r="CJ39" i="1"/>
  <c r="CH39" i="1"/>
  <c r="CC39" i="1"/>
  <c r="BM39" i="1"/>
  <c r="BL39" i="1"/>
  <c r="BK39" i="1"/>
  <c r="CN39" i="1" s="1"/>
  <c r="AU39" i="1"/>
  <c r="CL39" i="1" s="1"/>
  <c r="AK39" i="1"/>
  <c r="R39" i="1"/>
  <c r="Q39" i="1"/>
  <c r="CM38" i="1"/>
  <c r="CK38" i="1"/>
  <c r="CJ38" i="1"/>
  <c r="CH38" i="1"/>
  <c r="CC38" i="1"/>
  <c r="BM38" i="1"/>
  <c r="BL38" i="1"/>
  <c r="BK38" i="1"/>
  <c r="CN38" i="1" s="1"/>
  <c r="AU38" i="1"/>
  <c r="CL38" i="1" s="1"/>
  <c r="AK38" i="1"/>
  <c r="R38" i="1"/>
  <c r="Q38" i="1"/>
  <c r="CM37" i="1"/>
  <c r="CK37" i="1"/>
  <c r="CJ37" i="1"/>
  <c r="CH37" i="1"/>
  <c r="CC37" i="1"/>
  <c r="BM37" i="1"/>
  <c r="BL37" i="1"/>
  <c r="BK37" i="1"/>
  <c r="CN37" i="1" s="1"/>
  <c r="AU37" i="1"/>
  <c r="CL37" i="1" s="1"/>
  <c r="AK37" i="1"/>
  <c r="R37" i="1"/>
  <c r="Q37" i="1"/>
  <c r="CM36" i="1"/>
  <c r="CK36" i="1"/>
  <c r="CJ36" i="1"/>
  <c r="CH36" i="1"/>
  <c r="CC36" i="1"/>
  <c r="BM36" i="1"/>
  <c r="BL36" i="1"/>
  <c r="BK36" i="1"/>
  <c r="CN36" i="1" s="1"/>
  <c r="AU36" i="1"/>
  <c r="CL36" i="1" s="1"/>
  <c r="AK36" i="1"/>
  <c r="R36" i="1"/>
  <c r="Q36" i="1"/>
  <c r="CM35" i="1"/>
  <c r="CK35" i="1"/>
  <c r="CJ35" i="1"/>
  <c r="CH35" i="1"/>
  <c r="CC35" i="1"/>
  <c r="BM35" i="1"/>
  <c r="BL35" i="1"/>
  <c r="BK35" i="1"/>
  <c r="CN35" i="1" s="1"/>
  <c r="AU35" i="1"/>
  <c r="CL35" i="1" s="1"/>
  <c r="AK35" i="1"/>
  <c r="R35" i="1"/>
  <c r="Q35" i="1"/>
  <c r="CM34" i="1"/>
  <c r="CK34" i="1"/>
  <c r="CJ34" i="1"/>
  <c r="CH34" i="1"/>
  <c r="CC34" i="1"/>
  <c r="BM34" i="1"/>
  <c r="BL34" i="1"/>
  <c r="BK34" i="1"/>
  <c r="CN34" i="1" s="1"/>
  <c r="AW34" i="1"/>
  <c r="AV34" i="1"/>
  <c r="AU34" i="1"/>
  <c r="CL34" i="1" s="1"/>
  <c r="AM34" i="1"/>
  <c r="AL34" i="1"/>
  <c r="AK34" i="1"/>
  <c r="R34" i="1"/>
  <c r="Q34" i="1"/>
  <c r="CM33" i="1"/>
  <c r="CK33" i="1"/>
  <c r="CJ33" i="1"/>
  <c r="CH33" i="1"/>
  <c r="CC33" i="1"/>
  <c r="BM33" i="1"/>
  <c r="BL33" i="1"/>
  <c r="BK33" i="1"/>
  <c r="CN33" i="1" s="1"/>
  <c r="AU33" i="1"/>
  <c r="CL33" i="1" s="1"/>
  <c r="AK33" i="1"/>
  <c r="R33" i="1"/>
  <c r="Q33" i="1"/>
  <c r="CM32" i="1"/>
  <c r="CK32" i="1"/>
  <c r="CJ32" i="1"/>
  <c r="CH32" i="1"/>
  <c r="CC32" i="1"/>
  <c r="BM32" i="1"/>
  <c r="BL32" i="1"/>
  <c r="BK32" i="1"/>
  <c r="CN32" i="1" s="1"/>
  <c r="AU32" i="1"/>
  <c r="CL32" i="1" s="1"/>
  <c r="AK32" i="1"/>
  <c r="R32" i="1"/>
  <c r="Q32" i="1"/>
  <c r="CM31" i="1"/>
  <c r="CK31" i="1"/>
  <c r="CJ31" i="1"/>
  <c r="CH31" i="1"/>
  <c r="CC31" i="1"/>
  <c r="BM31" i="1"/>
  <c r="BL31" i="1"/>
  <c r="BK31" i="1"/>
  <c r="CN31" i="1" s="1"/>
  <c r="AU31" i="1"/>
  <c r="CL31" i="1" s="1"/>
  <c r="AK31" i="1"/>
  <c r="R31" i="1"/>
  <c r="Q31" i="1"/>
  <c r="CM30" i="1"/>
  <c r="CK30" i="1"/>
  <c r="CJ30" i="1"/>
  <c r="CH30" i="1"/>
  <c r="CC30" i="1"/>
  <c r="BM30" i="1"/>
  <c r="BL30" i="1"/>
  <c r="BK30" i="1"/>
  <c r="CN30" i="1" s="1"/>
  <c r="AU30" i="1"/>
  <c r="CL30" i="1" s="1"/>
  <c r="AK30" i="1"/>
  <c r="R30" i="1"/>
  <c r="Q30" i="1"/>
  <c r="CM29" i="1"/>
  <c r="CK29" i="1"/>
  <c r="CJ29" i="1"/>
  <c r="CH29" i="1"/>
  <c r="CC29" i="1"/>
  <c r="BM29" i="1"/>
  <c r="BL29" i="1"/>
  <c r="BK29" i="1"/>
  <c r="CN29" i="1" s="1"/>
  <c r="AU29" i="1"/>
  <c r="CL29" i="1" s="1"/>
  <c r="AK29" i="1"/>
  <c r="R29" i="1"/>
  <c r="Q29" i="1"/>
  <c r="CM28" i="1"/>
  <c r="CK28" i="1"/>
  <c r="CJ28" i="1"/>
  <c r="CH28" i="1"/>
  <c r="CC28" i="1"/>
  <c r="BM28" i="1"/>
  <c r="BL28" i="1"/>
  <c r="BK28" i="1"/>
  <c r="CN28" i="1" s="1"/>
  <c r="AU28" i="1"/>
  <c r="CL28" i="1" s="1"/>
  <c r="AK28" i="1"/>
  <c r="R28" i="1"/>
  <c r="Q28" i="1"/>
  <c r="CM27" i="1"/>
  <c r="CK27" i="1"/>
  <c r="CJ27" i="1"/>
  <c r="CH27" i="1"/>
  <c r="CC27" i="1"/>
  <c r="BM27" i="1"/>
  <c r="BL27" i="1"/>
  <c r="BK27" i="1"/>
  <c r="CN27" i="1" s="1"/>
  <c r="AU27" i="1"/>
  <c r="CL27" i="1" s="1"/>
  <c r="AK27" i="1"/>
  <c r="R27" i="1"/>
  <c r="Q27" i="1"/>
  <c r="CM26" i="1"/>
  <c r="CK26" i="1"/>
  <c r="CJ26" i="1"/>
  <c r="CH26" i="1"/>
  <c r="CC26" i="1"/>
  <c r="BM26" i="1"/>
  <c r="BL26" i="1"/>
  <c r="BK26" i="1"/>
  <c r="CN26" i="1" s="1"/>
  <c r="AU26" i="1"/>
  <c r="CL26" i="1" s="1"/>
  <c r="AK26" i="1"/>
  <c r="R26" i="1"/>
  <c r="Q26" i="1"/>
  <c r="CM25" i="1"/>
  <c r="CK25" i="1"/>
  <c r="CJ25" i="1"/>
  <c r="CH25" i="1"/>
  <c r="CC25" i="1"/>
  <c r="BM25" i="1"/>
  <c r="BL25" i="1"/>
  <c r="BK25" i="1"/>
  <c r="CN25" i="1" s="1"/>
  <c r="AU25" i="1"/>
  <c r="CL25" i="1" s="1"/>
  <c r="AK25" i="1"/>
  <c r="R25" i="1"/>
  <c r="Q25" i="1"/>
  <c r="CM24" i="1"/>
  <c r="CK24" i="1"/>
  <c r="CJ24" i="1"/>
  <c r="CH24" i="1"/>
  <c r="CC24" i="1"/>
  <c r="BM24" i="1"/>
  <c r="BL24" i="1"/>
  <c r="BK24" i="1"/>
  <c r="CN24" i="1" s="1"/>
  <c r="AU24" i="1"/>
  <c r="CL24" i="1" s="1"/>
  <c r="AK24" i="1"/>
  <c r="R24" i="1"/>
  <c r="Q24" i="1"/>
  <c r="CM23" i="1"/>
  <c r="CK23" i="1"/>
  <c r="CJ23" i="1"/>
  <c r="CH23" i="1"/>
  <c r="CC23" i="1"/>
  <c r="BM23" i="1"/>
  <c r="BL23" i="1"/>
  <c r="BK23" i="1"/>
  <c r="CN23" i="1" s="1"/>
  <c r="AU23" i="1"/>
  <c r="CL23" i="1" s="1"/>
  <c r="AK23" i="1"/>
  <c r="AK254" i="1" s="1"/>
  <c r="Q23" i="1"/>
  <c r="CM22" i="1"/>
  <c r="CK22" i="1"/>
  <c r="CJ22" i="1"/>
  <c r="CH22" i="1"/>
  <c r="CC22" i="1"/>
  <c r="BM22" i="1"/>
  <c r="BL22" i="1"/>
  <c r="BK22" i="1"/>
  <c r="CN22" i="1" s="1"/>
  <c r="AU22" i="1"/>
  <c r="CL22" i="1" s="1"/>
  <c r="AK22" i="1"/>
  <c r="R22" i="1"/>
  <c r="Q22" i="1"/>
  <c r="CM21" i="1"/>
  <c r="CK21" i="1"/>
  <c r="CJ21" i="1"/>
  <c r="CH21" i="1"/>
  <c r="CC21" i="1"/>
  <c r="BM21" i="1"/>
  <c r="BL21" i="1"/>
  <c r="BK21" i="1"/>
  <c r="CN21" i="1" s="1"/>
  <c r="AW21" i="1"/>
  <c r="AV21" i="1"/>
  <c r="AU21" i="1"/>
  <c r="CL21" i="1" s="1"/>
  <c r="AM21" i="1"/>
  <c r="AL21" i="1"/>
  <c r="AK21" i="1"/>
  <c r="R21" i="1"/>
  <c r="Q21" i="1"/>
  <c r="CM20" i="1"/>
  <c r="CK20" i="1"/>
  <c r="CJ20" i="1"/>
  <c r="CH20" i="1"/>
  <c r="CC20" i="1"/>
  <c r="BM20" i="1"/>
  <c r="BL20" i="1"/>
  <c r="BK20" i="1"/>
  <c r="CN20" i="1" s="1"/>
  <c r="AU20" i="1"/>
  <c r="CL20" i="1" s="1"/>
  <c r="AK20" i="1"/>
  <c r="R20" i="1"/>
  <c r="Q20" i="1"/>
  <c r="CM19" i="1"/>
  <c r="CK19" i="1"/>
  <c r="CJ19" i="1"/>
  <c r="CH19" i="1"/>
  <c r="CC19" i="1"/>
  <c r="BM19" i="1"/>
  <c r="BL19" i="1"/>
  <c r="BK19" i="1"/>
  <c r="CN19" i="1" s="1"/>
  <c r="AU19" i="1"/>
  <c r="CL19" i="1" s="1"/>
  <c r="AK19" i="1"/>
  <c r="R19" i="1"/>
  <c r="Q19" i="1"/>
  <c r="CM18" i="1"/>
  <c r="CK18" i="1"/>
  <c r="CJ18" i="1"/>
  <c r="CH18" i="1"/>
  <c r="CC18" i="1"/>
  <c r="BM18" i="1"/>
  <c r="BL18" i="1"/>
  <c r="BK18" i="1"/>
  <c r="CN18" i="1" s="1"/>
  <c r="AU18" i="1"/>
  <c r="CL18" i="1" s="1"/>
  <c r="AK18" i="1"/>
  <c r="R18" i="1"/>
  <c r="Q18" i="1"/>
  <c r="CM17" i="1"/>
  <c r="CK17" i="1"/>
  <c r="CJ17" i="1"/>
  <c r="CH17" i="1"/>
  <c r="CC17" i="1"/>
  <c r="BM17" i="1"/>
  <c r="BL17" i="1"/>
  <c r="BK17" i="1"/>
  <c r="CN17" i="1" s="1"/>
  <c r="AU17" i="1"/>
  <c r="CL17" i="1" s="1"/>
  <c r="AK17" i="1"/>
  <c r="R17" i="1"/>
  <c r="Q17" i="1"/>
  <c r="CM16" i="1"/>
  <c r="CK16" i="1"/>
  <c r="CJ16" i="1"/>
  <c r="CH16" i="1"/>
  <c r="CC16" i="1"/>
  <c r="BM16" i="1"/>
  <c r="BL16" i="1"/>
  <c r="BK16" i="1"/>
  <c r="CN16" i="1" s="1"/>
  <c r="AU16" i="1"/>
  <c r="CL16" i="1" s="1"/>
  <c r="AK16" i="1"/>
  <c r="R16" i="1"/>
  <c r="Q16" i="1"/>
  <c r="CM15" i="1"/>
  <c r="CK15" i="1"/>
  <c r="CJ15" i="1"/>
  <c r="CH15" i="1"/>
  <c r="CC15" i="1"/>
  <c r="BM15" i="1"/>
  <c r="BL15" i="1"/>
  <c r="BK15" i="1"/>
  <c r="CN15" i="1" s="1"/>
  <c r="AU15" i="1"/>
  <c r="CL15" i="1" s="1"/>
  <c r="AK15" i="1"/>
  <c r="R15" i="1"/>
  <c r="Q15" i="1"/>
  <c r="CM14" i="1"/>
  <c r="CK14" i="1"/>
  <c r="CJ14" i="1"/>
  <c r="CH14" i="1"/>
  <c r="CC14" i="1"/>
  <c r="BM14" i="1"/>
  <c r="BL14" i="1"/>
  <c r="BK14" i="1"/>
  <c r="CN14" i="1" s="1"/>
  <c r="AU14" i="1"/>
  <c r="CL14" i="1" s="1"/>
  <c r="AK14" i="1"/>
  <c r="R14" i="1"/>
  <c r="Q14" i="1"/>
  <c r="CM13" i="1"/>
  <c r="CK13" i="1"/>
  <c r="CJ13" i="1"/>
  <c r="CH13" i="1"/>
  <c r="CC13" i="1"/>
  <c r="BM13" i="1"/>
  <c r="BL13" i="1"/>
  <c r="BK13" i="1"/>
  <c r="CN13" i="1" s="1"/>
  <c r="AU13" i="1"/>
  <c r="CL13" i="1" s="1"/>
  <c r="AK13" i="1"/>
  <c r="R13" i="1"/>
  <c r="Q13" i="1"/>
  <c r="CM12" i="1"/>
  <c r="CK12" i="1"/>
  <c r="CJ12" i="1"/>
  <c r="CH12" i="1"/>
  <c r="CC12" i="1"/>
  <c r="BM12" i="1"/>
  <c r="BL12" i="1"/>
  <c r="BK12" i="1"/>
  <c r="CN12" i="1" s="1"/>
  <c r="AU12" i="1"/>
  <c r="CL12" i="1" s="1"/>
  <c r="AK12" i="1"/>
  <c r="R12" i="1"/>
  <c r="Q12" i="1"/>
  <c r="CM11" i="1"/>
  <c r="CK11" i="1"/>
  <c r="CJ11" i="1"/>
  <c r="CH11" i="1"/>
  <c r="CC11" i="1"/>
  <c r="BM11" i="1"/>
  <c r="BL11" i="1"/>
  <c r="BK11" i="1"/>
  <c r="CN11" i="1" s="1"/>
  <c r="AU11" i="1"/>
  <c r="CL11" i="1" s="1"/>
  <c r="AK11" i="1"/>
  <c r="R11" i="1"/>
  <c r="Q11" i="1"/>
  <c r="CM10" i="1"/>
  <c r="CK10" i="1"/>
  <c r="CJ10" i="1"/>
  <c r="CH10" i="1"/>
  <c r="CC10" i="1"/>
  <c r="BM10" i="1"/>
  <c r="BL10" i="1"/>
  <c r="BK10" i="1"/>
  <c r="CN10" i="1" s="1"/>
  <c r="AU10" i="1"/>
  <c r="CL10" i="1" s="1"/>
  <c r="AK10" i="1"/>
  <c r="R10" i="1"/>
  <c r="Q10" i="1"/>
  <c r="CM9" i="1"/>
  <c r="CK9" i="1"/>
  <c r="CJ9" i="1"/>
  <c r="CH9" i="1"/>
  <c r="CC9" i="1"/>
  <c r="BM9" i="1"/>
  <c r="BL9" i="1"/>
  <c r="BK9" i="1"/>
  <c r="CN9" i="1" s="1"/>
  <c r="AU9" i="1"/>
  <c r="CL9" i="1" s="1"/>
  <c r="AK9" i="1"/>
  <c r="R9" i="1"/>
  <c r="Q9" i="1"/>
  <c r="CM8" i="1"/>
  <c r="CK8" i="1"/>
  <c r="CJ8" i="1"/>
  <c r="CI8" i="1"/>
  <c r="CC8" i="1"/>
  <c r="BM8" i="1"/>
  <c r="BL8" i="1"/>
  <c r="BK8" i="1"/>
  <c r="CN8" i="1" s="1"/>
  <c r="AW8" i="1"/>
  <c r="AV8" i="1"/>
  <c r="AU8" i="1"/>
  <c r="CL8" i="1" s="1"/>
  <c r="AM8" i="1"/>
  <c r="AM254" i="1" s="1"/>
  <c r="AL8" i="1"/>
  <c r="AL254" i="1" s="1"/>
  <c r="AK8" i="1"/>
  <c r="R8" i="1"/>
  <c r="Q8" i="1"/>
  <c r="CM7" i="1"/>
  <c r="CK7" i="1"/>
  <c r="CJ7" i="1"/>
  <c r="CI7" i="1"/>
  <c r="CH7" i="1"/>
  <c r="CC7" i="1"/>
  <c r="BM7" i="1"/>
  <c r="BL7" i="1"/>
  <c r="BK7" i="1"/>
  <c r="CN7" i="1" s="1"/>
  <c r="BA7" i="1"/>
  <c r="BD7" i="1" s="1"/>
  <c r="AR7" i="1"/>
  <c r="AU7" i="1" s="1"/>
  <c r="CL7" i="1" s="1"/>
  <c r="AK7" i="1"/>
  <c r="R7" i="1"/>
  <c r="Q7" i="1"/>
  <c r="CM6" i="1"/>
  <c r="CK6" i="1"/>
  <c r="CJ6" i="1"/>
  <c r="CI6" i="1"/>
  <c r="CH6" i="1"/>
  <c r="CC6" i="1"/>
  <c r="BM6" i="1"/>
  <c r="BL6" i="1"/>
  <c r="BK6" i="1"/>
  <c r="CN6" i="1" s="1"/>
  <c r="BA6" i="1"/>
  <c r="BD6" i="1" s="1"/>
  <c r="AR6" i="1"/>
  <c r="AU6" i="1" s="1"/>
  <c r="CL6" i="1" s="1"/>
  <c r="AK6" i="1"/>
  <c r="R6" i="1"/>
  <c r="Q6" i="1"/>
  <c r="CM5" i="1"/>
  <c r="CK5" i="1"/>
  <c r="CJ5" i="1"/>
  <c r="CI5" i="1"/>
  <c r="CH5" i="1"/>
  <c r="CC5" i="1"/>
  <c r="BM5" i="1"/>
  <c r="BL5" i="1"/>
  <c r="BK5" i="1"/>
  <c r="CN5" i="1" s="1"/>
  <c r="BA5" i="1"/>
  <c r="BD5" i="1" s="1"/>
  <c r="AR5" i="1"/>
  <c r="AU5" i="1" s="1"/>
  <c r="CL5" i="1" s="1"/>
  <c r="AK5" i="1"/>
  <c r="R5" i="1"/>
  <c r="Q5" i="1"/>
  <c r="CM4" i="1"/>
  <c r="CK4" i="1"/>
  <c r="CJ4" i="1"/>
  <c r="CI4" i="1"/>
  <c r="CI254" i="1" s="1"/>
  <c r="CC4" i="1"/>
  <c r="BM4" i="1"/>
  <c r="BL4" i="1"/>
  <c r="BK4" i="1"/>
  <c r="CN4" i="1" s="1"/>
  <c r="BD4" i="1"/>
  <c r="BD254" i="1" s="1"/>
  <c r="AW4" i="1"/>
  <c r="AW254" i="1" s="1"/>
  <c r="AV4" i="1"/>
  <c r="AV254" i="1" s="1"/>
  <c r="AU4" i="1"/>
  <c r="CL4" i="1" s="1"/>
  <c r="AK4" i="1"/>
  <c r="R4" i="1"/>
  <c r="Q4" i="1"/>
  <c r="CK3" i="1"/>
  <c r="CK254" i="1" s="1"/>
  <c r="CJ3" i="1"/>
  <c r="CJ254" i="1" s="1"/>
  <c r="CH3" i="1"/>
  <c r="CH254" i="1" s="1"/>
  <c r="CC3" i="1"/>
  <c r="CC254" i="1" s="1"/>
  <c r="BT3" i="1"/>
  <c r="BQ3" i="1"/>
  <c r="BM3" i="1"/>
  <c r="BM254" i="1" s="1"/>
  <c r="BL3" i="1"/>
  <c r="BL254" i="1" s="1"/>
  <c r="BK3" i="1"/>
  <c r="AX3" i="1"/>
  <c r="AU3" i="1"/>
  <c r="AO3" i="1"/>
  <c r="AO254" i="1" s="1"/>
  <c r="AK3" i="1"/>
  <c r="AK1048576" i="1" s="1"/>
  <c r="R3" i="1"/>
  <c r="Q3" i="1"/>
  <c r="CL3" i="1" l="1"/>
  <c r="CL254" i="1" s="1"/>
  <c r="AU254" i="1"/>
  <c r="CM3" i="1"/>
  <c r="CM254" i="1" s="1"/>
  <c r="AX254" i="1"/>
  <c r="CN3" i="1"/>
  <c r="CN254" i="1" s="1"/>
  <c r="BK2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tc={37E6DE4E-EEB0-4A4D-A17E-BCC8EE264A59}</author>
    <author>tc={98ED3DD4-CE7E-4DD5-95AC-04EEFEBC697A}</author>
    <author>tc={C7A4D08C-7D21-4763-8565-93EFE311074A}</author>
    <author>tc={3F570D2A-032A-4194-A184-4010F2DDC380}</author>
    <author>tc={5B70D898-D564-4ADC-A0E6-DFE569DD8A32}</author>
    <author>tc={B1C4A2BC-9E9A-4D5B-B19B-1524EC19B02F}</author>
    <author>tc={9A50D6A8-2216-4046-8656-7C1EDC284CAB}</author>
    <author>tc={79B62659-EA71-4E59-B085-B4613B86174E}</author>
    <author>tc={326D7174-DB8A-4D63-81A1-4D333D99B331}</author>
    <author>tc={5420EA0E-06DD-4A8E-85B2-6DB4F83944F7}</author>
    <author>tc={0645B279-0A4B-46A8-9961-BE35A6E9A88E}</author>
    <author>tc={30EBAAA1-FA6E-4032-ADCB-9D936531F3D2}</author>
    <author>tc={B4823834-D86F-42F0-8557-9D30A6C9F378}</author>
    <author>tc={05CA107E-B2D2-4BA0-8070-05851197C012}</author>
    <author>tc={140B0C01-63BC-4936-BA04-32535B77603B}</author>
    <author>tc={CE9E0013-7814-4C1E-9BB0-6E3DDE8E2ABC}</author>
    <author>tc={3B73BDBA-1096-489F-A03D-2653C801AC8F}</author>
    <author>tc={4DCF8C7C-A6EF-4399-A510-BE30DAB96925}</author>
    <author>tc={2DD2F63F-E7D4-4F14-A4F1-CF3C0DFD3569}</author>
    <author>tc={77FAE10C-500A-4836-AE84-B91E1FA03CCD}</author>
    <author>tc={A54C3F43-56F3-42CF-9AB3-FA669B02C460}</author>
    <author>tc={15727CCE-CC4A-4184-8343-217E8D844E84}</author>
    <author>tc={ACE676C0-DD09-4EC7-BA0D-526B3C8785F2}</author>
  </authors>
  <commentList>
    <comment ref="O1" authorId="0" shapeId="0" xr:uid="{37E6DE4E-EEB0-4A4D-A17E-BCC8EE264A59}">
      <text>
        <t>[Threaded comment]
Your version of Excel allows you to read this threaded comment; however, any edits to it will get removed if the file is opened in a newer version of Excel. Learn more: https://go.microsoft.com/fwlink/?linkid=870924
Comment:
    https://cdn-links.lww.com/permalink/ede/b/ede_2019_01_31_deen_ede18-0313r2_sdc1.pdf
etable 2</t>
      </text>
    </comment>
    <comment ref="L23" authorId="1" shapeId="0" xr:uid="{98ED3DD4-CE7E-4DD5-95AC-04EEFEBC697A}">
      <text>
        <t>[Threaded comment]
Your version of Excel allows you to read this threaded comment; however, any edits to it will get removed if the file is opened in a newer version of Excel. Learn more: https://go.microsoft.com/fwlink/?linkid=870924
Comment:
    50% in the first year and a further 5% each year thereafter</t>
      </text>
    </comment>
    <comment ref="M23" authorId="2" shapeId="0" xr:uid="{C7A4D08C-7D21-4763-8565-93EFE311074A}">
      <text>
        <t>[Threaded comment]
Your version of Excel allows you to read this threaded comment; however, any edits to it will get removed if the file is opened in a newer version of Excel. Learn more: https://go.microsoft.com/fwlink/?linkid=870924
Comment:
    van der Deen 2018</t>
      </text>
    </comment>
    <comment ref="O23" authorId="3" shapeId="0" xr:uid="{3F570D2A-032A-4194-A184-4010F2DDC380}">
      <text>
        <t>[Threaded comment]
Your version of Excel allows you to read this threaded comment; however, any edits to it will get removed if the file is opened in a newer version of Excel. Learn more: https://go.microsoft.com/fwlink/?linkid=870924
Comment:
    0% uptake as a result of tobacco free generation</t>
      </text>
    </comment>
    <comment ref="L47" authorId="4" shapeId="0" xr:uid="{5B70D898-D564-4ADC-A0E6-DFE569DD8A32}">
      <text>
        <t>[Threaded comment]
Your version of Excel allows you to read this threaded comment; however, any edits to it will get removed if the file is opened in a newer version of Excel. Learn more: https://go.microsoft.com/fwlink/?linkid=870924
Comment:
    NZ tobacco outlets (n=5008)
Eliminating within 1km of schools: 641 remaining outlets 
Eliminating within 2km of schools: 260 remaining outlets
https://tobaccocontrol.bmj.com/content/tobaccocontrol/24/e1/e32.full.pdf
Reply:
    See supplementary material</t>
      </text>
    </comment>
    <comment ref="M47" authorId="5" shapeId="0" xr:uid="{B1C4A2BC-9E9A-4D5B-B19B-1524EC19B02F}">
      <text>
        <t>[Threaded comment]
Your version of Excel allows you to read this threaded comment; however, any edits to it will get removed if the file is opened in a newer version of Excel. Learn more: https://go.microsoft.com/fwlink/?linkid=870924
Comment:
    Māori age 20+ years smoking prevalence is 31.8%, falling to 28.7% under BAU by 2025.
For non-Māori, the smoking prevalence is 11.8% in 2022, falling to 10.8% in 2025 under BAU
Reply:
    Maori percentage 17.8%. Smoking prevalence in population is 14%</t>
      </text>
    </comment>
    <comment ref="J55" authorId="6" shapeId="0" xr:uid="{9A50D6A8-2216-4046-8656-7C1EDC284CAB}">
      <text>
        <t>[Threaded comment]
Your version of Excel allows you to read this threaded comment; however, any edits to it will get removed if the file is opened in a newer version of Excel. Learn more: https://go.microsoft.com/fwlink/?linkid=870924
Comment:
    No data on smoking prevalence</t>
      </text>
    </comment>
    <comment ref="L115" authorId="7" shapeId="0" xr:uid="{79B62659-EA71-4E59-B085-B4613B86174E}">
      <text>
        <t>[Threaded comment]
Your version of Excel allows you to read this threaded comment; however, any edits to it will get removed if the file is opened in a newer version of Excel. Learn more: https://go.microsoft.com/fwlink/?linkid=870924
Comment:
    50% of liquor stores (n = 386 stores nationwide in NZ)
https://tobaccocontrol.bmj.com/content/tobaccocontrol/26/5/579.full.pdf</t>
      </text>
    </comment>
    <comment ref="M115" authorId="8" shapeId="0" xr:uid="{326D7174-DB8A-4D63-81A1-4D333D99B331}">
      <text>
        <t>[Threaded comment]
Your version of Excel allows you to read this threaded comment; however, any edits to it will get removed if the file is opened in a newer version of Excel. Learn more: https://go.microsoft.com/fwlink/?linkid=870924
Comment:
    Tobacco retail outlet supplementary</t>
      </text>
    </comment>
    <comment ref="L118" authorId="9" shapeId="0" xr:uid="{5420EA0E-06DD-4A8E-85B2-6DB4F83944F7}">
      <text>
        <t>[Threaded comment]
Your version of Excel allows you to read this threaded comment; however, any edits to it will get removed if the file is opened in a newer version of Excel. Learn more: https://go.microsoft.com/fwlink/?linkid=870924
Comment:
    1082 community pharmacy addresses
tobacco retail outlets (n=5979)
https://tobaccocontrol.bmj.com/content/tobaccocontrol/28/6/643.full.pdf</t>
      </text>
    </comment>
    <comment ref="M118" authorId="10" shapeId="0" xr:uid="{0645B279-0A4B-46A8-9961-BE35A6E9A88E}">
      <text>
        <t>[Threaded comment]
Your version of Excel allows you to read this threaded comment; however, any edits to it will get removed if the file is opened in a newer version of Excel. Learn more: https://go.microsoft.com/fwlink/?linkid=870924
Comment:
    https://tobaccocontrol.bmj.com/content/tobaccocontrol/28/6/643.full.pdf?casa_token=lngtmw-M_8QAAAAA:Zc34ir1TUi1IPrdEUizo_1QUuQUGcLhjMLo4yh2B3DXvJu_hXadfvEFxLBOnIjJrMNfW72KIyQvC</t>
      </text>
    </comment>
    <comment ref="L119" authorId="11" shapeId="0" xr:uid="{30EBAAA1-FA6E-4032-ADCB-9D936531F3D2}">
      <text>
        <t>[Threaded comment]
Your version of Excel allows you to read this threaded comment; however, any edits to it will get removed if the file is opened in a newer version of Excel. Learn more: https://go.microsoft.com/fwlink/?linkid=870924
Comment:
    1082 community pharmacy addresses
tobacco retail outlets (n=5979)
https://tobaccocontrol.bmj.com/content/tobaccocontrol/28/6/643.full.pdf</t>
      </text>
    </comment>
    <comment ref="M140" authorId="12" shapeId="0" xr:uid="{B4823834-D86F-42F0-8557-9D30A6C9F378}">
      <text>
        <t>[Threaded comment]
Your version of Excel allows you to read this threaded comment; however, any edits to it will get removed if the file is opened in a newer version of Excel. Learn more: https://go.microsoft.com/fwlink/?linkid=870924
Comment:
    van der Deen, 2018</t>
      </text>
    </comment>
    <comment ref="M179" authorId="13" shapeId="0" xr:uid="{05CA107E-B2D2-4BA0-8070-05851197C012}">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0" authorId="14" shapeId="0" xr:uid="{140B0C01-63BC-4936-BA04-32535B77603B}">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1" authorId="15" shapeId="0" xr:uid="{CE9E0013-7814-4C1E-9BB0-6E3DDE8E2ABC}">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2" authorId="16" shapeId="0" xr:uid="{3B73BDBA-1096-489F-A03D-2653C801AC8F}">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3" authorId="17" shapeId="0" xr:uid="{4DCF8C7C-A6EF-4399-A510-BE30DAB96925}">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5" authorId="18" shapeId="0" xr:uid="{2DD2F63F-E7D4-4F14-A4F1-CF3C0DFD3569}">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6" authorId="19" shapeId="0" xr:uid="{77FAE10C-500A-4836-AE84-B91E1FA03CCD}">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7" authorId="20" shapeId="0" xr:uid="{A54C3F43-56F3-42CF-9AB3-FA669B02C460}">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8" authorId="21" shapeId="0" xr:uid="{15727CCE-CC4A-4184-8343-217E8D844E84}">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 ref="M189" authorId="22" shapeId="0" xr:uid="{ACE676C0-DD09-4EC7-BA0D-526B3C8785F2}">
      <text>
        <t xml:space="preserve">[Threaded comment]
Your version of Excel allows you to read this threaded comment; however, any edits to it will get removed if the file is opened in a newer version of Excel. Learn more: https://go.microsoft.com/fwlink/?linkid=870924
Comment:
    file:///C:/Users/ngjun/Downloads/tobaccocontrol-2018-May-27-3-278-inline-supplementary-material-1.pdf
Tobacco control 2018 Supplementary
</t>
      </text>
    </comment>
  </commentList>
</comments>
</file>

<file path=xl/sharedStrings.xml><?xml version="1.0" encoding="utf-8"?>
<sst xmlns="http://schemas.openxmlformats.org/spreadsheetml/2006/main" count="4662" uniqueCount="440">
  <si>
    <t>Domain A Table</t>
  </si>
  <si>
    <t>Domain A</t>
  </si>
  <si>
    <t>Domain B (Type of disease)</t>
  </si>
  <si>
    <t>Domain C (Intervention type)</t>
  </si>
  <si>
    <t>Domain D (Clinical intention)</t>
  </si>
  <si>
    <t>Keywords</t>
  </si>
  <si>
    <t>Country that study was conducted in</t>
  </si>
  <si>
    <t>Study base-year</t>
  </si>
  <si>
    <t>Mother intervention</t>
  </si>
  <si>
    <t>Intervention descriptor (data entry)</t>
  </si>
  <si>
    <t>Tax Increase/%</t>
  </si>
  <si>
    <t>Outlet Reduction/%</t>
  </si>
  <si>
    <t>Drop in Smoking Prevalence in 2025 (Intervention vs BAU)/%</t>
  </si>
  <si>
    <t>Decrease in Tobacco Supply/%</t>
  </si>
  <si>
    <t>Smoking Uptake in 2025/%</t>
  </si>
  <si>
    <t>Heterogeneity variant</t>
  </si>
  <si>
    <t>Intervention title for table</t>
  </si>
  <si>
    <t>Intervention title for graph</t>
  </si>
  <si>
    <t>Age</t>
  </si>
  <si>
    <t>Gender</t>
  </si>
  <si>
    <t>Ethnicity</t>
  </si>
  <si>
    <t>Duration and frequency of intervention</t>
  </si>
  <si>
    <t>Transition Term</t>
  </si>
  <si>
    <t>Duration in Years</t>
  </si>
  <si>
    <t xml:space="preserve">Comparator </t>
  </si>
  <si>
    <t>Target population</t>
  </si>
  <si>
    <t xml:space="preserve">Time Horizon </t>
  </si>
  <si>
    <t xml:space="preserve">Perspective </t>
  </si>
  <si>
    <t>Discount rate</t>
  </si>
  <si>
    <t>Type of outcome</t>
  </si>
  <si>
    <t>Strength of evidence for effectiveness of intervention</t>
  </si>
  <si>
    <t xml:space="preserve">Heterogeneity alert </t>
  </si>
  <si>
    <t>QALYs gained total population</t>
  </si>
  <si>
    <t>QALYs gained total population 95% UI LL</t>
  </si>
  <si>
    <t>QALYs gained total population 95% UI UL</t>
  </si>
  <si>
    <t>Denominator count for total population</t>
  </si>
  <si>
    <t>QALYs gained per 1000 total population</t>
  </si>
  <si>
    <t xml:space="preserve">QALYs per 1000 total population 95% UI LL   </t>
  </si>
  <si>
    <t xml:space="preserve">QALYs per 1000 tota population 95% UI UL   </t>
  </si>
  <si>
    <t>Denominator count for target population</t>
  </si>
  <si>
    <t>QALYs gained per capita of target population</t>
  </si>
  <si>
    <t xml:space="preserve">QALYs per capita target population 95% UI LL   </t>
  </si>
  <si>
    <t xml:space="preserve">QALYs per capita target population 95% UI UL   </t>
  </si>
  <si>
    <t>Net health system costs  total population</t>
  </si>
  <si>
    <t xml:space="preserve">Net health system costs total population 95% UI LL </t>
  </si>
  <si>
    <t xml:space="preserve">Net health system costs  total population 95% UI UL </t>
  </si>
  <si>
    <t>Net health system costs (NZ$) per 1000 total population</t>
  </si>
  <si>
    <t xml:space="preserve">Net health system costs per 1000 total population 95% UI LL </t>
  </si>
  <si>
    <t xml:space="preserve">Net health system costs per 1000 total population 95% UI UL </t>
  </si>
  <si>
    <t>Net health system costs (NZ$) per capita of target population</t>
  </si>
  <si>
    <t xml:space="preserve">Net health system costs per capita target population 95% UI LL </t>
  </si>
  <si>
    <t xml:space="preserve">Net health system costs per capita target population 95% UI UL </t>
  </si>
  <si>
    <t>Intervention costs  total population</t>
  </si>
  <si>
    <t xml:space="preserve">Intervention costs total population 95% UI LL </t>
  </si>
  <si>
    <t xml:space="preserve">Intervention costs total population 95% UI UL </t>
  </si>
  <si>
    <t>Intervention costs per 1000 total population</t>
  </si>
  <si>
    <t xml:space="preserve">Intervention costs per 1000 total population 95% UI LL </t>
  </si>
  <si>
    <t xml:space="preserve">Intervention costs per 1000 total population 95% UI UL </t>
  </si>
  <si>
    <t>Intervention costs per capita target population</t>
  </si>
  <si>
    <t xml:space="preserve">Intervention costs per capita target population 95% UI LL </t>
  </si>
  <si>
    <t xml:space="preserve">Intervention costs per capita target population 95% UI UL </t>
  </si>
  <si>
    <t>ICER present Y/N</t>
  </si>
  <si>
    <t>ICER</t>
  </si>
  <si>
    <t xml:space="preserve">ICER 95% UI LL </t>
  </si>
  <si>
    <t xml:space="preserve">ICER 95% UI UL </t>
  </si>
  <si>
    <t>ICER total population</t>
  </si>
  <si>
    <t xml:space="preserve">ICER total population 95% UI LL </t>
  </si>
  <si>
    <t xml:space="preserve">ICER total population 95% UI UL </t>
  </si>
  <si>
    <t>ICER target population</t>
  </si>
  <si>
    <t xml:space="preserve">ICER target population 95% UI LL </t>
  </si>
  <si>
    <t xml:space="preserve">ICER target population 95% UI UL </t>
  </si>
  <si>
    <t>ICER pc total population</t>
  </si>
  <si>
    <t xml:space="preserve">ICER pc total population 95% UI LL </t>
  </si>
  <si>
    <t xml:space="preserve">ICER pc total population 95% UI UL </t>
  </si>
  <si>
    <t>For more information</t>
  </si>
  <si>
    <t>Old table</t>
  </si>
  <si>
    <t>Old graph</t>
  </si>
  <si>
    <t>year of publication</t>
  </si>
  <si>
    <t>Type</t>
  </si>
  <si>
    <t>#ACE</t>
  </si>
  <si>
    <t>Number of caracters in "old intervention descriptor"</t>
  </si>
  <si>
    <t>Authors</t>
  </si>
  <si>
    <t>Citation</t>
  </si>
  <si>
    <t>Comments</t>
  </si>
  <si>
    <t>Degree of targetting</t>
  </si>
  <si>
    <t>Duration</t>
  </si>
  <si>
    <t>Time Horizon</t>
  </si>
  <si>
    <t>ACE Report</t>
  </si>
  <si>
    <t>Eligible for paper</t>
  </si>
  <si>
    <t>$US 2016 total cost per 1000</t>
  </si>
  <si>
    <t>$US 2016 per capita cost</t>
  </si>
  <si>
    <t>$US 2016 ICER</t>
  </si>
  <si>
    <t>domain_a_tab</t>
  </si>
  <si>
    <t>domain_a</t>
  </si>
  <si>
    <t>domain_b</t>
  </si>
  <si>
    <t>domain_c</t>
  </si>
  <si>
    <t>domain_d</t>
  </si>
  <si>
    <t>keywords</t>
  </si>
  <si>
    <t>country</t>
  </si>
  <si>
    <t>base_year</t>
  </si>
  <si>
    <t>intervention_main</t>
  </si>
  <si>
    <t>Intervention_descriptor</t>
  </si>
  <si>
    <t>tax_increase</t>
  </si>
  <si>
    <t>outlet_reduction</t>
  </si>
  <si>
    <t>dec_smoking_prevalence</t>
  </si>
  <si>
    <t>dec_tobacco_supply</t>
  </si>
  <si>
    <t>dec_smoking_uptake</t>
  </si>
  <si>
    <t>het_main</t>
  </si>
  <si>
    <t>intervention_tab</t>
  </si>
  <si>
    <t>intervention_plot</t>
  </si>
  <si>
    <t>age</t>
  </si>
  <si>
    <t>gender</t>
  </si>
  <si>
    <t>ethnicity</t>
  </si>
  <si>
    <t>dur_and_freq</t>
  </si>
  <si>
    <t>transition_term</t>
  </si>
  <si>
    <t>duration</t>
  </si>
  <si>
    <t>comparator</t>
  </si>
  <si>
    <t>target_pop</t>
  </si>
  <si>
    <t>time_horizon</t>
  </si>
  <si>
    <t>perspective</t>
  </si>
  <si>
    <t>discount_rate</t>
  </si>
  <si>
    <t>outcome_type</t>
  </si>
  <si>
    <t>evidence_strength</t>
  </si>
  <si>
    <t>heterogeneity</t>
  </si>
  <si>
    <t>qalys_tot</t>
  </si>
  <si>
    <t>qalys_tot_low</t>
  </si>
  <si>
    <t>qalys_tot_upp</t>
  </si>
  <si>
    <t>denom_tot</t>
  </si>
  <si>
    <t>qalys_pc</t>
  </si>
  <si>
    <t>qalys_pc_low</t>
  </si>
  <si>
    <t>qalys_pc_upp</t>
  </si>
  <si>
    <t>denom_targ</t>
  </si>
  <si>
    <t>qalys_tar</t>
  </si>
  <si>
    <t>qalys_tar_low</t>
  </si>
  <si>
    <t>qalys_tar_upp</t>
  </si>
  <si>
    <t>hs_costs_tot</t>
  </si>
  <si>
    <t>hs_costs_tot_low</t>
  </si>
  <si>
    <t>hs_costs_tot_upp</t>
  </si>
  <si>
    <t>hs_costs_pc</t>
  </si>
  <si>
    <t>hs_costs_pc_low</t>
  </si>
  <si>
    <t>hs_costs_pc_upp</t>
  </si>
  <si>
    <t>hs_costs_tar</t>
  </si>
  <si>
    <t>hs_costs_tar_low</t>
  </si>
  <si>
    <t>hs_costs_tar_upp</t>
  </si>
  <si>
    <t>int_costs_tot</t>
  </si>
  <si>
    <t>int_costs_tot_low</t>
  </si>
  <si>
    <t>int_costs_tot_upp</t>
  </si>
  <si>
    <t>int_costs_pc</t>
  </si>
  <si>
    <t>int_costs_pc_low</t>
  </si>
  <si>
    <t>int_costs_pc_upp</t>
  </si>
  <si>
    <t>int_costs_tar</t>
  </si>
  <si>
    <t>int_costs_tar_low</t>
  </si>
  <si>
    <t>int_costs_tar_upp</t>
  </si>
  <si>
    <t>icer_ind</t>
  </si>
  <si>
    <t>icer</t>
  </si>
  <si>
    <t>icer_low</t>
  </si>
  <si>
    <t>icer_upp</t>
  </si>
  <si>
    <t>icer_tot</t>
  </si>
  <si>
    <t>icer_tot_low</t>
  </si>
  <si>
    <t>icer_tot_upp</t>
  </si>
  <si>
    <t>icer_tar</t>
  </si>
  <si>
    <t>icer_tar_low</t>
  </si>
  <si>
    <t>icer_tar_upp</t>
  </si>
  <si>
    <t>icer_pc</t>
  </si>
  <si>
    <t>icer_pc_low</t>
  </si>
  <si>
    <t>icer_pc_upp</t>
  </si>
  <si>
    <t>links</t>
  </si>
  <si>
    <t>year_pub</t>
  </si>
  <si>
    <t>Popn=1; partial = 2 [includes screening with age group; less than 25% popn eligible]; targeted = 3 [must be a treatment for diagnosed case]</t>
  </si>
  <si>
    <t>1=one-off; 2= 2-4 yrs; 3=5-19 yrs; 4=20 yrs to persistent; 5 = persistent</t>
  </si>
  <si>
    <t>Tobacco</t>
  </si>
  <si>
    <t>Mass media campaign</t>
  </si>
  <si>
    <t xml:space="preserve">Prevention </t>
  </si>
  <si>
    <t>AUS</t>
  </si>
  <si>
    <t>Australian National Tobacco Campaign starting 1997, an 'intensive' mass media campaign</t>
  </si>
  <si>
    <t>Main</t>
  </si>
  <si>
    <t>6 months</t>
  </si>
  <si>
    <t>Not stated</t>
  </si>
  <si>
    <t>Australian population; smokers</t>
  </si>
  <si>
    <t>Lifetime</t>
  </si>
  <si>
    <t>Health system</t>
  </si>
  <si>
    <t>qaly</t>
  </si>
  <si>
    <t>Y</t>
  </si>
  <si>
    <t>Cost-saving</t>
  </si>
  <si>
    <t>http://tobaccocontrol.bmj.com/content/17/6/379</t>
  </si>
  <si>
    <t>C</t>
  </si>
  <si>
    <t>Hurley &amp; Matthews</t>
  </si>
  <si>
    <t>Telephone counselling</t>
  </si>
  <si>
    <t>Prevention</t>
  </si>
  <si>
    <t xml:space="preserve">Call-back counselling offered to callers to the Quitline or through  GP referrals; 2 counselling sessions + 7 calls during quitting stage </t>
  </si>
  <si>
    <t>Current practice</t>
  </si>
  <si>
    <t>Australian population; WA; NT and QLD smokers aged 35+ yrs</t>
  </si>
  <si>
    <t>Health Sector</t>
  </si>
  <si>
    <t>daly</t>
  </si>
  <si>
    <t>https://tobaccocontrol.bmj.com/content/early/2013/06/07/tobaccocontrol-2012-050907</t>
  </si>
  <si>
    <t>B</t>
  </si>
  <si>
    <t>Lal, Mihalopoulos, Wallace &amp; Vos</t>
  </si>
  <si>
    <t>Pharmacological</t>
  </si>
  <si>
    <t>Cessation aid: bupropion</t>
  </si>
  <si>
    <t>Persistent</t>
  </si>
  <si>
    <t>https://public-health.uq.edu.au/research/centres/past-centres/assessing-cost-effectiveness-ace-prevention-study</t>
  </si>
  <si>
    <t>A</t>
  </si>
  <si>
    <t>Vos, Carter, Barendregt, Mihalopoulos, Veerman, Magnus, Cobiac, Bertram, Wallace &amp; ACE-Prevention Team</t>
  </si>
  <si>
    <t>Cessation aid: nicotine replacement therapy</t>
  </si>
  <si>
    <t>Cessation aid: varenicline</t>
  </si>
  <si>
    <t>NZ</t>
  </si>
  <si>
    <t>Combined tobacco endgame strategy (tobacco-free generation + tobacco tax increases + substantive outlet reduction strategy)</t>
  </si>
  <si>
    <t>14 year transition, then persistent</t>
  </si>
  <si>
    <t>Business-as-usual</t>
  </si>
  <si>
    <t>NZ population in 2011</t>
  </si>
  <si>
    <t xml:space="preserve">Health system </t>
  </si>
  <si>
    <t>https://www.ncbi.nlm.nih.gov/pubmed/28647728</t>
  </si>
  <si>
    <t>Combined tobacco endgame strategy</t>
  </si>
  <si>
    <t>van der Deen, Wilson, Cleghorn, Kvizhinadze, Cobiac, Nghiem, Blakely</t>
  </si>
  <si>
    <r>
      <t>van der Deen FS, Wilson N, Cleghorn C, Kvizhinadze G, Cobiac L, Nghiem N, Blakely T. Impact of five tobacco endgame strategies on future smoking prevalence, population health and health system costs: two modelling studies to inform the tobacco endgame. Tob Control 2017;</t>
    </r>
    <r>
      <rPr>
        <sz val="11"/>
        <color rgb="FF000000"/>
        <rFont val="Calibri"/>
        <family val="2"/>
        <scheme val="minor"/>
      </rPr>
      <t>27</t>
    </r>
    <r>
      <rPr>
        <sz val="11"/>
        <color rgb="FF000000"/>
        <rFont val="Aptos Narrow"/>
        <family val="2"/>
        <scheme val="minor"/>
      </rPr>
      <t>(3):http://dx.doi.org/10.1136/tobaccocontrol-2016-053585.</t>
    </r>
  </si>
  <si>
    <t>Het</t>
  </si>
  <si>
    <t>in men</t>
  </si>
  <si>
    <t xml:space="preserve">in men age 0-14 yrs </t>
  </si>
  <si>
    <t xml:space="preserve">in men age 15-24 yrs </t>
  </si>
  <si>
    <t xml:space="preserve">in men age 25-44 yrs </t>
  </si>
  <si>
    <t xml:space="preserve">in men age 45-64 yrs </t>
  </si>
  <si>
    <t xml:space="preserve">in men age 65+ yrs </t>
  </si>
  <si>
    <t>in women</t>
  </si>
  <si>
    <t>in women age 0-14 yrs</t>
  </si>
  <si>
    <t xml:space="preserve">in women age 15-24 yrs </t>
  </si>
  <si>
    <t>in women age 25-44 yrs</t>
  </si>
  <si>
    <t>in women age 45-64 yrs</t>
  </si>
  <si>
    <t xml:space="preserve">in women age 65+ yrs </t>
  </si>
  <si>
    <t>in non-Māori</t>
  </si>
  <si>
    <t xml:space="preserve">in non-Māori men </t>
  </si>
  <si>
    <t>10</t>
  </si>
  <si>
    <t>90</t>
  </si>
  <si>
    <t>7</t>
  </si>
  <si>
    <t>0</t>
  </si>
  <si>
    <t>0-14</t>
  </si>
  <si>
    <t>Male</t>
  </si>
  <si>
    <t>non-Māori</t>
  </si>
  <si>
    <t>in non-Māori men age 0-14 yrs</t>
  </si>
  <si>
    <r>
      <rPr>
        <sz val="11"/>
        <color rgb="FF000000"/>
        <rFont val="Aptos Narrow"/>
        <scheme val="minor"/>
      </rPr>
      <t>van der Deen FS, Wilson N, Cleghorn C, Kvizhinadze G, Cobiac L, Nghiem N, Blakely T. Impact of five tobacco endgame strategies on future smoking prevalence, population health and health system costs: two modelling studies to inform the tobacco endgame. Tob Control 2017;</t>
    </r>
    <r>
      <rPr>
        <sz val="11"/>
        <color rgb="FF000000"/>
        <rFont val="Aptos Narrow"/>
        <scheme val="minor"/>
      </rPr>
      <t>27</t>
    </r>
    <r>
      <rPr>
        <sz val="11"/>
        <color rgb="FF000000"/>
        <rFont val="Aptos Narrow"/>
        <scheme val="minor"/>
      </rPr>
      <t>(3):http://dx.doi.org/10.1136/tobaccocontrol-2016-053585.</t>
    </r>
  </si>
  <si>
    <t>15-24</t>
  </si>
  <si>
    <t>in non-Māori men age 15-24 yrs</t>
  </si>
  <si>
    <t>25-44</t>
  </si>
  <si>
    <t>in non-Māori men age 25-44 yrs</t>
  </si>
  <si>
    <t>1</t>
  </si>
  <si>
    <t>45-64</t>
  </si>
  <si>
    <t>in non-Māori men age 45-64 yrs</t>
  </si>
  <si>
    <t>0.5</t>
  </si>
  <si>
    <t>65+</t>
  </si>
  <si>
    <t xml:space="preserve">in non-Māori men age 65+ yrs </t>
  </si>
  <si>
    <t>in non-Māori women</t>
  </si>
  <si>
    <t>Female</t>
  </si>
  <si>
    <t>in non-Māori women age 0-14 yrs</t>
  </si>
  <si>
    <t>in non-Māori women age 15-24 yrs</t>
  </si>
  <si>
    <t xml:space="preserve">in non-Māori women age 25-44 yrs </t>
  </si>
  <si>
    <t>in non-Māori women age 45-64 yrs</t>
  </si>
  <si>
    <t xml:space="preserve">in non-Māori women age 65+ yrs </t>
  </si>
  <si>
    <t>in Māori</t>
  </si>
  <si>
    <t xml:space="preserve">in Māori men </t>
  </si>
  <si>
    <t>18</t>
  </si>
  <si>
    <t>Māori</t>
  </si>
  <si>
    <t xml:space="preserve">in Māori men age 0-14 yrs </t>
  </si>
  <si>
    <t>in Māori men age 15-24 yrs</t>
  </si>
  <si>
    <t>in Māori men age 25-44 yrs</t>
  </si>
  <si>
    <t>2</t>
  </si>
  <si>
    <t>in Māori men age 45-64 yrs</t>
  </si>
  <si>
    <t>in Māori men age 65+ yrs</t>
  </si>
  <si>
    <t xml:space="preserve">in Māori women </t>
  </si>
  <si>
    <t xml:space="preserve">in Māori women age 0-14 yrs </t>
  </si>
  <si>
    <t xml:space="preserve">in Māori women age 15-24 yrs </t>
  </si>
  <si>
    <t xml:space="preserve">in Māori women age 25-44 yrs </t>
  </si>
  <si>
    <t xml:space="preserve">in Māori women age 45-64 yrs </t>
  </si>
  <si>
    <t xml:space="preserve">in Māori women age 65+ yrs </t>
  </si>
  <si>
    <t>Eliminating tobacco sales from outlets within 1 km of schools by law</t>
  </si>
  <si>
    <t>89</t>
  </si>
  <si>
    <t>4.3</t>
  </si>
  <si>
    <t>28.1</t>
  </si>
  <si>
    <t>Unknown</t>
  </si>
  <si>
    <t>Gradually phased in over 10 years; persistent</t>
  </si>
  <si>
    <t>Weak</t>
  </si>
  <si>
    <t>http://www.otago.ac.nz/cs/groups/public/@uowbode3/documents/contributorpdf/otago622835.pdf</t>
  </si>
  <si>
    <t>No tobacco sales from outlets within 1 km of schools</t>
  </si>
  <si>
    <t>Pearson, Cleghorn, S-van der Deen, Cobiac, Kvizhinadze, Nghiem, Blakely, Wilson</t>
  </si>
  <si>
    <r>
      <t>Pearson AL, Cleghorn CL, van der Deen FS, Cobiac LJ, Kvizhinadze G, Nghiem N, Blakely T, Wilson N. Tobacco retail outlet restrictions: health and cost impacts from multistate life-table modelling in a national population. Tob Control 2017;</t>
    </r>
    <r>
      <rPr>
        <sz val="11"/>
        <color rgb="FF000000"/>
        <rFont val="Calibri"/>
        <family val="2"/>
        <scheme val="minor"/>
      </rPr>
      <t>26</t>
    </r>
    <r>
      <rPr>
        <sz val="11"/>
        <color rgb="FF000000"/>
        <rFont val="Aptos Narrow"/>
        <family val="2"/>
        <scheme val="minor"/>
      </rPr>
      <t>:579–85.</t>
    </r>
  </si>
  <si>
    <t>Eliminating tobacco sales from outlets within 2 km of schools by law</t>
  </si>
  <si>
    <t>96</t>
  </si>
  <si>
    <t>4.7</t>
  </si>
  <si>
    <t>No tobacco sales from outlets within 2 km of schools</t>
  </si>
  <si>
    <t>Legalising domestic sale of vaporised nicotine products</t>
  </si>
  <si>
    <t>One-off; persistent</t>
  </si>
  <si>
    <t>NZ population</t>
  </si>
  <si>
    <t>yes</t>
  </si>
  <si>
    <t>y</t>
  </si>
  <si>
    <t>https://www.ncbi.nlm.nih.gov/pubmed/30789423</t>
  </si>
  <si>
    <t>Petrovic-van der Deen, Wilson, Crothers, Cleghorn, Gartner, Blakely</t>
  </si>
  <si>
    <t>Petrović-van der Deen, Wilson, Crothers, Cleghorn, Gartner, Blakely</t>
  </si>
  <si>
    <t>het</t>
  </si>
  <si>
    <t xml:space="preserve">One-off </t>
  </si>
  <si>
    <t>dominated</t>
  </si>
  <si>
    <t>0-14 yr olds</t>
  </si>
  <si>
    <t>15-24 yr olds</t>
  </si>
  <si>
    <t>25-44 yr olds</t>
  </si>
  <si>
    <t>45-64 yr olds</t>
  </si>
  <si>
    <t>65+ yr olds</t>
  </si>
  <si>
    <t>Mass media promotion of a smartphone app for smoking cessation</t>
  </si>
  <si>
    <t>5 years</t>
  </si>
  <si>
    <t>https://www.ncbi.nlm.nih.gov/pubmed/30849943</t>
  </si>
  <si>
    <t>Nghiem, Leung, Cleghorn, Blakely, Wilson</t>
  </si>
  <si>
    <t>Nghiem N, Leung W, Cleghorn C, Blakely T, Wilson N. Mass media promotion of a smartphone smoking cessation app: modelled health and cost-saving impacts. BMC Public Health. 2019;19(1):283.</t>
  </si>
  <si>
    <t xml:space="preserve">non-Māori </t>
  </si>
  <si>
    <t>n</t>
  </si>
  <si>
    <t>National quitline service and its promotion in the mass media</t>
  </si>
  <si>
    <t>1 year</t>
  </si>
  <si>
    <t>business-as-usual</t>
  </si>
  <si>
    <t>https://www.ncbi.nlm.nih.gov/pubmed/28739609</t>
  </si>
  <si>
    <t>Quitline service with mass media promotion</t>
  </si>
  <si>
    <t>Nghiem, Cleghorn, Leung, Nair, van der Deen, Blakely, Wilson </t>
  </si>
  <si>
    <t>in 15-24 yr olds</t>
  </si>
  <si>
    <t>in 25-44 yr old</t>
  </si>
  <si>
    <t>in 45-64 yr olds</t>
  </si>
  <si>
    <t xml:space="preserve">in 65+ yr olds </t>
  </si>
  <si>
    <t xml:space="preserve">in non-Māori women </t>
  </si>
  <si>
    <t>Taxes and Subsidies</t>
  </si>
  <si>
    <t>Ongoing tobacco tax increases (10% annually from 2011 to 2025)</t>
  </si>
  <si>
    <t>14 years of tax increases, then persistent</t>
  </si>
  <si>
    <t>Business-as-usual (no tax increases from 2011)</t>
  </si>
  <si>
    <t xml:space="preserve">Strong </t>
  </si>
  <si>
    <t xml:space="preserve">in men </t>
  </si>
  <si>
    <t>in men age 0-14 yrs</t>
  </si>
  <si>
    <t>in men age 15-24 yrs</t>
  </si>
  <si>
    <t>in men age 25-44 yrs</t>
  </si>
  <si>
    <t>in men age 45-64 yrs</t>
  </si>
  <si>
    <t>in men age 65+ yrs</t>
  </si>
  <si>
    <t>in women age 15-24 yrs</t>
  </si>
  <si>
    <t>in non-Māori women age 25-44 yrs</t>
  </si>
  <si>
    <t>in Māori men age 0-14 yrs</t>
  </si>
  <si>
    <t>in Māori women age 0-14 yrs</t>
  </si>
  <si>
    <t>in Māori women age 15-24 yrs</t>
  </si>
  <si>
    <t>in Māori women age 25-44 yrs</t>
  </si>
  <si>
    <t>in Māori women age 45-64 yrs</t>
  </si>
  <si>
    <t>Ongoing tobacco tax increases (10% annually from 2011 to 2031)</t>
  </si>
  <si>
    <t>20 years of tax increases, then no further increase</t>
  </si>
  <si>
    <t>20</t>
  </si>
  <si>
    <t>https://www.ncbi.nlm.nih.gov/pubmed/28005928</t>
  </si>
  <si>
    <t>Blakely, Cobiac, Cleghorn, Pearson, van der Deen, Kvizhinadze, Nghiem, McLeod, Wilson</t>
  </si>
  <si>
    <r>
      <t>Blakely T, Cobiac LJ, Cleghorn CL, Pearson AL, van der Deen FS, Kvizhinadze G, Nghiem N, McLeod M, Wilson N. Health, Health inequality, and cost impacts of annual increases in tobacco tax: multistate life table modeling in New Zealand. PLoS Med 2015;</t>
    </r>
    <r>
      <rPr>
        <sz val="11"/>
        <color rgb="FF000000"/>
        <rFont val="Calibri"/>
        <family val="2"/>
        <scheme val="minor"/>
      </rPr>
      <t>12</t>
    </r>
    <r>
      <rPr>
        <sz val="11"/>
        <color rgb="FF000000"/>
        <rFont val="Aptos Narrow"/>
        <family val="2"/>
        <scheme val="minor"/>
      </rPr>
      <t>(7):e1001856.</t>
    </r>
  </si>
  <si>
    <t>Permitting tobacco sales at half the liquor stores (and nowhere else) by law</t>
  </si>
  <si>
    <t>94</t>
  </si>
  <si>
    <t>4.9</t>
  </si>
  <si>
    <t>Yes</t>
  </si>
  <si>
    <t>https://www.ncbi.nlm.nih.gov/pubmed/27660112</t>
  </si>
  <si>
    <t>Tobacco sales only at half the liquor stores</t>
  </si>
  <si>
    <t>Pearson, Cleghorn, van der Deen, Cobiac, Kvizhinadze, Nghiem, Blakely, Wilson</t>
  </si>
  <si>
    <t>Pearson AL, Cleghorn CL, van der Deen FS, Cobiac LJ, Kvizhinadze G, Nghiem N, Blakely T, Wilson N. Tobacco retail outlet restrictions: health and cost impacts from multistate life-table modelling in a national population. Tob Control 2017;26:579–85.</t>
  </si>
  <si>
    <t>Reducing the total number of tobacco retail outlets by 95% by law</t>
  </si>
  <si>
    <t>95</t>
  </si>
  <si>
    <t>4.4</t>
  </si>
  <si>
    <t>Reducing tobacco retail outlets by 95%</t>
  </si>
  <si>
    <t>Restricting tobacco sales to only pharmacies combined with annual cessation advice from pharmacist</t>
  </si>
  <si>
    <t>Petrovic-van der Deen, Blakely, Kvizhinadze, Cleghorn, Cobiac, Wilson</t>
  </si>
  <si>
    <t>https://tobaccocontrol.bmj.com/content/28/6/643.abstract?casa_token=hosvxS-ISdgAAAAA:w_DkdmoG0waeqsT7UYXWherpByJSq-mTpvH3Eo23UuXIdZ2PQfWTmSxdIrcBOVvHrE5hWQYAy-jo</t>
  </si>
  <si>
    <t> Cost-saving </t>
  </si>
  <si>
    <t>Sinking lid on tobacco supply (reducing tobacco commercial sales each year until sales are zero in 2025)</t>
  </si>
  <si>
    <t xml:space="preserve">Sinking lid on tobacco supply </t>
  </si>
  <si>
    <t>in men aged 0-14 yrs</t>
  </si>
  <si>
    <t>in men aged 15-24 yrs</t>
  </si>
  <si>
    <t>in women age 65+ yrs</t>
  </si>
  <si>
    <t>11</t>
  </si>
  <si>
    <t>100</t>
  </si>
  <si>
    <t>14</t>
  </si>
  <si>
    <t xml:space="preserve">in non-Māori men age 15-24 yrs </t>
  </si>
  <si>
    <t>8</t>
  </si>
  <si>
    <t>3</t>
  </si>
  <si>
    <t>in non-Māori women age 65+ yrs</t>
  </si>
  <si>
    <t>in Māori men</t>
  </si>
  <si>
    <t>24</t>
  </si>
  <si>
    <t>in Māori men 0-14 yrs</t>
  </si>
  <si>
    <t>in Māori men 15-24 yrs</t>
  </si>
  <si>
    <t>9</t>
  </si>
  <si>
    <t xml:space="preserve">in Māori men age 65+ yrs </t>
  </si>
  <si>
    <t>Substantive tobacco retail  outlet reduction strategy (reducing the total number of outlets until 18 left in 2025)</t>
  </si>
  <si>
    <t xml:space="preserve">Yes </t>
  </si>
  <si>
    <t xml:space="preserve">Substantive tobacco retail outlet reduction strategy </t>
  </si>
  <si>
    <t xml:space="preserve">in women </t>
  </si>
  <si>
    <t>in women 45-64 yrs</t>
  </si>
  <si>
    <t>99.6</t>
  </si>
  <si>
    <t>0.8</t>
  </si>
  <si>
    <t>14.2</t>
  </si>
  <si>
    <t xml:space="preserve">in non-Māori men age 0-14 yrs </t>
  </si>
  <si>
    <t>12.8</t>
  </si>
  <si>
    <t xml:space="preserve">in non-Māori women age 0-14 yrs </t>
  </si>
  <si>
    <t xml:space="preserve">in non-Māori women age 15-24 yrs </t>
  </si>
  <si>
    <t xml:space="preserve">in non-Māori women age 45-64 yrs </t>
  </si>
  <si>
    <t>2.7</t>
  </si>
  <si>
    <t>26.5</t>
  </si>
  <si>
    <t>28.5</t>
  </si>
  <si>
    <t>Tax increased by 20% per year until 2025, tobacco retail outlets reduced by 95% and tobacco-free generation strategy implemented</t>
  </si>
  <si>
    <t>N</t>
  </si>
  <si>
    <t>14 years</t>
  </si>
  <si>
    <t>3.3</t>
  </si>
  <si>
    <t>non-Māori men 0-14</t>
  </si>
  <si>
    <t>non-Māori men 15-24</t>
  </si>
  <si>
    <t>non-Māori men 25-44</t>
  </si>
  <si>
    <t>non-Māori men 45-64</t>
  </si>
  <si>
    <t>non-Māori men 65+</t>
  </si>
  <si>
    <t>non-Māori men</t>
  </si>
  <si>
    <t>non-Māori women 0-14</t>
  </si>
  <si>
    <t>non-Māori women 15-24</t>
  </si>
  <si>
    <t>non-Māori women 25-44</t>
  </si>
  <si>
    <t>non-Māori women 45-64</t>
  </si>
  <si>
    <t>non-Māori women 65+</t>
  </si>
  <si>
    <t>non-Māori women</t>
  </si>
  <si>
    <t>11.2</t>
  </si>
  <si>
    <t>Māori men 0-14</t>
  </si>
  <si>
    <t>Māori men 15-24</t>
  </si>
  <si>
    <t>Māori men 24-44</t>
  </si>
  <si>
    <t>Māori men 45-64</t>
  </si>
  <si>
    <t>Māori men 65+</t>
  </si>
  <si>
    <t>Māori men</t>
  </si>
  <si>
    <t>Māori women 0-14</t>
  </si>
  <si>
    <t>Māori women 15-24</t>
  </si>
  <si>
    <t>Māori women 25-44</t>
  </si>
  <si>
    <t>Māori women 45-64</t>
  </si>
  <si>
    <t>Māori women 65+</t>
  </si>
  <si>
    <t>Māori women</t>
  </si>
  <si>
    <t>Tobacco taxation of 10%</t>
  </si>
  <si>
    <t>Tobacco taxation of 10% with indexation in line with inflation</t>
  </si>
  <si>
    <t>Tobacco taxation of 15%</t>
  </si>
  <si>
    <t>Tobacco taxation of 15% with indexation in line with inflation</t>
  </si>
  <si>
    <t>Tobacco taxation of 30%</t>
  </si>
  <si>
    <t>Tobacco taxation of 30% with indexation in line with inflation</t>
  </si>
  <si>
    <t>Tobacco taxation of 50%</t>
  </si>
  <si>
    <t>Tobacco taxation of 50% with indexation in line with inflation</t>
  </si>
  <si>
    <t>Tobacco taxation of 60%</t>
  </si>
  <si>
    <t>Tobacco taxation of 60% with indexation in Iine with inflation</t>
  </si>
  <si>
    <t>Tobacco-free generation (law change prohibiting tobacco sale and supply to individuals born from 1993 onwards)</t>
  </si>
  <si>
    <t>One-off, persistent</t>
  </si>
  <si>
    <t xml:space="preserve">Tobacco-free generation </t>
  </si>
  <si>
    <t>16</t>
  </si>
  <si>
    <t xml:space="preserve">in Māori men age 15-24 yrs </t>
  </si>
  <si>
    <t>in Māori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</si>
</sst>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0"/>
    <numFmt numFmtId="165" formatCode="_-* #,##0_-;\-* #,##0_-;_-* &quot;-&quot;??_-;_-@_-"/>
    <numFmt numFmtId="166" formatCode="_-&quot;$&quot;* #,##0_-;\-&quot;$&quot;* #,##0_-;_-&quot;$&quot;* &quot;-&quot;??_-;_-@_-"/>
    <numFmt numFmtId="167" formatCode="_-* #,##0.00_-;\-* #,##0.00_-;_-* &quot;-&quot;??_-;_-@_-"/>
    <numFmt numFmtId="168" formatCode="&quot;$&quot;#,##0.00"/>
    <numFmt numFmtId="169" formatCode="_-&quot;$&quot;* #,##0.00_-;\-&quot;$&quot;* #,##0.00_-;_-&quot;$&quot;* &quot;-&quot;??_-;_-@_-"/>
  </numFmts>
  <fonts count="22">
    <font>
      <sz val="11"/>
      <color theme="1"/>
      <name val="Aptos Narrow"/>
      <family val="2"/>
      <scheme val="minor"/>
    </font>
    <font>
      <sz val="11"/>
      <color theme="1"/>
      <name val="Aptos Narrow"/>
      <family val="2"/>
      <scheme val="minor"/>
    </font>
    <font>
      <sz val="11"/>
      <color rgb="FF006100"/>
      <name val="Calibri"/>
      <scheme val="minor"/>
    </font>
    <font>
      <sz val="11"/>
      <color rgb="FF9C0006"/>
      <name val="Calibri"/>
      <scheme val="minor"/>
    </font>
    <font>
      <u/>
      <sz val="11"/>
      <color theme="10"/>
      <name val="Aptos Narrow"/>
      <family val="2"/>
      <scheme val="minor"/>
    </font>
    <font>
      <sz val="11"/>
      <color theme="1"/>
      <name val="Calibri"/>
      <family val="2"/>
      <scheme val="minor"/>
    </font>
    <font>
      <sz val="11"/>
      <color rgb="FF000000"/>
      <name val="Calibri"/>
      <family val="2"/>
      <scheme val="minor"/>
    </font>
    <font>
      <sz val="12"/>
      <color rgb="FF000000"/>
      <name val="Calibri"/>
      <family val="2"/>
    </font>
    <font>
      <sz val="10"/>
      <color rgb="FF000000"/>
      <name val="Calibri"/>
      <family val="2"/>
    </font>
    <font>
      <b/>
      <sz val="11"/>
      <color rgb="FF000000"/>
      <name val="Calibri"/>
      <family val="2"/>
    </font>
    <font>
      <sz val="11"/>
      <color rgb="FF000000"/>
      <name val="Arial"/>
      <family val="2"/>
    </font>
    <font>
      <sz val="11"/>
      <color rgb="FF000000"/>
      <name val="Aptos Narrow"/>
      <family val="2"/>
      <scheme val="minor"/>
    </font>
    <font>
      <sz val="10"/>
      <color rgb="FF000000"/>
      <name val="Calibri"/>
      <family val="2"/>
      <scheme val="minor"/>
    </font>
    <font>
      <sz val="11"/>
      <color rgb="FF000000"/>
      <name val="Calibri"/>
      <family val="2"/>
    </font>
    <font>
      <sz val="11"/>
      <color rgb="FF000000"/>
      <name val="Calibri"/>
      <scheme val="minor"/>
    </font>
    <font>
      <u/>
      <sz val="11"/>
      <color rgb="FF000000"/>
      <name val="Aptos Narrow"/>
      <family val="2"/>
      <scheme val="minor"/>
    </font>
    <font>
      <sz val="11"/>
      <color rgb="FF000000"/>
      <name val="Open Sans"/>
      <family val="2"/>
    </font>
    <font>
      <sz val="12"/>
      <color rgb="FF000000"/>
      <name val="Calibri"/>
      <family val="2"/>
      <scheme val="minor"/>
    </font>
    <font>
      <u/>
      <sz val="11"/>
      <color rgb="FF000000"/>
      <name val="Calibri"/>
      <family val="2"/>
    </font>
    <font>
      <b/>
      <sz val="12"/>
      <color rgb="FF000000"/>
      <name val="Calibri"/>
      <family val="2"/>
    </font>
    <font>
      <i/>
      <sz val="11"/>
      <color rgb="FF000000"/>
      <name val="Calibri"/>
      <family val="2"/>
    </font>
    <font>
      <sz val="11"/>
      <color rgb="FF000000"/>
      <name val="Aptos Narrow"/>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xf numFmtId="167" fontId="5" fillId="0" borderId="0" applyFont="0" applyFill="0" applyBorder="0" applyAlignment="0" applyProtection="0"/>
  </cellStyleXfs>
  <cellXfs count="171">
    <xf numFmtId="0" fontId="0" fillId="0" borderId="0" xfId="0"/>
    <xf numFmtId="0" fontId="11" fillId="0" borderId="0" xfId="0" applyFont="1"/>
    <xf numFmtId="0" fontId="11" fillId="4" borderId="0" xfId="0" applyFont="1" applyFill="1"/>
    <xf numFmtId="0" fontId="7" fillId="4" borderId="0" xfId="0" applyFont="1" applyFill="1" applyAlignment="1">
      <alignment horizontal="left" vertical="center" wrapText="1"/>
    </xf>
    <xf numFmtId="49" fontId="7" fillId="4" borderId="0" xfId="0" applyNumberFormat="1" applyFont="1" applyFill="1" applyAlignment="1">
      <alignment horizontal="left" vertical="center" wrapText="1"/>
    </xf>
    <xf numFmtId="0" fontId="11" fillId="5" borderId="0" xfId="0" applyFont="1" applyFill="1"/>
    <xf numFmtId="0" fontId="19" fillId="4" borderId="0" xfId="0" applyFont="1" applyFill="1" applyAlignment="1">
      <alignment horizontal="left" vertical="center" wrapText="1"/>
    </xf>
    <xf numFmtId="0" fontId="8" fillId="0" borderId="0" xfId="0" applyFont="1" applyAlignment="1">
      <alignment horizontal="left" vertical="center"/>
    </xf>
    <xf numFmtId="0" fontId="13" fillId="0" borderId="0" xfId="0" applyFont="1" applyAlignment="1">
      <alignment horizontal="left" vertical="center" wrapText="1"/>
    </xf>
    <xf numFmtId="0" fontId="13" fillId="4" borderId="0" xfId="0" applyFont="1" applyFill="1" applyAlignment="1">
      <alignment horizontal="left" vertical="center" wrapText="1"/>
    </xf>
    <xf numFmtId="0" fontId="8" fillId="0" borderId="0" xfId="0" applyFont="1" applyAlignment="1">
      <alignment horizontal="left" vertical="center" wrapText="1"/>
    </xf>
    <xf numFmtId="0" fontId="10" fillId="4" borderId="0" xfId="0" applyFont="1" applyFill="1" applyAlignment="1">
      <alignment horizontal="left" vertical="center" wrapText="1"/>
    </xf>
    <xf numFmtId="0" fontId="9" fillId="4" borderId="0" xfId="0" applyFont="1" applyFill="1" applyAlignment="1">
      <alignment horizontal="left" vertical="center" wrapText="1"/>
    </xf>
    <xf numFmtId="49" fontId="13" fillId="4" borderId="0" xfId="0" applyNumberFormat="1" applyFont="1" applyFill="1" applyAlignment="1">
      <alignment horizontal="left" vertical="center" wrapText="1"/>
    </xf>
    <xf numFmtId="0" fontId="12" fillId="5" borderId="0" xfId="0" applyFont="1" applyFill="1" applyAlignment="1">
      <alignment horizontal="left" vertical="center" wrapText="1"/>
    </xf>
    <xf numFmtId="2" fontId="8" fillId="4" borderId="0" xfId="0" applyNumberFormat="1" applyFont="1" applyFill="1" applyAlignment="1">
      <alignment horizontal="left" vertical="center"/>
    </xf>
    <xf numFmtId="0" fontId="13" fillId="0" borderId="0" xfId="0" applyFont="1" applyAlignment="1">
      <alignment horizontal="left" vertical="center"/>
    </xf>
    <xf numFmtId="3" fontId="8" fillId="0" borderId="1" xfId="1" applyNumberFormat="1" applyFont="1" applyFill="1" applyBorder="1" applyAlignment="1">
      <alignment horizontal="left" vertical="center" wrapText="1"/>
    </xf>
    <xf numFmtId="3" fontId="8" fillId="0" borderId="1" xfId="0" applyNumberFormat="1" applyFont="1" applyBorder="1" applyAlignment="1">
      <alignment horizontal="left" vertical="center" wrapText="1"/>
    </xf>
    <xf numFmtId="164" fontId="8" fillId="4" borderId="1" xfId="0" applyNumberFormat="1" applyFont="1" applyFill="1" applyBorder="1" applyAlignment="1">
      <alignment horizontal="left" vertical="center" wrapText="1"/>
    </xf>
    <xf numFmtId="164" fontId="8" fillId="0" borderId="1" xfId="0" applyNumberFormat="1" applyFont="1" applyBorder="1" applyAlignment="1">
      <alignment horizontal="left" vertical="center" wrapText="1"/>
    </xf>
    <xf numFmtId="44" fontId="8" fillId="0" borderId="1" xfId="2" applyFont="1" applyFill="1" applyBorder="1" applyAlignment="1">
      <alignment horizontal="left" vertical="center" wrapText="1"/>
    </xf>
    <xf numFmtId="44" fontId="8" fillId="4" borderId="1" xfId="2" applyFont="1" applyFill="1" applyBorder="1" applyAlignment="1">
      <alignment horizontal="left" vertical="center" wrapText="1"/>
    </xf>
    <xf numFmtId="44" fontId="8" fillId="0" borderId="2" xfId="2" applyFont="1" applyFill="1" applyBorder="1" applyAlignment="1">
      <alignment horizontal="left" vertical="center" wrapText="1"/>
    </xf>
    <xf numFmtId="165" fontId="8" fillId="0" borderId="0" xfId="1" applyNumberFormat="1" applyFont="1" applyFill="1" applyAlignment="1">
      <alignment horizontal="left" vertical="center" wrapText="1"/>
    </xf>
    <xf numFmtId="44" fontId="8" fillId="0" borderId="3" xfId="2" applyFont="1" applyFill="1" applyBorder="1" applyAlignment="1">
      <alignment horizontal="left" vertical="center" wrapText="1"/>
    </xf>
    <xf numFmtId="44" fontId="8" fillId="0" borderId="0" xfId="2" applyFont="1" applyFill="1" applyAlignment="1">
      <alignment horizontal="left" vertical="center" wrapText="1"/>
    </xf>
    <xf numFmtId="0" fontId="12" fillId="0" borderId="0" xfId="0" applyFont="1" applyAlignment="1">
      <alignment horizontal="left" vertical="center"/>
    </xf>
    <xf numFmtId="0" fontId="12" fillId="0" borderId="0" xfId="4" applyFont="1" applyFill="1" applyAlignment="1">
      <alignment horizontal="left" vertical="center"/>
    </xf>
    <xf numFmtId="0" fontId="12" fillId="0" borderId="0" xfId="5" applyFont="1" applyFill="1" applyAlignment="1">
      <alignment horizontal="left" vertical="center" wrapText="1"/>
    </xf>
    <xf numFmtId="0" fontId="11" fillId="5" borderId="0" xfId="0" applyFont="1" applyFill="1" applyAlignment="1">
      <alignment horizontal="left" vertical="center" wrapText="1"/>
    </xf>
    <xf numFmtId="2" fontId="13" fillId="4" borderId="0" xfId="0" applyNumberFormat="1" applyFont="1" applyFill="1" applyAlignment="1">
      <alignment horizontal="left" vertical="center"/>
    </xf>
    <xf numFmtId="3" fontId="13" fillId="0" borderId="0" xfId="1" applyNumberFormat="1" applyFont="1" applyFill="1" applyBorder="1" applyAlignment="1">
      <alignment horizontal="left" vertical="center" wrapText="1"/>
    </xf>
    <xf numFmtId="3" fontId="13" fillId="0" borderId="0" xfId="0" applyNumberFormat="1" applyFont="1" applyAlignment="1">
      <alignment horizontal="left" vertical="center" wrapText="1"/>
    </xf>
    <xf numFmtId="164" fontId="20" fillId="4" borderId="0" xfId="0" applyNumberFormat="1" applyFont="1" applyFill="1" applyAlignment="1">
      <alignment horizontal="left" vertical="center" wrapText="1"/>
    </xf>
    <xf numFmtId="164" fontId="20" fillId="0" borderId="0" xfId="0" applyNumberFormat="1" applyFont="1" applyAlignment="1">
      <alignment horizontal="left" vertical="center" wrapText="1"/>
    </xf>
    <xf numFmtId="44" fontId="13" fillId="0" borderId="0" xfId="2" applyFont="1" applyFill="1" applyBorder="1" applyAlignment="1">
      <alignment horizontal="left" vertical="center" wrapText="1"/>
    </xf>
    <xf numFmtId="44" fontId="20" fillId="4" borderId="0" xfId="2" applyFont="1" applyFill="1" applyBorder="1" applyAlignment="1">
      <alignment horizontal="left" vertical="center" wrapText="1"/>
    </xf>
    <xf numFmtId="44" fontId="20" fillId="0" borderId="0" xfId="2" applyFont="1" applyFill="1" applyBorder="1" applyAlignment="1">
      <alignment horizontal="left" vertical="center" wrapText="1"/>
    </xf>
    <xf numFmtId="165" fontId="13" fillId="0" borderId="0" xfId="1" applyNumberFormat="1" applyFont="1" applyFill="1" applyAlignment="1">
      <alignment horizontal="left" vertical="center" wrapText="1"/>
    </xf>
    <xf numFmtId="44" fontId="13" fillId="0" borderId="0" xfId="2" applyFont="1" applyFill="1" applyAlignment="1">
      <alignment horizontal="left" vertical="center" wrapText="1"/>
    </xf>
    <xf numFmtId="0" fontId="11" fillId="0" borderId="0" xfId="0" applyFont="1" applyAlignment="1">
      <alignment horizontal="left" vertical="center"/>
    </xf>
    <xf numFmtId="0" fontId="14" fillId="0" borderId="0" xfId="4" applyFont="1" applyFill="1" applyAlignment="1">
      <alignment horizontal="left" vertical="center"/>
    </xf>
    <xf numFmtId="0" fontId="14" fillId="0" borderId="0" xfId="5" applyFont="1" applyFill="1" applyAlignment="1">
      <alignment horizontal="left" vertical="center" wrapText="1"/>
    </xf>
    <xf numFmtId="0" fontId="11" fillId="0" borderId="0" xfId="0" applyFont="1" applyAlignment="1">
      <alignment horizontal="left" vertical="center" wrapText="1"/>
    </xf>
    <xf numFmtId="9" fontId="13" fillId="0" borderId="0" xfId="0" applyNumberFormat="1" applyFont="1" applyAlignment="1">
      <alignment horizontal="left" vertical="center"/>
    </xf>
    <xf numFmtId="3" fontId="13" fillId="0" borderId="0" xfId="1" applyNumberFormat="1" applyFont="1" applyFill="1" applyAlignment="1">
      <alignment horizontal="left" vertical="center" wrapText="1"/>
    </xf>
    <xf numFmtId="3" fontId="13" fillId="0" borderId="0" xfId="1" applyNumberFormat="1" applyFont="1" applyFill="1" applyAlignment="1">
      <alignment horizontal="left" vertical="center"/>
    </xf>
    <xf numFmtId="3" fontId="6" fillId="0" borderId="0" xfId="1" applyNumberFormat="1" applyFont="1" applyFill="1" applyAlignment="1">
      <alignment horizontal="left" vertical="center"/>
    </xf>
    <xf numFmtId="164" fontId="13" fillId="4" borderId="0" xfId="1" applyNumberFormat="1" applyFont="1" applyFill="1" applyAlignment="1">
      <alignment horizontal="left" vertical="center" wrapText="1"/>
    </xf>
    <xf numFmtId="164" fontId="13" fillId="0" borderId="0" xfId="1" applyNumberFormat="1" applyFont="1" applyFill="1" applyAlignment="1">
      <alignment horizontal="left" vertical="center" wrapText="1"/>
    </xf>
    <xf numFmtId="44" fontId="13" fillId="0" borderId="0" xfId="2" applyFont="1" applyFill="1" applyAlignment="1">
      <alignment horizontal="left" vertical="center"/>
    </xf>
    <xf numFmtId="44" fontId="13" fillId="4" borderId="0" xfId="2" applyFont="1" applyFill="1" applyAlignment="1">
      <alignment horizontal="left" vertical="center" wrapText="1"/>
    </xf>
    <xf numFmtId="0" fontId="14" fillId="0" borderId="0" xfId="5" applyFont="1" applyFill="1" applyAlignment="1">
      <alignment horizontal="left" vertical="center"/>
    </xf>
    <xf numFmtId="0" fontId="16" fillId="0" borderId="0" xfId="0" applyFont="1" applyAlignment="1">
      <alignment horizontal="left" vertical="center"/>
    </xf>
    <xf numFmtId="166" fontId="11" fillId="0" borderId="0" xfId="2" applyNumberFormat="1" applyFont="1" applyFill="1" applyAlignment="1">
      <alignment horizontal="left" vertical="center"/>
    </xf>
    <xf numFmtId="44" fontId="11" fillId="0" borderId="0" xfId="2" applyFont="1" applyFill="1" applyAlignment="1">
      <alignment horizontal="left" vertical="center"/>
    </xf>
    <xf numFmtId="167" fontId="11" fillId="0" borderId="0" xfId="7" applyFont="1" applyFill="1" applyAlignment="1">
      <alignment horizontal="left" vertical="center" wrapText="1"/>
    </xf>
    <xf numFmtId="0" fontId="11" fillId="4" borderId="0" xfId="0" applyFont="1" applyFill="1" applyAlignment="1">
      <alignment horizontal="left" vertical="center" wrapText="1"/>
    </xf>
    <xf numFmtId="0" fontId="17" fillId="4" borderId="0" xfId="0" applyFont="1" applyFill="1" applyAlignment="1">
      <alignment horizontal="left" vertical="center" wrapText="1"/>
    </xf>
    <xf numFmtId="2" fontId="11" fillId="4" borderId="0" xfId="0" applyNumberFormat="1" applyFont="1" applyFill="1" applyAlignment="1">
      <alignment horizontal="left" vertical="center"/>
    </xf>
    <xf numFmtId="3" fontId="11" fillId="0" borderId="0" xfId="0" applyNumberFormat="1" applyFont="1" applyAlignment="1">
      <alignment horizontal="left" vertical="center"/>
    </xf>
    <xf numFmtId="3" fontId="6" fillId="0" borderId="0" xfId="0" applyNumberFormat="1" applyFont="1" applyAlignment="1">
      <alignment horizontal="left" vertical="center"/>
    </xf>
    <xf numFmtId="165" fontId="11" fillId="0" borderId="0" xfId="1" applyNumberFormat="1" applyFont="1" applyFill="1" applyAlignment="1">
      <alignment horizontal="left" vertical="center"/>
    </xf>
    <xf numFmtId="0" fontId="6" fillId="0" borderId="0" xfId="0" applyFont="1" applyAlignment="1">
      <alignment horizontal="left" vertical="center" wrapText="1"/>
    </xf>
    <xf numFmtId="167" fontId="13" fillId="0" borderId="0" xfId="7" applyFont="1" applyFill="1" applyAlignment="1">
      <alignment horizontal="left" vertical="center" wrapText="1"/>
    </xf>
    <xf numFmtId="0" fontId="13" fillId="5" borderId="0" xfId="0" applyFont="1" applyFill="1" applyAlignment="1">
      <alignment horizontal="left" vertical="center" wrapText="1"/>
    </xf>
    <xf numFmtId="4" fontId="13" fillId="0" borderId="0" xfId="1" applyNumberFormat="1" applyFont="1" applyFill="1" applyAlignment="1">
      <alignment horizontal="left" vertical="center"/>
    </xf>
    <xf numFmtId="3" fontId="13" fillId="0" borderId="0" xfId="0" applyNumberFormat="1" applyFont="1" applyAlignment="1">
      <alignment horizontal="left" vertical="center"/>
    </xf>
    <xf numFmtId="164" fontId="13" fillId="0" borderId="0" xfId="0" applyNumberFormat="1" applyFont="1" applyAlignment="1">
      <alignment horizontal="left" vertical="center"/>
    </xf>
    <xf numFmtId="168" fontId="13" fillId="0" borderId="0" xfId="2" applyNumberFormat="1" applyFont="1" applyFill="1" applyAlignment="1">
      <alignment horizontal="left" vertical="center"/>
    </xf>
    <xf numFmtId="168" fontId="13" fillId="4" borderId="0" xfId="2" applyNumberFormat="1" applyFont="1" applyFill="1" applyAlignment="1">
      <alignment horizontal="left" vertical="center"/>
    </xf>
    <xf numFmtId="168" fontId="13" fillId="0" borderId="0" xfId="0" applyNumberFormat="1" applyFont="1" applyAlignment="1">
      <alignment horizontal="left" vertical="center"/>
    </xf>
    <xf numFmtId="0" fontId="15" fillId="0" borderId="0" xfId="6" applyFont="1" applyFill="1" applyAlignment="1">
      <alignment horizontal="left" vertical="center"/>
    </xf>
    <xf numFmtId="0" fontId="6" fillId="0" borderId="0" xfId="0" applyFont="1" applyAlignment="1">
      <alignment horizontal="left" vertical="center"/>
    </xf>
    <xf numFmtId="49" fontId="13" fillId="0" borderId="0" xfId="0" applyNumberFormat="1" applyFont="1" applyAlignment="1">
      <alignment horizontal="left" vertical="center" wrapText="1"/>
    </xf>
    <xf numFmtId="49" fontId="11" fillId="0" borderId="0" xfId="0" applyNumberFormat="1" applyFont="1"/>
    <xf numFmtId="2" fontId="11" fillId="0" borderId="0" xfId="0" applyNumberFormat="1" applyFont="1"/>
    <xf numFmtId="3" fontId="11" fillId="0" borderId="0" xfId="0" applyNumberFormat="1" applyFont="1"/>
    <xf numFmtId="164" fontId="11" fillId="0" borderId="0" xfId="0" applyNumberFormat="1" applyFont="1"/>
    <xf numFmtId="44" fontId="11" fillId="0" borderId="0" xfId="0" applyNumberFormat="1" applyFont="1"/>
    <xf numFmtId="44" fontId="11" fillId="4" borderId="0" xfId="0" applyNumberFormat="1" applyFont="1" applyFill="1"/>
    <xf numFmtId="166" fontId="11" fillId="0" borderId="0" xfId="0" applyNumberFormat="1" applyFont="1"/>
    <xf numFmtId="0" fontId="13" fillId="6" borderId="0" xfId="0" applyFont="1" applyFill="1" applyAlignment="1">
      <alignment horizontal="left" vertical="center"/>
    </xf>
    <xf numFmtId="167" fontId="13" fillId="6" borderId="0" xfId="7" applyFont="1" applyFill="1" applyAlignment="1">
      <alignment horizontal="left" vertical="center" wrapText="1"/>
    </xf>
    <xf numFmtId="0" fontId="13" fillId="6" borderId="0" xfId="0" applyFont="1" applyFill="1" applyAlignment="1">
      <alignment horizontal="left" vertical="center" wrapText="1"/>
    </xf>
    <xf numFmtId="0" fontId="11" fillId="6" borderId="0" xfId="0" applyFont="1" applyFill="1" applyAlignment="1">
      <alignment horizontal="left" vertical="center" wrapText="1"/>
    </xf>
    <xf numFmtId="49" fontId="7" fillId="6" borderId="0" xfId="0" applyNumberFormat="1" applyFont="1" applyFill="1" applyAlignment="1">
      <alignment horizontal="left" vertical="center" wrapText="1"/>
    </xf>
    <xf numFmtId="49" fontId="13" fillId="6" borderId="0" xfId="0" applyNumberFormat="1" applyFont="1" applyFill="1" applyAlignment="1">
      <alignment horizontal="left" vertical="center" wrapText="1"/>
    </xf>
    <xf numFmtId="2" fontId="13" fillId="6" borderId="0" xfId="0" applyNumberFormat="1" applyFont="1" applyFill="1" applyAlignment="1">
      <alignment horizontal="left" vertical="center"/>
    </xf>
    <xf numFmtId="4" fontId="13" fillId="6" borderId="0" xfId="1" applyNumberFormat="1" applyFont="1" applyFill="1" applyAlignment="1">
      <alignment horizontal="left" vertical="center"/>
    </xf>
    <xf numFmtId="3" fontId="13" fillId="6" borderId="0" xfId="0" applyNumberFormat="1" applyFont="1" applyFill="1" applyAlignment="1">
      <alignment horizontal="left" vertical="center"/>
    </xf>
    <xf numFmtId="164" fontId="13" fillId="6" borderId="0" xfId="1" applyNumberFormat="1" applyFont="1" applyFill="1" applyAlignment="1">
      <alignment horizontal="left" vertical="center" wrapText="1"/>
    </xf>
    <xf numFmtId="3" fontId="13" fillId="6" borderId="0" xfId="1" applyNumberFormat="1" applyFont="1" applyFill="1" applyAlignment="1">
      <alignment horizontal="left" vertical="center"/>
    </xf>
    <xf numFmtId="164" fontId="13" fillId="6" borderId="0" xfId="0" applyNumberFormat="1" applyFont="1" applyFill="1" applyAlignment="1">
      <alignment horizontal="left" vertical="center"/>
    </xf>
    <xf numFmtId="168" fontId="13" fillId="6" borderId="0" xfId="2" applyNumberFormat="1" applyFont="1" applyFill="1" applyAlignment="1">
      <alignment horizontal="left" vertical="center"/>
    </xf>
    <xf numFmtId="168" fontId="13" fillId="6" borderId="0" xfId="0" applyNumberFormat="1" applyFont="1" applyFill="1" applyAlignment="1">
      <alignment horizontal="left" vertical="center"/>
    </xf>
    <xf numFmtId="165" fontId="13" fillId="6" borderId="0" xfId="1" applyNumberFormat="1" applyFont="1" applyFill="1" applyAlignment="1">
      <alignment horizontal="left" vertical="center" wrapText="1"/>
    </xf>
    <xf numFmtId="0" fontId="11" fillId="6" borderId="0" xfId="0" applyFont="1" applyFill="1" applyAlignment="1">
      <alignment horizontal="left" vertical="center"/>
    </xf>
    <xf numFmtId="44" fontId="13" fillId="6" borderId="0" xfId="2" applyFont="1" applyFill="1" applyAlignment="1">
      <alignment horizontal="left" vertical="center" wrapText="1"/>
    </xf>
    <xf numFmtId="44" fontId="13" fillId="6" borderId="0" xfId="2" applyFont="1" applyFill="1" applyAlignment="1">
      <alignment horizontal="left" vertical="center"/>
    </xf>
    <xf numFmtId="0" fontId="4" fillId="6" borderId="0" xfId="6" applyFill="1" applyAlignment="1">
      <alignment horizontal="left" vertical="center"/>
    </xf>
    <xf numFmtId="0" fontId="6" fillId="6" borderId="0" xfId="0" applyFont="1" applyFill="1" applyAlignment="1">
      <alignment horizontal="left" vertical="center"/>
    </xf>
    <xf numFmtId="0" fontId="14" fillId="6" borderId="0" xfId="5" applyFont="1" applyFill="1" applyAlignment="1">
      <alignment horizontal="left" vertical="center"/>
    </xf>
    <xf numFmtId="0" fontId="21" fillId="6" borderId="0" xfId="0" applyFont="1" applyFill="1" applyAlignment="1">
      <alignment horizontal="left" vertical="center"/>
    </xf>
    <xf numFmtId="0" fontId="16" fillId="6" borderId="0" xfId="0" applyFont="1" applyFill="1" applyAlignment="1">
      <alignment horizontal="left" vertical="center"/>
    </xf>
    <xf numFmtId="166" fontId="11" fillId="6" borderId="0" xfId="2" applyNumberFormat="1" applyFont="1" applyFill="1" applyAlignment="1">
      <alignment horizontal="left" vertical="center"/>
    </xf>
    <xf numFmtId="44" fontId="11" fillId="6" borderId="0" xfId="2" applyFont="1" applyFill="1" applyAlignment="1">
      <alignment horizontal="left" vertical="center"/>
    </xf>
    <xf numFmtId="0" fontId="11" fillId="6" borderId="0" xfId="0" applyFont="1" applyFill="1"/>
    <xf numFmtId="0" fontId="15" fillId="6" borderId="0" xfId="6" applyFont="1" applyFill="1" applyAlignment="1">
      <alignment horizontal="left" vertical="center"/>
    </xf>
    <xf numFmtId="2" fontId="13" fillId="6" borderId="0" xfId="3" applyNumberFormat="1" applyFont="1" applyFill="1" applyAlignment="1">
      <alignment horizontal="left" vertical="center" wrapText="1"/>
    </xf>
    <xf numFmtId="9" fontId="13" fillId="6" borderId="0" xfId="3" applyFont="1" applyFill="1" applyAlignment="1">
      <alignment horizontal="left" vertical="center" wrapText="1"/>
    </xf>
    <xf numFmtId="4" fontId="6" fillId="6" borderId="0" xfId="1" applyNumberFormat="1" applyFont="1" applyFill="1" applyAlignment="1">
      <alignment horizontal="left" vertical="center"/>
    </xf>
    <xf numFmtId="0" fontId="4" fillId="6" borderId="0" xfId="6" applyFill="1" applyAlignment="1">
      <alignment horizontal="left" vertical="center" wrapText="1"/>
    </xf>
    <xf numFmtId="0" fontId="15" fillId="6" borderId="0" xfId="6" applyFont="1" applyFill="1" applyAlignment="1">
      <alignment horizontal="left" vertical="center" wrapText="1"/>
    </xf>
    <xf numFmtId="0" fontId="17" fillId="6" borderId="0" xfId="0" applyFont="1" applyFill="1" applyAlignment="1">
      <alignment horizontal="left" vertical="center" wrapText="1"/>
    </xf>
    <xf numFmtId="2" fontId="11" fillId="6" borderId="0" xfId="0" applyNumberFormat="1" applyFont="1" applyFill="1" applyAlignment="1">
      <alignment horizontal="left" vertical="center"/>
    </xf>
    <xf numFmtId="3" fontId="11" fillId="6" borderId="0" xfId="0" applyNumberFormat="1" applyFont="1" applyFill="1" applyAlignment="1">
      <alignment horizontal="left" vertical="center"/>
    </xf>
    <xf numFmtId="3" fontId="6" fillId="6" borderId="0" xfId="0" applyNumberFormat="1" applyFont="1" applyFill="1" applyAlignment="1">
      <alignment horizontal="left" vertical="center"/>
    </xf>
    <xf numFmtId="0" fontId="14" fillId="6" borderId="0" xfId="4" applyFont="1" applyFill="1" applyAlignment="1">
      <alignment horizontal="left" vertical="center"/>
    </xf>
    <xf numFmtId="168" fontId="13" fillId="6" borderId="0" xfId="2" applyNumberFormat="1" applyFont="1" applyFill="1" applyAlignment="1">
      <alignment horizontal="left" vertical="center" wrapText="1"/>
    </xf>
    <xf numFmtId="0" fontId="7" fillId="6" borderId="0" xfId="0" applyFont="1" applyFill="1" applyAlignment="1">
      <alignment horizontal="left" vertical="center" wrapText="1"/>
    </xf>
    <xf numFmtId="9" fontId="13" fillId="6" borderId="0" xfId="0" applyNumberFormat="1" applyFont="1" applyFill="1" applyAlignment="1">
      <alignment horizontal="left" vertical="center"/>
    </xf>
    <xf numFmtId="0" fontId="6" fillId="6" borderId="0" xfId="0" applyFont="1" applyFill="1" applyAlignment="1">
      <alignment horizontal="left" vertical="center" wrapText="1"/>
    </xf>
    <xf numFmtId="2" fontId="13" fillId="6" borderId="0" xfId="0" applyNumberFormat="1" applyFont="1" applyFill="1" applyAlignment="1">
      <alignment horizontal="left" vertical="center" wrapText="1"/>
    </xf>
    <xf numFmtId="9" fontId="13" fillId="6" borderId="0" xfId="0" applyNumberFormat="1" applyFont="1" applyFill="1" applyAlignment="1">
      <alignment horizontal="left" vertical="center" wrapText="1"/>
    </xf>
    <xf numFmtId="4" fontId="13" fillId="6" borderId="0" xfId="1" applyNumberFormat="1" applyFont="1" applyFill="1" applyAlignment="1">
      <alignment horizontal="left" vertical="center" wrapText="1"/>
    </xf>
    <xf numFmtId="3" fontId="13" fillId="6" borderId="0" xfId="0" applyNumberFormat="1" applyFont="1" applyFill="1" applyAlignment="1">
      <alignment horizontal="left" vertical="center" wrapText="1"/>
    </xf>
    <xf numFmtId="3" fontId="13" fillId="6" borderId="0" xfId="1" applyNumberFormat="1" applyFont="1" applyFill="1" applyAlignment="1">
      <alignment horizontal="left" vertical="center" wrapText="1"/>
    </xf>
    <xf numFmtId="168" fontId="13" fillId="6" borderId="0" xfId="0" applyNumberFormat="1" applyFont="1" applyFill="1" applyAlignment="1">
      <alignment horizontal="left" vertical="center" wrapText="1"/>
    </xf>
    <xf numFmtId="4" fontId="13" fillId="6" borderId="0" xfId="0" applyNumberFormat="1" applyFont="1" applyFill="1" applyAlignment="1">
      <alignment horizontal="left" vertical="center"/>
    </xf>
    <xf numFmtId="165" fontId="11" fillId="6" borderId="0" xfId="1" applyNumberFormat="1" applyFont="1" applyFill="1" applyAlignment="1">
      <alignment horizontal="left" vertical="center"/>
    </xf>
    <xf numFmtId="0" fontId="4" fillId="0" borderId="0" xfId="6" applyFill="1" applyAlignment="1">
      <alignment horizontal="left" vertical="center" wrapText="1"/>
    </xf>
    <xf numFmtId="0" fontId="11" fillId="5" borderId="0" xfId="0" applyFont="1" applyFill="1" applyAlignment="1">
      <alignment horizontal="left" vertical="center"/>
    </xf>
    <xf numFmtId="0" fontId="17" fillId="5" borderId="0" xfId="0" applyFont="1" applyFill="1" applyAlignment="1">
      <alignment horizontal="left" vertical="center" wrapText="1"/>
    </xf>
    <xf numFmtId="49" fontId="13" fillId="5" borderId="0" xfId="0" applyNumberFormat="1" applyFont="1" applyFill="1" applyAlignment="1">
      <alignment horizontal="left" vertical="center" wrapText="1"/>
    </xf>
    <xf numFmtId="2" fontId="11" fillId="5" borderId="0" xfId="0" applyNumberFormat="1" applyFont="1" applyFill="1" applyAlignment="1">
      <alignment horizontal="left" vertical="center"/>
    </xf>
    <xf numFmtId="3" fontId="11" fillId="5" borderId="0" xfId="0" applyNumberFormat="1" applyFont="1" applyFill="1" applyAlignment="1">
      <alignment horizontal="left" vertical="center"/>
    </xf>
    <xf numFmtId="3" fontId="6" fillId="5" borderId="0" xfId="0" applyNumberFormat="1" applyFont="1" applyFill="1" applyAlignment="1">
      <alignment horizontal="left" vertical="center"/>
    </xf>
    <xf numFmtId="44" fontId="11" fillId="5" borderId="0" xfId="2" applyFont="1" applyFill="1" applyAlignment="1">
      <alignment horizontal="left" vertical="center"/>
    </xf>
    <xf numFmtId="0" fontId="6" fillId="5" borderId="0" xfId="0" applyFont="1" applyFill="1" applyAlignment="1">
      <alignment horizontal="left" vertical="center"/>
    </xf>
    <xf numFmtId="0" fontId="15" fillId="5" borderId="0" xfId="6" applyFont="1" applyFill="1" applyAlignment="1">
      <alignment horizontal="left" vertical="center"/>
    </xf>
    <xf numFmtId="0" fontId="14" fillId="5" borderId="0" xfId="4" applyFont="1" applyFill="1" applyAlignment="1">
      <alignment horizontal="left" vertical="center"/>
    </xf>
    <xf numFmtId="0" fontId="14" fillId="5" borderId="0" xfId="5" applyFont="1" applyFill="1" applyAlignment="1">
      <alignment horizontal="left" vertical="center"/>
    </xf>
    <xf numFmtId="0" fontId="16" fillId="5" borderId="0" xfId="0" applyFont="1" applyFill="1" applyAlignment="1">
      <alignment horizontal="left" vertical="center"/>
    </xf>
    <xf numFmtId="166" fontId="11" fillId="5" borderId="0" xfId="2" applyNumberFormat="1" applyFont="1" applyFill="1" applyAlignment="1">
      <alignment horizontal="left" vertical="center"/>
    </xf>
    <xf numFmtId="3" fontId="13" fillId="5" borderId="0" xfId="0" applyNumberFormat="1" applyFont="1" applyFill="1" applyAlignment="1">
      <alignment horizontal="left" vertical="center"/>
    </xf>
    <xf numFmtId="0" fontId="4" fillId="5" borderId="0" xfId="6" applyFill="1" applyAlignment="1">
      <alignment horizontal="left" vertical="center"/>
    </xf>
    <xf numFmtId="168" fontId="13" fillId="5" borderId="0" xfId="2" applyNumberFormat="1" applyFont="1" applyFill="1" applyAlignment="1">
      <alignment horizontal="left" vertical="center" wrapText="1"/>
    </xf>
    <xf numFmtId="169" fontId="11" fillId="5" borderId="0" xfId="0" applyNumberFormat="1" applyFont="1" applyFill="1" applyAlignment="1">
      <alignment horizontal="left" vertical="center"/>
    </xf>
    <xf numFmtId="0" fontId="13" fillId="5" borderId="0" xfId="0" applyFont="1" applyFill="1" applyAlignment="1">
      <alignment horizontal="left" vertical="center"/>
    </xf>
    <xf numFmtId="0" fontId="7" fillId="5" borderId="0" xfId="0" applyFont="1" applyFill="1" applyAlignment="1">
      <alignment horizontal="left" vertical="center" wrapText="1"/>
    </xf>
    <xf numFmtId="2" fontId="13" fillId="5" borderId="0" xfId="0" applyNumberFormat="1" applyFont="1" applyFill="1" applyAlignment="1">
      <alignment horizontal="left" vertical="center"/>
    </xf>
    <xf numFmtId="164" fontId="13" fillId="5" borderId="0" xfId="1" applyNumberFormat="1" applyFont="1" applyFill="1" applyBorder="1" applyAlignment="1">
      <alignment horizontal="left" vertical="center" wrapText="1"/>
    </xf>
    <xf numFmtId="44" fontId="13" fillId="5" borderId="0" xfId="2" applyFont="1" applyFill="1" applyBorder="1" applyAlignment="1">
      <alignment horizontal="left" vertical="center"/>
    </xf>
    <xf numFmtId="168" fontId="13" fillId="5" borderId="0" xfId="2" applyNumberFormat="1" applyFont="1" applyFill="1" applyBorder="1" applyAlignment="1">
      <alignment horizontal="left" vertical="center"/>
    </xf>
    <xf numFmtId="0" fontId="18" fillId="5" borderId="0" xfId="6" applyFont="1" applyFill="1" applyBorder="1" applyAlignment="1">
      <alignment horizontal="left" vertical="center" wrapText="1"/>
    </xf>
    <xf numFmtId="0" fontId="13" fillId="5" borderId="0" xfId="4" applyFont="1" applyFill="1" applyBorder="1" applyAlignment="1">
      <alignment horizontal="left" vertical="center"/>
    </xf>
    <xf numFmtId="0" fontId="13" fillId="5" borderId="0" xfId="5" applyFont="1" applyFill="1" applyBorder="1" applyAlignment="1">
      <alignment horizontal="left" vertical="center"/>
    </xf>
    <xf numFmtId="49" fontId="7" fillId="5" borderId="0" xfId="0" applyNumberFormat="1" applyFont="1" applyFill="1" applyAlignment="1">
      <alignment horizontal="left" vertical="center" wrapText="1"/>
    </xf>
    <xf numFmtId="9" fontId="13" fillId="5" borderId="0" xfId="0" applyNumberFormat="1" applyFont="1" applyFill="1" applyAlignment="1">
      <alignment horizontal="left" vertical="center"/>
    </xf>
    <xf numFmtId="4" fontId="13" fillId="5" borderId="0" xfId="1" applyNumberFormat="1" applyFont="1" applyFill="1" applyAlignment="1">
      <alignment horizontal="left" vertical="center"/>
    </xf>
    <xf numFmtId="164" fontId="13" fillId="5" borderId="0" xfId="1" applyNumberFormat="1" applyFont="1" applyFill="1" applyAlignment="1">
      <alignment horizontal="left" vertical="center" wrapText="1"/>
    </xf>
    <xf numFmtId="3" fontId="13" fillId="5" borderId="0" xfId="1" applyNumberFormat="1" applyFont="1" applyFill="1" applyAlignment="1">
      <alignment horizontal="left" vertical="center"/>
    </xf>
    <xf numFmtId="164" fontId="13" fillId="5" borderId="0" xfId="0" applyNumberFormat="1" applyFont="1" applyFill="1" applyAlignment="1">
      <alignment horizontal="left" vertical="center"/>
    </xf>
    <xf numFmtId="168" fontId="13" fillId="5" borderId="0" xfId="2" applyNumberFormat="1" applyFont="1" applyFill="1" applyAlignment="1">
      <alignment horizontal="left" vertical="center"/>
    </xf>
    <xf numFmtId="168" fontId="13" fillId="5" borderId="0" xfId="0" applyNumberFormat="1" applyFont="1" applyFill="1" applyAlignment="1">
      <alignment horizontal="left" vertical="center"/>
    </xf>
    <xf numFmtId="165" fontId="13" fillId="5" borderId="0" xfId="1" applyNumberFormat="1" applyFont="1" applyFill="1" applyAlignment="1">
      <alignment horizontal="left" vertical="center" wrapText="1"/>
    </xf>
    <xf numFmtId="44" fontId="13" fillId="5" borderId="0" xfId="2" applyFont="1" applyFill="1" applyAlignment="1">
      <alignment horizontal="left" vertical="center" wrapText="1"/>
    </xf>
    <xf numFmtId="44" fontId="13" fillId="5" borderId="0" xfId="2" applyFont="1" applyFill="1" applyAlignment="1">
      <alignment horizontal="left" vertical="center"/>
    </xf>
    <xf numFmtId="0" fontId="4" fillId="5" borderId="0" xfId="6" applyFill="1" applyBorder="1" applyAlignment="1">
      <alignment horizontal="left" vertical="center" wrapText="1"/>
    </xf>
  </cellXfs>
  <cellStyles count="8">
    <cellStyle name="Bad" xfId="5" builtinId="27"/>
    <cellStyle name="Comma" xfId="1" builtinId="3"/>
    <cellStyle name="Comma 2" xfId="7" xr:uid="{379E2B0A-EBE4-47D6-880A-B79DDB523913}"/>
    <cellStyle name="Currency" xfId="2" builtinId="4"/>
    <cellStyle name="Good" xfId="4" builtinId="26"/>
    <cellStyle name="Hyperlink" xfId="6" builtinId="8"/>
    <cellStyle name="Normal" xfId="0" builtinId="0"/>
    <cellStyle name="Percent" xfId="3" builtinId="5"/>
  </cellStyles>
  <dxfs count="2">
    <dxf>
      <fill>
        <patternFill>
          <bgColor theme="7" tint="0.79998168889431442"/>
        </patternFill>
      </fill>
    </dxf>
    <dxf>
      <fill>
        <patternFill>
          <bgColor theme="7"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un Kiat Ng" id="{BDFE0133-955B-4B79-94FA-4690F421BDA3}" userId="S::u7338876@anu.edu.au::1359c5bb-2e00-4745-aed6-09d57c8b03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 dT="2024-08-25T04:45:16.67" personId="{BDFE0133-955B-4B79-94FA-4690F421BDA3}" id="{37E6DE4E-EEB0-4A4D-A17E-BCC8EE264A59}">
    <text>https://cdn-links.lww.com/permalink/ede/b/ede_2019_01_31_deen_ede18-0313r2_sdc1.pdf
etable 2</text>
    <extLst>
      <x:ext xmlns:xltc2="http://schemas.microsoft.com/office/spreadsheetml/2020/threadedcomments2" uri="{F7C98A9C-CBB3-438F-8F68-D28B6AF4A901}">
        <xltc2:checksum>4094718592</xltc2:checksum>
        <xltc2:hyperlink startIndex="0" length="83" url="https://cdn-links.lww.com/permalink/ede/b/ede_2019_01_31_deen_ede18-0313r2_sdc1.pdf"/>
      </x:ext>
    </extLst>
  </threadedComment>
  <threadedComment ref="L23" dT="2024-08-19T01:06:20.41" personId="{BDFE0133-955B-4B79-94FA-4690F421BDA3}" id="{98ED3DD4-CE7E-4DD5-95AC-04EEFEBC697A}">
    <text>50% in the first year and a further 5% each year thereafter</text>
  </threadedComment>
  <threadedComment ref="M23" dT="2024-08-25T01:44:31.49" personId="{BDFE0133-955B-4B79-94FA-4690F421BDA3}" id="{C7A4D08C-7D21-4763-8565-93EFE311074A}">
    <text>van der Deen 2018</text>
  </threadedComment>
  <threadedComment ref="O23" dT="2024-08-25T01:18:56.05" personId="{BDFE0133-955B-4B79-94FA-4690F421BDA3}" id="{3F570D2A-032A-4194-A184-4010F2DDC380}">
    <text>0% uptake as a result of tobacco free generation</text>
  </threadedComment>
  <threadedComment ref="L47" dT="2024-08-19T01:14:11.80" personId="{BDFE0133-955B-4B79-94FA-4690F421BDA3}" id="{5B70D898-D564-4ADC-A0E6-DFE569DD8A32}">
    <text>NZ tobacco outlets (n=5008)
Eliminating within 1km of schools: 641 remaining outlets 
Eliminating within 2km of schools: 260 remaining outlets
https://tobaccocontrol.bmj.com/content/tobaccocontrol/24/e1/e32.full.pdf</text>
  </threadedComment>
  <threadedComment ref="L47" dT="2024-08-25T02:19:45.73" personId="{BDFE0133-955B-4B79-94FA-4690F421BDA3}" id="{683D72A5-A642-419D-B341-51FCEA877F95}" parentId="{5B70D898-D564-4ADC-A0E6-DFE569DD8A32}">
    <text>See supplementary material</text>
  </threadedComment>
  <threadedComment ref="M47" dT="2024-08-25T02:25:37.20" personId="{BDFE0133-955B-4B79-94FA-4690F421BDA3}" id="{B1C4A2BC-9E9A-4D5B-B19B-1524EC19B02F}">
    <text>Māori age 20+ years smoking prevalence is 31.8%, falling to 28.7% under BAU by 2025.
For non-Māori, the smoking prevalence is 11.8% in 2022, falling to 10.8% in 2025 under BAU</text>
  </threadedComment>
  <threadedComment ref="M47" dT="2024-08-25T02:30:15.07" personId="{BDFE0133-955B-4B79-94FA-4690F421BDA3}" id="{D7D89761-A0D2-408A-88C0-7E6A082DD90B}" parentId="{B1C4A2BC-9E9A-4D5B-B19B-1524EC19B02F}">
    <text>Maori percentage 17.8%. Smoking prevalence in population is 14%</text>
  </threadedComment>
  <threadedComment ref="J55" dT="2024-11-25T22:04:52.64" personId="{BDFE0133-955B-4B79-94FA-4690F421BDA3}" id="{9A50D6A8-2216-4046-8656-7C1EDC284CAB}">
    <text>No data on smoking prevalence</text>
  </threadedComment>
  <threadedComment ref="L115" dT="2024-08-19T01:24:28.83" personId="{BDFE0133-955B-4B79-94FA-4690F421BDA3}" id="{79B62659-EA71-4E59-B085-B4613B86174E}">
    <text>50% of liquor stores (n = 386 stores nationwide in NZ)
https://tobaccocontrol.bmj.com/content/tobaccocontrol/26/5/579.full.pdf</text>
  </threadedComment>
  <threadedComment ref="M115" dT="2024-08-25T02:49:22.65" personId="{BDFE0133-955B-4B79-94FA-4690F421BDA3}" id="{326D7174-DB8A-4D63-81A1-4D333D99B331}">
    <text>Tobacco retail outlet supplementary</text>
  </threadedComment>
  <threadedComment ref="L118" dT="2024-08-19T01:30:40.31" personId="{BDFE0133-955B-4B79-94FA-4690F421BDA3}" id="{5420EA0E-06DD-4A8E-85B2-6DB4F83944F7}">
    <text>1082 community pharmacy addresses
tobacco retail outlets (n=5979)
https://tobaccocontrol.bmj.com/content/tobaccocontrol/28/6/643.full.pdf</text>
  </threadedComment>
  <threadedComment ref="M118" dT="2024-08-25T02:56:10.03" personId="{BDFE0133-955B-4B79-94FA-4690F421BDA3}" id="{0645B279-0A4B-46A8-9961-BE35A6E9A88E}">
    <text>https://tobaccocontrol.bmj.com/content/tobaccocontrol/28/6/643.full.pdf?casa_token=lngtmw-M_8QAAAAA:Zc34ir1TUi1IPrdEUizo_1QUuQUGcLhjMLo4yh2B3DXvJu_hXadfvEFxLBOnIjJrMNfW72KIyQvC</text>
  </threadedComment>
  <threadedComment ref="L119" dT="2024-08-19T01:30:40.31" personId="{BDFE0133-955B-4B79-94FA-4690F421BDA3}" id="{30EBAAA1-FA6E-4032-ADCB-9D936531F3D2}">
    <text>1082 community pharmacy addresses
tobacco retail outlets (n=5979)
https://tobaccocontrol.bmj.com/content/tobaccocontrol/28/6/643.full.pdf</text>
  </threadedComment>
  <threadedComment ref="M140" dT="2024-08-25T02:10:15.45" personId="{BDFE0133-955B-4B79-94FA-4690F421BDA3}" id="{B4823834-D86F-42F0-8557-9D30A6C9F378}">
    <text>van der Deen, 2018</text>
  </threadedComment>
  <threadedComment ref="M179" dT="2024-08-25T04:12:31.43" personId="{BDFE0133-955B-4B79-94FA-4690F421BDA3}" id="{05CA107E-B2D2-4BA0-8070-05851197C012}">
    <text xml:space="preserve">file:///C:/Users/ngjun/Downloads/tobaccocontrol-2018-May-27-3-278-inline-supplementary-material-1.pdf
Tobacco control 2018 Supplementary
</text>
  </threadedComment>
  <threadedComment ref="M180" dT="2024-08-25T04:12:31.43" personId="{BDFE0133-955B-4B79-94FA-4690F421BDA3}" id="{140B0C01-63BC-4936-BA04-32535B77603B}">
    <text xml:space="preserve">file:///C:/Users/ngjun/Downloads/tobaccocontrol-2018-May-27-3-278-inline-supplementary-material-1.pdf
Tobacco control 2018 Supplementary
</text>
  </threadedComment>
  <threadedComment ref="M181" dT="2024-08-25T04:12:31.43" personId="{BDFE0133-955B-4B79-94FA-4690F421BDA3}" id="{CE9E0013-7814-4C1E-9BB0-6E3DDE8E2ABC}">
    <text xml:space="preserve">file:///C:/Users/ngjun/Downloads/tobaccocontrol-2018-May-27-3-278-inline-supplementary-material-1.pdf
Tobacco control 2018 Supplementary
</text>
  </threadedComment>
  <threadedComment ref="M182" dT="2024-08-25T04:12:31.43" personId="{BDFE0133-955B-4B79-94FA-4690F421BDA3}" id="{3B73BDBA-1096-489F-A03D-2653C801AC8F}">
    <text xml:space="preserve">file:///C:/Users/ngjun/Downloads/tobaccocontrol-2018-May-27-3-278-inline-supplementary-material-1.pdf
Tobacco control 2018 Supplementary
</text>
  </threadedComment>
  <threadedComment ref="M183" dT="2024-08-25T04:12:31.43" personId="{BDFE0133-955B-4B79-94FA-4690F421BDA3}" id="{4DCF8C7C-A6EF-4399-A510-BE30DAB96925}">
    <text xml:space="preserve">file:///C:/Users/ngjun/Downloads/tobaccocontrol-2018-May-27-3-278-inline-supplementary-material-1.pdf
Tobacco control 2018 Supplementary
</text>
  </threadedComment>
  <threadedComment ref="M185" dT="2024-08-25T04:12:31.43" personId="{BDFE0133-955B-4B79-94FA-4690F421BDA3}" id="{2DD2F63F-E7D4-4F14-A4F1-CF3C0DFD3569}">
    <text xml:space="preserve">file:///C:/Users/ngjun/Downloads/tobaccocontrol-2018-May-27-3-278-inline-supplementary-material-1.pdf
Tobacco control 2018 Supplementary
</text>
  </threadedComment>
  <threadedComment ref="M186" dT="2024-08-25T04:12:31.43" personId="{BDFE0133-955B-4B79-94FA-4690F421BDA3}" id="{77FAE10C-500A-4836-AE84-B91E1FA03CCD}">
    <text xml:space="preserve">file:///C:/Users/ngjun/Downloads/tobaccocontrol-2018-May-27-3-278-inline-supplementary-material-1.pdf
Tobacco control 2018 Supplementary
</text>
  </threadedComment>
  <threadedComment ref="M187" dT="2024-08-25T04:12:31.43" personId="{BDFE0133-955B-4B79-94FA-4690F421BDA3}" id="{A54C3F43-56F3-42CF-9AB3-FA669B02C460}">
    <text xml:space="preserve">file:///C:/Users/ngjun/Downloads/tobaccocontrol-2018-May-27-3-278-inline-supplementary-material-1.pdf
Tobacco control 2018 Supplementary
</text>
  </threadedComment>
  <threadedComment ref="M188" dT="2024-08-25T04:12:31.43" personId="{BDFE0133-955B-4B79-94FA-4690F421BDA3}" id="{15727CCE-CC4A-4184-8343-217E8D844E84}">
    <text xml:space="preserve">file:///C:/Users/ngjun/Downloads/tobaccocontrol-2018-May-27-3-278-inline-supplementary-material-1.pdf
Tobacco control 2018 Supplementary
</text>
  </threadedComment>
  <threadedComment ref="M189" dT="2024-08-25T04:12:31.43" personId="{BDFE0133-955B-4B79-94FA-4690F421BDA3}" id="{ACE676C0-DD09-4EC7-BA0D-526B3C8785F2}">
    <text xml:space="preserve">file:///C:/Users/ngjun/Downloads/tobaccocontrol-2018-May-27-3-278-inline-supplementary-material-1.pdf
Tobacco control 2018 Supplementary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www.otago.ac.nz/cs/groups/public/@uowbode3/documents/contributorpdf/otago622835.pdf" TargetMode="External"/><Relationship Id="rId18" Type="http://schemas.openxmlformats.org/officeDocument/2006/relationships/hyperlink" Target="https://www.ncbi.nlm.nih.gov/pubmed/28739609" TargetMode="External"/><Relationship Id="rId26" Type="http://schemas.openxmlformats.org/officeDocument/2006/relationships/hyperlink" Target="https://www.ncbi.nlm.nih.gov/pubmed/30849943" TargetMode="External"/><Relationship Id="rId39" Type="http://schemas.microsoft.com/office/2017/10/relationships/threadedComment" Target="../threadedComments/threadedComment1.xml"/><Relationship Id="rId21" Type="http://schemas.openxmlformats.org/officeDocument/2006/relationships/hyperlink" Target="https://www.ncbi.nlm.nih.gov/pubmed/30789423" TargetMode="External"/><Relationship Id="rId34" Type="http://schemas.openxmlformats.org/officeDocument/2006/relationships/hyperlink" Target="https://tobaccocontrol.bmj.com/content/28/6/643.abstract?casa_token=hosvxS-ISdgAAAAA:w_DkdmoG0waeqsT7UYXWherpByJSq-mTpvH3Eo23UuXIdZ2PQfWTmSxdIrcBOVvHrE5hWQYAy-jo" TargetMode="External"/><Relationship Id="rId7" Type="http://schemas.openxmlformats.org/officeDocument/2006/relationships/hyperlink" Target="https://www.ncbi.nlm.nih.gov/pubmed/28647728" TargetMode="External"/><Relationship Id="rId12" Type="http://schemas.openxmlformats.org/officeDocument/2006/relationships/hyperlink" Target="https://www.ncbi.nlm.nih.gov/pubmed/28005928" TargetMode="External"/><Relationship Id="rId17" Type="http://schemas.openxmlformats.org/officeDocument/2006/relationships/hyperlink" Target="https://www.ncbi.nlm.nih.gov/pubmed/28739609" TargetMode="External"/><Relationship Id="rId25" Type="http://schemas.openxmlformats.org/officeDocument/2006/relationships/hyperlink" Target="https://www.ncbi.nlm.nih.gov/pubmed/30849943" TargetMode="External"/><Relationship Id="rId33" Type="http://schemas.openxmlformats.org/officeDocument/2006/relationships/hyperlink" Target="https://tobaccocontrol.bmj.com/content/28/6/643.abstract?casa_token=hosvxS-ISdgAAAAA:w_DkdmoG0waeqsT7UYXWherpByJSq-mTpvH3Eo23UuXIdZ2PQfWTmSxdIrcBOVvHrE5hWQYAy-jo" TargetMode="External"/><Relationship Id="rId38" Type="http://schemas.openxmlformats.org/officeDocument/2006/relationships/comments" Target="../comments1.xml"/><Relationship Id="rId2" Type="http://schemas.openxmlformats.org/officeDocument/2006/relationships/hyperlink" Target="http://tobaccocontrol.bmj.com/content/17/6/379" TargetMode="External"/><Relationship Id="rId16" Type="http://schemas.openxmlformats.org/officeDocument/2006/relationships/hyperlink" Target="https://doi.org/10.1016/j.ypmed.2019.01.009" TargetMode="External"/><Relationship Id="rId20" Type="http://schemas.openxmlformats.org/officeDocument/2006/relationships/hyperlink" Target="https://www.ncbi.nlm.nih.gov/pubmed/30789423" TargetMode="External"/><Relationship Id="rId29" Type="http://schemas.openxmlformats.org/officeDocument/2006/relationships/hyperlink" Target="https://www.ncbi.nlm.nih.gov/pubmed/28647728" TargetMode="External"/><Relationship Id="rId1" Type="http://schemas.openxmlformats.org/officeDocument/2006/relationships/hyperlink" Target="https://tobaccocontrol.bmj.com/content/early/2013/06/07/tobaccocontrol-2012-050907" TargetMode="External"/><Relationship Id="rId6" Type="http://schemas.openxmlformats.org/officeDocument/2006/relationships/hyperlink" Target="https://www.ncbi.nlm.nih.gov/pubmed/28647728" TargetMode="External"/><Relationship Id="rId11" Type="http://schemas.openxmlformats.org/officeDocument/2006/relationships/hyperlink" Target="https://www.ncbi.nlm.nih.gov/pubmed/27660112" TargetMode="External"/><Relationship Id="rId24" Type="http://schemas.openxmlformats.org/officeDocument/2006/relationships/hyperlink" Target="https://www.ncbi.nlm.nih.gov/pubmed/30789423" TargetMode="External"/><Relationship Id="rId32" Type="http://schemas.openxmlformats.org/officeDocument/2006/relationships/hyperlink" Target="https://tobaccocontrol.bmj.com/content/28/6/643.abstract?casa_token=hosvxS-ISdgAAAAA:w_DkdmoG0waeqsT7UYXWherpByJSq-mTpvH3Eo23UuXIdZ2PQfWTmSxdIrcBOVvHrE5hWQYAy-jo" TargetMode="External"/><Relationship Id="rId37" Type="http://schemas.openxmlformats.org/officeDocument/2006/relationships/vmlDrawing" Target="../drawings/vmlDrawing1.vml"/><Relationship Id="rId5" Type="http://schemas.openxmlformats.org/officeDocument/2006/relationships/hyperlink" Target="https://www.ncbi.nlm.nih.gov/pubmed/28647728" TargetMode="External"/><Relationship Id="rId15" Type="http://schemas.openxmlformats.org/officeDocument/2006/relationships/hyperlink" Target="https://www.ncbi.nlm.nih.gov/pubmed/30849943" TargetMode="External"/><Relationship Id="rId23" Type="http://schemas.openxmlformats.org/officeDocument/2006/relationships/hyperlink" Target="https://www.ncbi.nlm.nih.gov/pubmed/30789423" TargetMode="External"/><Relationship Id="rId28" Type="http://schemas.openxmlformats.org/officeDocument/2006/relationships/hyperlink" Target="https://www.ncbi.nlm.nih.gov/pubmed/30849943" TargetMode="External"/><Relationship Id="rId36" Type="http://schemas.openxmlformats.org/officeDocument/2006/relationships/hyperlink" Target="https://public-health.uq.edu.au/research/centres/past-centres/assessing-cost-effectiveness-ace-prevention-study" TargetMode="External"/><Relationship Id="rId10" Type="http://schemas.openxmlformats.org/officeDocument/2006/relationships/hyperlink" Target="https://www.ncbi.nlm.nih.gov/pubmed/27660112" TargetMode="External"/><Relationship Id="rId19" Type="http://schemas.openxmlformats.org/officeDocument/2006/relationships/hyperlink" Target="https://www.ncbi.nlm.nih.gov/pubmed/30789423" TargetMode="External"/><Relationship Id="rId31" Type="http://schemas.openxmlformats.org/officeDocument/2006/relationships/hyperlink" Target="https://tobaccocontrol.bmj.com/content/28/6/643.abstract?casa_token=hosvxS-ISdgAAAAA:w_DkdmoG0waeqsT7UYXWherpByJSq-mTpvH3Eo23UuXIdZ2PQfWTmSxdIrcBOVvHrE5hWQYAy-jo" TargetMode="External"/><Relationship Id="rId4" Type="http://schemas.openxmlformats.org/officeDocument/2006/relationships/hyperlink" Target="https://www.ncbi.nlm.nih.gov/pubmed/28647728" TargetMode="External"/><Relationship Id="rId9" Type="http://schemas.openxmlformats.org/officeDocument/2006/relationships/hyperlink" Target="https://www.ncbi.nlm.nih.gov/pubmed/28647728" TargetMode="External"/><Relationship Id="rId14" Type="http://schemas.openxmlformats.org/officeDocument/2006/relationships/hyperlink" Target="https://www.ncbi.nlm.nih.gov/pubmed/30849943" TargetMode="External"/><Relationship Id="rId22" Type="http://schemas.openxmlformats.org/officeDocument/2006/relationships/hyperlink" Target="https://www.ncbi.nlm.nih.gov/pubmed/30789423" TargetMode="External"/><Relationship Id="rId27" Type="http://schemas.openxmlformats.org/officeDocument/2006/relationships/hyperlink" Target="https://www.ncbi.nlm.nih.gov/pubmed/30849943" TargetMode="External"/><Relationship Id="rId30" Type="http://schemas.openxmlformats.org/officeDocument/2006/relationships/hyperlink" Target="https://tobaccocontrol.bmj.com/content/28/6/643.abstract?casa_token=hosvxS-ISdgAAAAA:w_DkdmoG0waeqsT7UYXWherpByJSq-mTpvH3Eo23UuXIdZ2PQfWTmSxdIrcBOVvHrE5hWQYAy-jo" TargetMode="External"/><Relationship Id="rId35" Type="http://schemas.openxmlformats.org/officeDocument/2006/relationships/hyperlink" Target="https://tobaccocontrol.bmj.com/content/28/6/643.abstract?casa_token=hosvxS-ISdgAAAAA:w_DkdmoG0waeqsT7UYXWherpByJSq-mTpvH3Eo23UuXIdZ2PQfWTmSxdIrcBOVvHrE5hWQYAy-jo" TargetMode="External"/><Relationship Id="rId8" Type="http://schemas.openxmlformats.org/officeDocument/2006/relationships/hyperlink" Target="https://www.ncbi.nlm.nih.gov/pubmed/28647728" TargetMode="External"/><Relationship Id="rId3" Type="http://schemas.openxmlformats.org/officeDocument/2006/relationships/hyperlink" Target="http://www.otago.ac.nz/cs/groups/public/@uowbode3/documents/contributorpdf/otago62283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1048576"/>
  <sheetViews>
    <sheetView tabSelected="1" workbookViewId="0">
      <pane ySplit="1" topLeftCell="A163" activePane="bottomLeft" state="frozen"/>
      <selection pane="bottomLeft" activeCell="N163" sqref="N163"/>
    </sheetView>
  </sheetViews>
  <sheetFormatPr defaultRowHeight="15"/>
  <cols>
    <col min="1" max="1" width="14.140625" style="1" bestFit="1" customWidth="1"/>
    <col min="2" max="9" width="9.140625" style="1"/>
    <col min="10" max="15" width="16.28515625" style="1" customWidth="1"/>
    <col min="16" max="25" width="9.140625" style="1"/>
    <col min="26" max="26" width="9.140625" style="5"/>
    <col min="27" max="28" width="9.140625" style="1"/>
    <col min="29" max="29" width="13.5703125" style="1" bestFit="1" customWidth="1"/>
    <col min="30" max="30" width="16.28515625" style="1" bestFit="1" customWidth="1"/>
    <col min="31" max="31" width="9.140625" style="1"/>
    <col min="32" max="32" width="16.42578125" style="1" bestFit="1" customWidth="1"/>
    <col min="33" max="35" width="10.28515625" style="1" bestFit="1" customWidth="1"/>
    <col min="36" max="36" width="11" style="1" bestFit="1" customWidth="1"/>
    <col min="37" max="37" width="12.5703125" style="1" bestFit="1" customWidth="1"/>
    <col min="38" max="38" width="13" style="1" bestFit="1" customWidth="1"/>
    <col min="39" max="39" width="12.5703125" style="1" bestFit="1" customWidth="1"/>
    <col min="40" max="43" width="9.140625" style="1"/>
    <col min="44" max="46" width="18.5703125" style="1" bestFit="1" customWidth="1"/>
    <col min="47" max="47" width="13.7109375" style="2" bestFit="1" customWidth="1"/>
    <col min="48" max="49" width="13.7109375" style="1" bestFit="1" customWidth="1"/>
    <col min="50" max="50" width="10" style="1" bestFit="1" customWidth="1"/>
    <col min="51" max="52" width="9.140625" style="1"/>
    <col min="53" max="53" width="15.85546875" style="1" bestFit="1" customWidth="1"/>
    <col min="54" max="55" width="12.140625" style="1" bestFit="1" customWidth="1"/>
    <col min="56" max="62" width="9.140625" style="1"/>
    <col min="63" max="63" width="12.5703125" style="1" bestFit="1" customWidth="1"/>
    <col min="64" max="64" width="11.42578125" style="1" bestFit="1" customWidth="1"/>
    <col min="65" max="65" width="12.5703125" style="1" bestFit="1" customWidth="1"/>
    <col min="66" max="66" width="12.7109375" style="1" bestFit="1" customWidth="1"/>
    <col min="67" max="68" width="12.28515625" style="1" bestFit="1" customWidth="1"/>
    <col min="69" max="74" width="9.140625" style="1"/>
    <col min="75" max="75" width="45.140625" style="1" bestFit="1" customWidth="1"/>
    <col min="76" max="76" width="9.140625" style="1"/>
    <col min="77" max="77" width="60.42578125" style="1" bestFit="1" customWidth="1"/>
    <col min="78" max="78" width="15.42578125" style="1" bestFit="1" customWidth="1"/>
    <col min="79" max="79" width="4.85546875" style="1" bestFit="1" customWidth="1"/>
    <col min="80" max="80" width="5" style="1" bestFit="1" customWidth="1"/>
    <col min="81" max="81" width="9.140625" style="1"/>
    <col min="82" max="82" width="78.5703125" style="1" bestFit="1" customWidth="1"/>
    <col min="83" max="83" width="255.7109375" style="1" bestFit="1" customWidth="1"/>
    <col min="84" max="84" width="9.28515625" style="1" bestFit="1" customWidth="1"/>
    <col min="85" max="85" width="16.5703125" style="1" bestFit="1" customWidth="1"/>
    <col min="86" max="86" width="11.85546875" style="1" bestFit="1" customWidth="1"/>
    <col min="87" max="87" width="11.140625" style="1" bestFit="1" customWidth="1"/>
    <col min="88" max="88" width="9.7109375" style="1" bestFit="1" customWidth="1"/>
    <col min="89" max="89" width="14.140625" style="1" bestFit="1" customWidth="1"/>
    <col min="90" max="90" width="23.42578125" style="1" bestFit="1" customWidth="1"/>
    <col min="91" max="91" width="20.140625" style="1" bestFit="1" customWidth="1"/>
    <col min="92" max="92" width="12.140625" style="1" bestFit="1" customWidth="1"/>
    <col min="93" max="16384" width="9.140625" style="1"/>
  </cols>
  <sheetData>
    <row r="1" spans="1:92" ht="121.5">
      <c r="A1" s="7" t="s">
        <v>0</v>
      </c>
      <c r="B1" s="8" t="s">
        <v>1</v>
      </c>
      <c r="C1" s="8" t="s">
        <v>2</v>
      </c>
      <c r="D1" s="8" t="s">
        <v>3</v>
      </c>
      <c r="E1" s="8" t="s">
        <v>4</v>
      </c>
      <c r="F1" s="8" t="s">
        <v>5</v>
      </c>
      <c r="G1" s="8" t="s">
        <v>6</v>
      </c>
      <c r="H1" s="10" t="s">
        <v>7</v>
      </c>
      <c r="I1" s="8" t="s">
        <v>8</v>
      </c>
      <c r="J1" s="3" t="s">
        <v>9</v>
      </c>
      <c r="K1" s="6" t="s">
        <v>10</v>
      </c>
      <c r="L1" s="6" t="s">
        <v>11</v>
      </c>
      <c r="M1" s="6" t="s">
        <v>12</v>
      </c>
      <c r="N1" s="6" t="s">
        <v>13</v>
      </c>
      <c r="O1" s="6" t="s">
        <v>14</v>
      </c>
      <c r="P1" s="11" t="s">
        <v>15</v>
      </c>
      <c r="Q1" s="8" t="s">
        <v>16</v>
      </c>
      <c r="R1" s="8" t="s">
        <v>17</v>
      </c>
      <c r="S1" s="12" t="s">
        <v>18</v>
      </c>
      <c r="T1" s="12" t="s">
        <v>19</v>
      </c>
      <c r="U1" s="12" t="s">
        <v>20</v>
      </c>
      <c r="V1" s="75" t="s">
        <v>21</v>
      </c>
      <c r="W1" s="13" t="s">
        <v>22</v>
      </c>
      <c r="X1" s="13" t="s">
        <v>23</v>
      </c>
      <c r="Y1" s="8" t="s">
        <v>24</v>
      </c>
      <c r="Z1" s="14" t="s">
        <v>25</v>
      </c>
      <c r="AA1" s="10" t="s">
        <v>26</v>
      </c>
      <c r="AB1" s="8" t="s">
        <v>27</v>
      </c>
      <c r="AC1" s="15" t="s">
        <v>28</v>
      </c>
      <c r="AD1" s="16" t="s">
        <v>29</v>
      </c>
      <c r="AE1" s="8" t="s">
        <v>30</v>
      </c>
      <c r="AF1" s="7" t="s">
        <v>31</v>
      </c>
      <c r="AG1" s="17" t="s">
        <v>32</v>
      </c>
      <c r="AH1" s="17" t="s">
        <v>33</v>
      </c>
      <c r="AI1" s="17" t="s">
        <v>34</v>
      </c>
      <c r="AJ1" s="18" t="s">
        <v>35</v>
      </c>
      <c r="AK1" s="19" t="s">
        <v>36</v>
      </c>
      <c r="AL1" s="20" t="s">
        <v>37</v>
      </c>
      <c r="AM1" s="20" t="s">
        <v>38</v>
      </c>
      <c r="AN1" s="18" t="s">
        <v>39</v>
      </c>
      <c r="AO1" s="20" t="s">
        <v>40</v>
      </c>
      <c r="AP1" s="20" t="s">
        <v>41</v>
      </c>
      <c r="AQ1" s="20" t="s">
        <v>42</v>
      </c>
      <c r="AR1" s="21" t="s">
        <v>43</v>
      </c>
      <c r="AS1" s="21" t="s">
        <v>44</v>
      </c>
      <c r="AT1" s="21" t="s">
        <v>45</v>
      </c>
      <c r="AU1" s="22" t="s">
        <v>46</v>
      </c>
      <c r="AV1" s="21" t="s">
        <v>47</v>
      </c>
      <c r="AW1" s="21" t="s">
        <v>48</v>
      </c>
      <c r="AX1" s="21" t="s">
        <v>49</v>
      </c>
      <c r="AY1" s="21" t="s">
        <v>50</v>
      </c>
      <c r="AZ1" s="21" t="s">
        <v>51</v>
      </c>
      <c r="BA1" s="23" t="s">
        <v>52</v>
      </c>
      <c r="BB1" s="23" t="s">
        <v>53</v>
      </c>
      <c r="BC1" s="23" t="s">
        <v>54</v>
      </c>
      <c r="BD1" s="21" t="s">
        <v>55</v>
      </c>
      <c r="BE1" s="21" t="s">
        <v>56</v>
      </c>
      <c r="BF1" s="21" t="s">
        <v>57</v>
      </c>
      <c r="BG1" s="21" t="s">
        <v>58</v>
      </c>
      <c r="BH1" s="21" t="s">
        <v>59</v>
      </c>
      <c r="BI1" s="21" t="s">
        <v>60</v>
      </c>
      <c r="BJ1" s="24" t="s">
        <v>61</v>
      </c>
      <c r="BK1" s="25" t="s">
        <v>62</v>
      </c>
      <c r="BL1" s="25" t="s">
        <v>63</v>
      </c>
      <c r="BM1" s="25" t="s">
        <v>64</v>
      </c>
      <c r="BN1" s="25" t="s">
        <v>65</v>
      </c>
      <c r="BO1" s="25" t="s">
        <v>66</v>
      </c>
      <c r="BP1" s="25" t="s">
        <v>67</v>
      </c>
      <c r="BQ1" s="23" t="s">
        <v>68</v>
      </c>
      <c r="BR1" s="26" t="s">
        <v>69</v>
      </c>
      <c r="BS1" s="25" t="s">
        <v>70</v>
      </c>
      <c r="BT1" s="23" t="s">
        <v>71</v>
      </c>
      <c r="BU1" s="26" t="s">
        <v>72</v>
      </c>
      <c r="BV1" s="25" t="s">
        <v>73</v>
      </c>
      <c r="BW1" s="10" t="s">
        <v>74</v>
      </c>
      <c r="BX1" s="10" t="s">
        <v>75</v>
      </c>
      <c r="BY1" s="7" t="s">
        <v>76</v>
      </c>
      <c r="BZ1" s="27" t="s">
        <v>77</v>
      </c>
      <c r="CA1" s="28" t="s">
        <v>78</v>
      </c>
      <c r="CB1" s="28" t="s">
        <v>79</v>
      </c>
      <c r="CC1" s="29" t="s">
        <v>80</v>
      </c>
      <c r="CD1" s="27" t="s">
        <v>81</v>
      </c>
      <c r="CE1" s="27" t="s">
        <v>82</v>
      </c>
      <c r="CF1" s="27" t="s">
        <v>83</v>
      </c>
      <c r="CG1" s="27" t="s">
        <v>84</v>
      </c>
      <c r="CH1" s="27" t="s">
        <v>85</v>
      </c>
      <c r="CI1" s="27" t="s">
        <v>86</v>
      </c>
      <c r="CJ1" s="27" t="s">
        <v>87</v>
      </c>
      <c r="CK1" s="27" t="s">
        <v>88</v>
      </c>
      <c r="CL1" s="27" t="s">
        <v>89</v>
      </c>
      <c r="CM1" s="27" t="s">
        <v>90</v>
      </c>
      <c r="CN1" s="27" t="s">
        <v>91</v>
      </c>
    </row>
    <row r="2" spans="1:92" ht="130.5">
      <c r="A2" s="16" t="s">
        <v>92</v>
      </c>
      <c r="B2" s="8" t="s">
        <v>93</v>
      </c>
      <c r="C2" s="8" t="s">
        <v>94</v>
      </c>
      <c r="D2" s="8" t="s">
        <v>95</v>
      </c>
      <c r="E2" s="8" t="s">
        <v>96</v>
      </c>
      <c r="F2" s="8" t="s">
        <v>97</v>
      </c>
      <c r="G2" s="8" t="s">
        <v>98</v>
      </c>
      <c r="H2" s="8" t="s">
        <v>99</v>
      </c>
      <c r="I2" s="8" t="s">
        <v>100</v>
      </c>
      <c r="J2" s="3" t="s">
        <v>101</v>
      </c>
      <c r="K2" s="3" t="s">
        <v>102</v>
      </c>
      <c r="L2" s="3" t="s">
        <v>103</v>
      </c>
      <c r="M2" s="3" t="s">
        <v>104</v>
      </c>
      <c r="N2" s="3" t="s">
        <v>105</v>
      </c>
      <c r="O2" s="3" t="s">
        <v>106</v>
      </c>
      <c r="P2" s="11" t="s">
        <v>107</v>
      </c>
      <c r="Q2" s="8" t="s">
        <v>108</v>
      </c>
      <c r="R2" s="8" t="s">
        <v>109</v>
      </c>
      <c r="S2" s="9" t="s">
        <v>110</v>
      </c>
      <c r="T2" s="9" t="s">
        <v>111</v>
      </c>
      <c r="U2" s="9" t="s">
        <v>112</v>
      </c>
      <c r="V2" s="75" t="s">
        <v>113</v>
      </c>
      <c r="W2" s="13" t="s">
        <v>114</v>
      </c>
      <c r="X2" s="13" t="s">
        <v>115</v>
      </c>
      <c r="Y2" s="8" t="s">
        <v>116</v>
      </c>
      <c r="Z2" s="30" t="s">
        <v>117</v>
      </c>
      <c r="AA2" s="8" t="s">
        <v>118</v>
      </c>
      <c r="AB2" s="8" t="s">
        <v>119</v>
      </c>
      <c r="AC2" s="31" t="s">
        <v>120</v>
      </c>
      <c r="AD2" s="16" t="s">
        <v>121</v>
      </c>
      <c r="AE2" s="8" t="s">
        <v>122</v>
      </c>
      <c r="AF2" s="16" t="s">
        <v>123</v>
      </c>
      <c r="AG2" s="32" t="s">
        <v>124</v>
      </c>
      <c r="AH2" s="32" t="s">
        <v>125</v>
      </c>
      <c r="AI2" s="32" t="s">
        <v>126</v>
      </c>
      <c r="AJ2" s="33" t="s">
        <v>127</v>
      </c>
      <c r="AK2" s="34" t="s">
        <v>128</v>
      </c>
      <c r="AL2" s="35" t="s">
        <v>129</v>
      </c>
      <c r="AM2" s="35" t="s">
        <v>130</v>
      </c>
      <c r="AN2" s="33" t="s">
        <v>131</v>
      </c>
      <c r="AO2" s="35" t="s">
        <v>132</v>
      </c>
      <c r="AP2" s="35" t="s">
        <v>133</v>
      </c>
      <c r="AQ2" s="35" t="s">
        <v>134</v>
      </c>
      <c r="AR2" s="36" t="s">
        <v>135</v>
      </c>
      <c r="AS2" s="36" t="s">
        <v>136</v>
      </c>
      <c r="AT2" s="36" t="s">
        <v>137</v>
      </c>
      <c r="AU2" s="37" t="s">
        <v>138</v>
      </c>
      <c r="AV2" s="38" t="s">
        <v>139</v>
      </c>
      <c r="AW2" s="38" t="s">
        <v>140</v>
      </c>
      <c r="AX2" s="38" t="s">
        <v>141</v>
      </c>
      <c r="AY2" s="38" t="s">
        <v>142</v>
      </c>
      <c r="AZ2" s="38" t="s">
        <v>143</v>
      </c>
      <c r="BA2" s="36" t="s">
        <v>144</v>
      </c>
      <c r="BB2" s="36" t="s">
        <v>145</v>
      </c>
      <c r="BC2" s="36" t="s">
        <v>146</v>
      </c>
      <c r="BD2" s="38" t="s">
        <v>147</v>
      </c>
      <c r="BE2" s="38" t="s">
        <v>148</v>
      </c>
      <c r="BF2" s="38" t="s">
        <v>149</v>
      </c>
      <c r="BG2" s="38" t="s">
        <v>150</v>
      </c>
      <c r="BH2" s="38" t="s">
        <v>151</v>
      </c>
      <c r="BI2" s="38" t="s">
        <v>152</v>
      </c>
      <c r="BJ2" s="39" t="s">
        <v>153</v>
      </c>
      <c r="BK2" s="36" t="s">
        <v>154</v>
      </c>
      <c r="BL2" s="36" t="s">
        <v>155</v>
      </c>
      <c r="BM2" s="36" t="s">
        <v>156</v>
      </c>
      <c r="BN2" s="36" t="s">
        <v>157</v>
      </c>
      <c r="BO2" s="36" t="s">
        <v>158</v>
      </c>
      <c r="BP2" s="36" t="s">
        <v>159</v>
      </c>
      <c r="BQ2" s="36" t="s">
        <v>160</v>
      </c>
      <c r="BR2" s="40" t="s">
        <v>161</v>
      </c>
      <c r="BS2" s="36" t="s">
        <v>162</v>
      </c>
      <c r="BT2" s="36" t="s">
        <v>163</v>
      </c>
      <c r="BU2" s="40" t="s">
        <v>164</v>
      </c>
      <c r="BV2" s="36" t="s">
        <v>165</v>
      </c>
      <c r="BW2" s="8" t="s">
        <v>166</v>
      </c>
      <c r="BX2" s="8"/>
      <c r="BY2" s="16"/>
      <c r="BZ2" s="41" t="s">
        <v>167</v>
      </c>
      <c r="CA2" s="42"/>
      <c r="CB2" s="42"/>
      <c r="CC2" s="43"/>
      <c r="CD2" s="41"/>
      <c r="CE2" s="41"/>
      <c r="CF2" s="41"/>
      <c r="CG2" s="44" t="s">
        <v>168</v>
      </c>
      <c r="CH2" s="44" t="s">
        <v>169</v>
      </c>
      <c r="CI2" s="44"/>
      <c r="CJ2" s="41"/>
      <c r="CK2" s="41"/>
      <c r="CL2" s="41"/>
      <c r="CM2" s="41"/>
      <c r="CN2" s="41"/>
    </row>
    <row r="3" spans="1:92" ht="198" hidden="1">
      <c r="A3" s="16" t="str">
        <f t="shared" ref="A3:A48" si="0">B3</f>
        <v>Tobacco</v>
      </c>
      <c r="B3" s="8" t="s">
        <v>170</v>
      </c>
      <c r="C3" s="8"/>
      <c r="D3" s="8" t="s">
        <v>171</v>
      </c>
      <c r="E3" s="8" t="s">
        <v>172</v>
      </c>
      <c r="F3" s="8" t="str">
        <f t="shared" ref="F3:F66" si="1">CONCATENATE(B3,"; ",C3,"; ",E3,"; ",D3)</f>
        <v>Tobacco; ; Prevention ; Mass media campaign</v>
      </c>
      <c r="G3" s="8" t="s">
        <v>173</v>
      </c>
      <c r="H3" s="8">
        <v>2001</v>
      </c>
      <c r="I3" s="8" t="str">
        <f>CONCATENATE(A3,", ",G3,": ",J3)</f>
        <v>Tobacco, AUS: Australian National Tobacco Campaign starting 1997, an 'intensive' mass media campaign</v>
      </c>
      <c r="J3" s="4" t="s">
        <v>174</v>
      </c>
      <c r="K3" s="4"/>
      <c r="L3" s="4"/>
      <c r="M3" s="4"/>
      <c r="N3" s="4"/>
      <c r="O3" s="4"/>
      <c r="P3" s="9" t="s">
        <v>175</v>
      </c>
      <c r="Q3" s="8" t="str">
        <f>IF($P3="Main",J3,BX3)</f>
        <v>Australian National Tobacco Campaign starting 1997, an 'intensive' mass media campaign</v>
      </c>
      <c r="R3" s="8" t="str">
        <f>IF($P3="Main",CONCATENATE(J3,": ",G3),BY3)</f>
        <v>Australian National Tobacco Campaign starting 1997, an 'intensive' mass media campaign: AUS</v>
      </c>
      <c r="S3" s="9"/>
      <c r="T3" s="9"/>
      <c r="U3" s="9"/>
      <c r="V3" s="75" t="s">
        <v>176</v>
      </c>
      <c r="W3" s="13"/>
      <c r="X3" s="13"/>
      <c r="Y3" s="8" t="s">
        <v>177</v>
      </c>
      <c r="Z3" s="30" t="s">
        <v>178</v>
      </c>
      <c r="AA3" s="8" t="s">
        <v>179</v>
      </c>
      <c r="AB3" s="8" t="s">
        <v>180</v>
      </c>
      <c r="AC3" s="31">
        <v>0.03</v>
      </c>
      <c r="AD3" s="45" t="s">
        <v>181</v>
      </c>
      <c r="AE3" s="16"/>
      <c r="AF3" s="16"/>
      <c r="AG3" s="46">
        <v>407000</v>
      </c>
      <c r="AH3" s="47"/>
      <c r="AI3" s="47"/>
      <c r="AJ3" s="48">
        <v>19274701</v>
      </c>
      <c r="AK3" s="49">
        <f t="shared" ref="AK3:AM66" si="2">AG3/$AJ3*1000</f>
        <v>21.115762055141605</v>
      </c>
      <c r="AL3" s="50"/>
      <c r="AM3" s="50"/>
      <c r="AN3" s="46">
        <v>4433181.2300000004</v>
      </c>
      <c r="AO3" s="50">
        <f>AG3/$AN3</f>
        <v>9.1807661109311323E-2</v>
      </c>
      <c r="AP3" s="50"/>
      <c r="AQ3" s="50"/>
      <c r="AR3" s="40">
        <v>-730470000</v>
      </c>
      <c r="AS3" s="51"/>
      <c r="AT3" s="51"/>
      <c r="AU3" s="52">
        <f>AR3/$AJ3*1000</f>
        <v>-37897.864148450346</v>
      </c>
      <c r="AV3" s="40"/>
      <c r="AW3" s="40"/>
      <c r="AX3" s="40">
        <f>AR3/$AN3</f>
        <v>-164.77332238456671</v>
      </c>
      <c r="AY3" s="40"/>
      <c r="AZ3" s="40"/>
      <c r="BA3" s="51"/>
      <c r="BB3" s="51"/>
      <c r="BC3" s="51"/>
      <c r="BD3" s="40"/>
      <c r="BE3" s="51"/>
      <c r="BF3" s="51"/>
      <c r="BG3" s="51"/>
      <c r="BH3" s="51"/>
      <c r="BI3" s="51"/>
      <c r="BJ3" s="39" t="s">
        <v>182</v>
      </c>
      <c r="BK3" s="41" t="str">
        <f t="shared" ref="BK3:BM34" si="3">IF($BJ3="Y",IF(BN3="",IF(BQ3="",BT3,BQ3),BN3),"")</f>
        <v>Cost-saving</v>
      </c>
      <c r="BL3" s="41">
        <f t="shared" si="3"/>
        <v>0</v>
      </c>
      <c r="BM3" s="41">
        <f t="shared" si="3"/>
        <v>0</v>
      </c>
      <c r="BN3" s="51" t="s">
        <v>183</v>
      </c>
      <c r="BO3" s="51"/>
      <c r="BP3" s="51"/>
      <c r="BQ3" s="40" t="str">
        <f>BN3</f>
        <v>Cost-saving</v>
      </c>
      <c r="BR3" s="40"/>
      <c r="BS3" s="40"/>
      <c r="BT3" s="40" t="str">
        <f>BN3</f>
        <v>Cost-saving</v>
      </c>
      <c r="BU3" s="40"/>
      <c r="BV3" s="40"/>
      <c r="BW3" s="132" t="s">
        <v>184</v>
      </c>
      <c r="BX3" s="8"/>
      <c r="BY3" s="16"/>
      <c r="BZ3" s="41">
        <v>2008</v>
      </c>
      <c r="CA3" s="41" t="s">
        <v>185</v>
      </c>
      <c r="CB3" s="41"/>
      <c r="CC3" s="53">
        <f t="shared" ref="CC3:CC61" si="4">LEN(J3)</f>
        <v>86</v>
      </c>
      <c r="CD3" s="41" t="s">
        <v>186</v>
      </c>
      <c r="CE3" s="41"/>
      <c r="CF3" s="41"/>
      <c r="CG3" s="54">
        <v>1</v>
      </c>
      <c r="CH3" s="54" t="str">
        <f>IF(CK3=0,"",IF(V3="Persistent",5,IF(V3="Once",1,IF(V3="One-off",1,"manual overwrite"))))</f>
        <v/>
      </c>
      <c r="CI3" s="54"/>
      <c r="CJ3" s="41">
        <f t="shared" ref="CJ3:CJ48" si="5">IF(CD3="Vos, Carter, Barendregt, Mihalopoulos, Veerman, Magnus, Cobiac, Bertram, Wallace &amp; ACE-Prevention Team",1,0)</f>
        <v>0</v>
      </c>
      <c r="CK3" s="41">
        <f>IF(CA3="C",0,IF(P3="Het",0,IF(SUM(AG3,AO3)=0,0,1)))</f>
        <v>0</v>
      </c>
      <c r="CL3" s="55" t="e">
        <f>IF(G3="AUS",VLOOKUP(H3,$CU$5:$CW$23,2),IF(G3="NZ",VLOOKUP(H3,$CU$5:$CW$23,3),"error"))*AU3</f>
        <v>#N/A</v>
      </c>
      <c r="CM3" s="56" t="e">
        <f>IF(G3="AUS",VLOOKUP(H3,$CU$5:$CW$23,2),IF(G3="NZ",VLOOKUP(H3,$CU$5:$CW$23,3),"error"))*AX3</f>
        <v>#N/A</v>
      </c>
      <c r="CN3" s="55" t="e">
        <f>IF(G3="AUS",VLOOKUP(H3,$CU$5:$CW$23,2),IF(G3="NZ",VLOOKUP(H3,$CU$5:$CW$23,3),"error"))*BK3</f>
        <v>#N/A</v>
      </c>
    </row>
    <row r="4" spans="1:92" ht="303.75" hidden="1">
      <c r="A4" s="16" t="str">
        <f t="shared" si="0"/>
        <v>Tobacco</v>
      </c>
      <c r="B4" s="57" t="s">
        <v>170</v>
      </c>
      <c r="C4" s="44"/>
      <c r="D4" s="44" t="s">
        <v>187</v>
      </c>
      <c r="E4" s="44" t="s">
        <v>188</v>
      </c>
      <c r="F4" s="8" t="str">
        <f t="shared" si="1"/>
        <v>Tobacco; ; Prevention; Telephone counselling</v>
      </c>
      <c r="G4" s="44" t="s">
        <v>173</v>
      </c>
      <c r="H4" s="44">
        <v>2010</v>
      </c>
      <c r="I4" s="44" t="str">
        <f>CONCATENATE(A4,", ",G4,": ",J4)</f>
        <v xml:space="preserve">Tobacco, AUS: Call-back counselling offered to callers to the Quitline or through  GP referrals; 2 counselling sessions + 7 calls during quitting stage </v>
      </c>
      <c r="J4" s="59" t="s">
        <v>189</v>
      </c>
      <c r="K4" s="59"/>
      <c r="L4" s="59"/>
      <c r="M4" s="59"/>
      <c r="N4" s="59"/>
      <c r="O4" s="59"/>
      <c r="P4" s="58" t="s">
        <v>175</v>
      </c>
      <c r="Q4" s="44" t="str">
        <f>IF($P4="Main",J4,BX4)</f>
        <v xml:space="preserve">Call-back counselling offered to callers to the Quitline or through  GP referrals; 2 counselling sessions + 7 calls during quitting stage </v>
      </c>
      <c r="R4" s="44" t="str">
        <f>IF($P4="Main",CONCATENATE(J4,": ",G4),BY4)</f>
        <v>Call-back counselling offered to callers to the Quitline or through  GP referrals; 2 counselling sessions + 7 calls during quitting stage : AUS</v>
      </c>
      <c r="S4" s="58"/>
      <c r="T4" s="58"/>
      <c r="U4" s="58"/>
      <c r="V4" s="75" t="s">
        <v>177</v>
      </c>
      <c r="W4" s="13"/>
      <c r="X4" s="13"/>
      <c r="Y4" s="44" t="s">
        <v>190</v>
      </c>
      <c r="Z4" s="30" t="s">
        <v>191</v>
      </c>
      <c r="AA4" s="44" t="s">
        <v>179</v>
      </c>
      <c r="AB4" s="44" t="s">
        <v>192</v>
      </c>
      <c r="AC4" s="60">
        <v>0.03</v>
      </c>
      <c r="AD4" s="41" t="s">
        <v>193</v>
      </c>
      <c r="AE4" s="41"/>
      <c r="AF4" s="41"/>
      <c r="AG4" s="61">
        <v>980</v>
      </c>
      <c r="AH4" s="62">
        <v>731</v>
      </c>
      <c r="AI4" s="62">
        <v>1248</v>
      </c>
      <c r="AJ4" s="33">
        <v>22342398</v>
      </c>
      <c r="AK4" s="49">
        <f t="shared" si="2"/>
        <v>4.3862793957926985E-2</v>
      </c>
      <c r="AL4" s="41"/>
      <c r="AM4" s="41"/>
      <c r="AN4" s="41"/>
      <c r="AO4" s="41"/>
      <c r="AP4" s="41"/>
      <c r="AQ4" s="41"/>
      <c r="AR4" s="56">
        <v>-485000</v>
      </c>
      <c r="AS4" s="56">
        <v>-730000</v>
      </c>
      <c r="AT4" s="56">
        <v>-287000</v>
      </c>
      <c r="AU4" s="52">
        <f>AR4/$AJ4*1000</f>
        <v>-21.707607213872027</v>
      </c>
      <c r="AV4" s="40">
        <f>AS4/$AJ4*1000</f>
        <v>-32.673305703353776</v>
      </c>
      <c r="AW4" s="40">
        <f>AT4/$AJ4*1000</f>
        <v>-12.845532516250046</v>
      </c>
      <c r="AX4" s="56"/>
      <c r="AY4" s="56"/>
      <c r="AZ4" s="56"/>
      <c r="BA4" s="56">
        <v>289000</v>
      </c>
      <c r="BB4" s="56">
        <v>217000</v>
      </c>
      <c r="BC4" s="56">
        <v>373000</v>
      </c>
      <c r="BD4" s="40">
        <f>BA4/$AJ4*1000</f>
        <v>12.935048422286632</v>
      </c>
      <c r="BE4" s="56"/>
      <c r="BF4" s="56"/>
      <c r="BG4" s="56"/>
      <c r="BH4" s="56"/>
      <c r="BI4" s="56"/>
      <c r="BJ4" s="39" t="s">
        <v>182</v>
      </c>
      <c r="BK4" s="41">
        <f t="shared" si="3"/>
        <v>294</v>
      </c>
      <c r="BL4" s="41">
        <f t="shared" si="3"/>
        <v>293</v>
      </c>
      <c r="BM4" s="41">
        <f t="shared" si="3"/>
        <v>298</v>
      </c>
      <c r="BN4" s="56">
        <v>294</v>
      </c>
      <c r="BO4" s="56">
        <v>293</v>
      </c>
      <c r="BP4" s="56">
        <v>298</v>
      </c>
      <c r="BQ4" s="56"/>
      <c r="BR4" s="56"/>
      <c r="BS4" s="56"/>
      <c r="BT4" s="56"/>
      <c r="BU4" s="56"/>
      <c r="BV4" s="56"/>
      <c r="BW4" s="132" t="s">
        <v>194</v>
      </c>
      <c r="BX4" s="44"/>
      <c r="BY4" s="41"/>
      <c r="BZ4" s="41">
        <v>2014</v>
      </c>
      <c r="CA4" s="42" t="s">
        <v>195</v>
      </c>
      <c r="CB4" s="42"/>
      <c r="CC4" s="53">
        <f t="shared" si="4"/>
        <v>138</v>
      </c>
      <c r="CD4" s="44" t="s">
        <v>196</v>
      </c>
      <c r="CE4" s="44"/>
      <c r="CF4" s="44"/>
      <c r="CG4" s="54">
        <v>2</v>
      </c>
      <c r="CH4" s="54" t="s">
        <v>177</v>
      </c>
      <c r="CI4" s="54">
        <f>IF(AA4="Lifetime",2,IF(CJ4=1,2,"manual entry"))</f>
        <v>2</v>
      </c>
      <c r="CJ4" s="41">
        <f t="shared" si="5"/>
        <v>0</v>
      </c>
      <c r="CK4" s="41">
        <f>IF(CA4="C",0,IF(P4="Het",0,IF(SUM(AG4,AO4)=0,0,1)))</f>
        <v>1</v>
      </c>
      <c r="CL4" s="55" t="e">
        <f>IF(G4="AUS",VLOOKUP(H4,$CU$5:$CW$23,2),IF(G4="NZ",VLOOKUP(H4,$CU$5:$CW$23,3),"error"))*AU4</f>
        <v>#N/A</v>
      </c>
      <c r="CM4" s="56" t="e">
        <f>IF(G4="AUS",VLOOKUP(H4,$CU$5:$CW$23,2),IF(G4="NZ",VLOOKUP(H4,$CU$5:$CW$23,3),"error"))*AX4</f>
        <v>#N/A</v>
      </c>
      <c r="CN4" s="55" t="e">
        <f>IF(G4="AUS",VLOOKUP(H4,$CU$5:$CW$23,2),IF(G4="NZ",VLOOKUP(H4,$CU$5:$CW$23,3),"error"))*BK4</f>
        <v>#N/A</v>
      </c>
    </row>
    <row r="5" spans="1:92" ht="91.5" hidden="1">
      <c r="A5" s="16" t="str">
        <f t="shared" si="0"/>
        <v>Tobacco</v>
      </c>
      <c r="B5" s="8" t="s">
        <v>170</v>
      </c>
      <c r="C5" s="44"/>
      <c r="D5" s="44" t="s">
        <v>197</v>
      </c>
      <c r="E5" s="44" t="s">
        <v>172</v>
      </c>
      <c r="F5" s="8" t="str">
        <f t="shared" si="1"/>
        <v>Tobacco; ; Prevention ; Pharmacological</v>
      </c>
      <c r="G5" s="44" t="s">
        <v>173</v>
      </c>
      <c r="H5" s="44">
        <v>2003</v>
      </c>
      <c r="I5" s="44" t="str">
        <f>CONCATENATE(A5,", ",G5,": ",J5)</f>
        <v>Tobacco, AUS: Cessation aid: bupropion</v>
      </c>
      <c r="J5" s="59" t="s">
        <v>198</v>
      </c>
      <c r="K5" s="59"/>
      <c r="L5" s="59"/>
      <c r="M5" s="59"/>
      <c r="N5" s="59"/>
      <c r="O5" s="59"/>
      <c r="P5" s="58" t="s">
        <v>175</v>
      </c>
      <c r="Q5" s="44" t="str">
        <f>IF($P5="Main",J5,BX5)</f>
        <v>Cessation aid: bupropion</v>
      </c>
      <c r="R5" s="44" t="str">
        <f>IF($P5="Main",CONCATENATE(J5,": ",G5),BY5)</f>
        <v>Cessation aid: bupropion: AUS</v>
      </c>
      <c r="S5" s="58"/>
      <c r="T5" s="58"/>
      <c r="U5" s="58"/>
      <c r="V5" s="75" t="s">
        <v>199</v>
      </c>
      <c r="W5" s="13"/>
      <c r="X5" s="13"/>
      <c r="Y5" s="44" t="s">
        <v>177</v>
      </c>
      <c r="Z5" s="30" t="s">
        <v>177</v>
      </c>
      <c r="AA5" s="44" t="s">
        <v>177</v>
      </c>
      <c r="AB5" s="44" t="s">
        <v>177</v>
      </c>
      <c r="AC5" s="60">
        <v>0.03</v>
      </c>
      <c r="AD5" s="41" t="s">
        <v>193</v>
      </c>
      <c r="AE5" s="41"/>
      <c r="AF5" s="41"/>
      <c r="AG5" s="63">
        <v>23000</v>
      </c>
      <c r="AH5" s="62"/>
      <c r="AI5" s="62"/>
      <c r="AJ5" s="46">
        <v>19881469</v>
      </c>
      <c r="AK5" s="49">
        <f t="shared" si="2"/>
        <v>1.1568561659100742</v>
      </c>
      <c r="AL5" s="41"/>
      <c r="AM5" s="41"/>
      <c r="AN5" s="41"/>
      <c r="AO5" s="41"/>
      <c r="AP5" s="41"/>
      <c r="AQ5" s="41"/>
      <c r="AR5" s="56">
        <f>(230-54)*1000000</f>
        <v>176000000</v>
      </c>
      <c r="AS5" s="56"/>
      <c r="AT5" s="56"/>
      <c r="AU5" s="52">
        <f>AR5/$AJ5*1000</f>
        <v>8852.4645739205698</v>
      </c>
      <c r="AV5" s="56"/>
      <c r="AW5" s="56"/>
      <c r="AX5" s="56"/>
      <c r="AY5" s="56"/>
      <c r="AZ5" s="56"/>
      <c r="BA5" s="56">
        <f>(230)*1000000</f>
        <v>230000000</v>
      </c>
      <c r="BB5" s="56"/>
      <c r="BC5" s="56"/>
      <c r="BD5" s="40">
        <f>BA5/$AJ5*1000</f>
        <v>11568.561659100742</v>
      </c>
      <c r="BE5" s="56"/>
      <c r="BF5" s="56"/>
      <c r="BG5" s="56"/>
      <c r="BH5" s="56"/>
      <c r="BI5" s="56"/>
      <c r="BJ5" s="39" t="s">
        <v>182</v>
      </c>
      <c r="BK5" s="41">
        <f t="shared" si="3"/>
        <v>7700</v>
      </c>
      <c r="BL5" s="41">
        <f t="shared" si="3"/>
        <v>5300</v>
      </c>
      <c r="BM5" s="41">
        <f t="shared" si="3"/>
        <v>11000</v>
      </c>
      <c r="BN5" s="56">
        <v>7700</v>
      </c>
      <c r="BO5" s="56">
        <v>5300</v>
      </c>
      <c r="BP5" s="56">
        <v>11000</v>
      </c>
      <c r="BQ5" s="56"/>
      <c r="BR5" s="56"/>
      <c r="BS5" s="56"/>
      <c r="BT5" s="56"/>
      <c r="BU5" s="56"/>
      <c r="BV5" s="56"/>
      <c r="BW5" s="64" t="s">
        <v>200</v>
      </c>
      <c r="BX5" s="44"/>
      <c r="BY5" s="41"/>
      <c r="BZ5" s="41">
        <v>2010</v>
      </c>
      <c r="CA5" s="42" t="s">
        <v>201</v>
      </c>
      <c r="CB5" s="42"/>
      <c r="CC5" s="53">
        <f t="shared" si="4"/>
        <v>24</v>
      </c>
      <c r="CD5" s="44" t="s">
        <v>202</v>
      </c>
      <c r="CE5" s="44"/>
      <c r="CF5" s="44"/>
      <c r="CG5" s="54">
        <v>2</v>
      </c>
      <c r="CH5" s="54">
        <f>IF(CK5=0,"",IF(V5="Persistent",5,IF(V5="Once",1,IF(V5="One-off",1,"manual overwrite"))))</f>
        <v>5</v>
      </c>
      <c r="CI5" s="54">
        <f>IF(AA5="Lifetime",2,IF(CJ5=1,2,"manual entry"))</f>
        <v>2</v>
      </c>
      <c r="CJ5" s="41">
        <f t="shared" si="5"/>
        <v>1</v>
      </c>
      <c r="CK5" s="41">
        <f>IF(CA5="C",0,IF(P5="Het",0,IF(SUM(AG5,AO5)=0,0,1)))</f>
        <v>1</v>
      </c>
      <c r="CL5" s="55" t="e">
        <f>IF(G5="AUS",VLOOKUP(H5,$CU$5:$CW$23,2),IF(G5="NZ",VLOOKUP(H5,$CU$5:$CW$23,3),"error"))*AU5</f>
        <v>#N/A</v>
      </c>
      <c r="CM5" s="56" t="e">
        <f>IF(G5="AUS",VLOOKUP(H5,$CU$5:$CW$23,2),IF(G5="NZ",VLOOKUP(H5,$CU$5:$CW$23,3),"error"))*AX5</f>
        <v>#N/A</v>
      </c>
      <c r="CN5" s="55" t="e">
        <f>IF(G5="AUS",VLOOKUP(H5,$CU$5:$CW$23,2),IF(G5="NZ",VLOOKUP(H5,$CU$5:$CW$23,3),"error"))*BK5</f>
        <v>#N/A</v>
      </c>
    </row>
    <row r="6" spans="1:92" ht="115.5" hidden="1">
      <c r="A6" s="16" t="str">
        <f t="shared" si="0"/>
        <v>Tobacco</v>
      </c>
      <c r="B6" s="8" t="s">
        <v>170</v>
      </c>
      <c r="C6" s="44"/>
      <c r="D6" s="44" t="s">
        <v>197</v>
      </c>
      <c r="E6" s="44" t="s">
        <v>172</v>
      </c>
      <c r="F6" s="8" t="str">
        <f t="shared" si="1"/>
        <v>Tobacco; ; Prevention ; Pharmacological</v>
      </c>
      <c r="G6" s="44" t="s">
        <v>173</v>
      </c>
      <c r="H6" s="44">
        <v>2003</v>
      </c>
      <c r="I6" s="44" t="str">
        <f>CONCATENATE(A6,", ",G6,": ",J6)</f>
        <v>Tobacco, AUS: Cessation aid: nicotine replacement therapy</v>
      </c>
      <c r="J6" s="59" t="s">
        <v>203</v>
      </c>
      <c r="K6" s="59"/>
      <c r="L6" s="59"/>
      <c r="M6" s="59"/>
      <c r="N6" s="59"/>
      <c r="O6" s="59"/>
      <c r="P6" s="58" t="s">
        <v>175</v>
      </c>
      <c r="Q6" s="44" t="str">
        <f>IF($P6="Main",J6,BX6)</f>
        <v>Cessation aid: nicotine replacement therapy</v>
      </c>
      <c r="R6" s="44" t="str">
        <f>IF($P6="Main",CONCATENATE(J6,": ",G6),BY6)</f>
        <v>Cessation aid: nicotine replacement therapy: AUS</v>
      </c>
      <c r="S6" s="58"/>
      <c r="T6" s="58"/>
      <c r="U6" s="58"/>
      <c r="V6" s="75" t="s">
        <v>199</v>
      </c>
      <c r="W6" s="13"/>
      <c r="X6" s="13"/>
      <c r="Y6" s="44" t="s">
        <v>177</v>
      </c>
      <c r="Z6" s="30" t="s">
        <v>177</v>
      </c>
      <c r="AA6" s="44" t="s">
        <v>177</v>
      </c>
      <c r="AB6" s="44" t="s">
        <v>177</v>
      </c>
      <c r="AC6" s="60">
        <v>0.03</v>
      </c>
      <c r="AD6" s="41" t="s">
        <v>193</v>
      </c>
      <c r="AE6" s="41"/>
      <c r="AF6" s="41"/>
      <c r="AG6" s="63">
        <v>14000</v>
      </c>
      <c r="AH6" s="62"/>
      <c r="AI6" s="62"/>
      <c r="AJ6" s="46">
        <v>19881469</v>
      </c>
      <c r="AK6" s="49">
        <f t="shared" si="2"/>
        <v>0.70417331838004527</v>
      </c>
      <c r="AL6" s="41"/>
      <c r="AM6" s="41"/>
      <c r="AN6" s="41"/>
      <c r="AO6" s="41"/>
      <c r="AP6" s="41"/>
      <c r="AQ6" s="41"/>
      <c r="AR6" s="56">
        <f>(160-34)*1000000</f>
        <v>126000000</v>
      </c>
      <c r="AS6" s="56"/>
      <c r="AT6" s="56"/>
      <c r="AU6" s="52">
        <f>AR6/$AJ6*1000</f>
        <v>6337.5598654204068</v>
      </c>
      <c r="AV6" s="56"/>
      <c r="AW6" s="56"/>
      <c r="AX6" s="56"/>
      <c r="AY6" s="56"/>
      <c r="AZ6" s="56"/>
      <c r="BA6" s="56">
        <f>(160)*1000000</f>
        <v>160000000</v>
      </c>
      <c r="BB6" s="56"/>
      <c r="BC6" s="56"/>
      <c r="BD6" s="40">
        <f>BA6/$AJ6*1000</f>
        <v>8047.6950672005178</v>
      </c>
      <c r="BE6" s="56"/>
      <c r="BF6" s="56"/>
      <c r="BG6" s="56"/>
      <c r="BH6" s="56"/>
      <c r="BI6" s="56"/>
      <c r="BJ6" s="39" t="s">
        <v>182</v>
      </c>
      <c r="BK6" s="41">
        <f t="shared" si="3"/>
        <v>8900</v>
      </c>
      <c r="BL6" s="41">
        <f t="shared" si="3"/>
        <v>6700</v>
      </c>
      <c r="BM6" s="41">
        <f t="shared" si="3"/>
        <v>11000</v>
      </c>
      <c r="BN6" s="56">
        <v>8900</v>
      </c>
      <c r="BO6" s="56">
        <v>6700</v>
      </c>
      <c r="BP6" s="56">
        <v>11000</v>
      </c>
      <c r="BQ6" s="56"/>
      <c r="BR6" s="56"/>
      <c r="BS6" s="56"/>
      <c r="BT6" s="56"/>
      <c r="BU6" s="56"/>
      <c r="BV6" s="56"/>
      <c r="BW6" s="64" t="s">
        <v>200</v>
      </c>
      <c r="BX6" s="44"/>
      <c r="BY6" s="41"/>
      <c r="BZ6" s="41">
        <v>2010</v>
      </c>
      <c r="CA6" s="42" t="s">
        <v>201</v>
      </c>
      <c r="CB6" s="42"/>
      <c r="CC6" s="53">
        <f t="shared" si="4"/>
        <v>43</v>
      </c>
      <c r="CD6" s="44" t="s">
        <v>202</v>
      </c>
      <c r="CE6" s="44"/>
      <c r="CF6" s="44"/>
      <c r="CG6" s="54">
        <v>2</v>
      </c>
      <c r="CH6" s="54">
        <f>IF(CK6=0,"",IF(V6="Persistent",5,IF(V6="Once",1,IF(V6="One-off",1,"manual overwrite"))))</f>
        <v>5</v>
      </c>
      <c r="CI6" s="54">
        <f>IF(AA6="Lifetime",2,IF(CJ6=1,2,"manual entry"))</f>
        <v>2</v>
      </c>
      <c r="CJ6" s="41">
        <f t="shared" si="5"/>
        <v>1</v>
      </c>
      <c r="CK6" s="41">
        <f>IF(CA6="C",0,IF(P6="Het",0,IF(SUM(AG6,AO6)=0,0,1)))</f>
        <v>1</v>
      </c>
      <c r="CL6" s="55" t="e">
        <f>IF(G6="AUS",VLOOKUP(H6,$CU$5:$CW$23,2),IF(G6="NZ",VLOOKUP(H6,$CU$5:$CW$23,3),"error"))*AU6</f>
        <v>#N/A</v>
      </c>
      <c r="CM6" s="56" t="e">
        <f>IF(G6="AUS",VLOOKUP(H6,$CU$5:$CW$23,2),IF(G6="NZ",VLOOKUP(H6,$CU$5:$CW$23,3),"error"))*AX6</f>
        <v>#N/A</v>
      </c>
      <c r="CN6" s="55" t="e">
        <f>IF(G6="AUS",VLOOKUP(H6,$CU$5:$CW$23,2),IF(G6="NZ",VLOOKUP(H6,$CU$5:$CW$23,3),"error"))*BK6</f>
        <v>#N/A</v>
      </c>
    </row>
    <row r="7" spans="1:92" ht="91.5" hidden="1">
      <c r="A7" s="16" t="str">
        <f t="shared" si="0"/>
        <v>Tobacco</v>
      </c>
      <c r="B7" s="8" t="s">
        <v>170</v>
      </c>
      <c r="C7" s="44"/>
      <c r="D7" s="44" t="s">
        <v>197</v>
      </c>
      <c r="E7" s="44" t="s">
        <v>172</v>
      </c>
      <c r="F7" s="8" t="str">
        <f t="shared" si="1"/>
        <v>Tobacco; ; Prevention ; Pharmacological</v>
      </c>
      <c r="G7" s="44" t="s">
        <v>173</v>
      </c>
      <c r="H7" s="44">
        <v>2003</v>
      </c>
      <c r="I7" s="44" t="str">
        <f>CONCATENATE(A7,", ",G7,": ",J7)</f>
        <v>Tobacco, AUS: Cessation aid: varenicline</v>
      </c>
      <c r="J7" s="59" t="s">
        <v>204</v>
      </c>
      <c r="K7" s="59"/>
      <c r="L7" s="59"/>
      <c r="M7" s="59"/>
      <c r="N7" s="59"/>
      <c r="O7" s="59"/>
      <c r="P7" s="58" t="s">
        <v>175</v>
      </c>
      <c r="Q7" s="44" t="str">
        <f>IF($P7="Main",J7,BX7)</f>
        <v>Cessation aid: varenicline</v>
      </c>
      <c r="R7" s="44" t="str">
        <f>IF($P7="Main",CONCATENATE(J7,": ",G7),BY7)</f>
        <v>Cessation aid: varenicline: AUS</v>
      </c>
      <c r="S7" s="58"/>
      <c r="T7" s="58"/>
      <c r="U7" s="58"/>
      <c r="V7" s="75" t="s">
        <v>199</v>
      </c>
      <c r="W7" s="13"/>
      <c r="X7" s="13"/>
      <c r="Y7" s="44" t="s">
        <v>177</v>
      </c>
      <c r="Z7" s="30" t="s">
        <v>177</v>
      </c>
      <c r="AA7" s="44" t="s">
        <v>177</v>
      </c>
      <c r="AB7" s="44" t="s">
        <v>177</v>
      </c>
      <c r="AC7" s="60">
        <v>0.03</v>
      </c>
      <c r="AD7" s="41" t="s">
        <v>193</v>
      </c>
      <c r="AE7" s="41"/>
      <c r="AF7" s="41"/>
      <c r="AG7" s="63">
        <v>33000</v>
      </c>
      <c r="AH7" s="62"/>
      <c r="AI7" s="62"/>
      <c r="AJ7" s="46">
        <v>19881469</v>
      </c>
      <c r="AK7" s="49">
        <f t="shared" si="2"/>
        <v>1.6598371076101068</v>
      </c>
      <c r="AL7" s="41"/>
      <c r="AM7" s="41"/>
      <c r="AN7" s="41"/>
      <c r="AO7" s="41"/>
      <c r="AP7" s="41"/>
      <c r="AQ7" s="41"/>
      <c r="AR7" s="56">
        <f>(260-76)*1000000</f>
        <v>184000000</v>
      </c>
      <c r="AS7" s="56"/>
      <c r="AT7" s="56"/>
      <c r="AU7" s="52">
        <f>AR7/$AJ7*1000</f>
        <v>9254.8493272805954</v>
      </c>
      <c r="AV7" s="56"/>
      <c r="AW7" s="56"/>
      <c r="AX7" s="56"/>
      <c r="AY7" s="56"/>
      <c r="AZ7" s="56"/>
      <c r="BA7" s="56">
        <f>(260)*1000000</f>
        <v>260000000</v>
      </c>
      <c r="BB7" s="56"/>
      <c r="BC7" s="56"/>
      <c r="BD7" s="40">
        <f>BA7/$AJ7*1000</f>
        <v>13077.504484200841</v>
      </c>
      <c r="BE7" s="56"/>
      <c r="BF7" s="56"/>
      <c r="BG7" s="56"/>
      <c r="BH7" s="56"/>
      <c r="BI7" s="56"/>
      <c r="BJ7" s="39" t="s">
        <v>182</v>
      </c>
      <c r="BK7" s="41">
        <f t="shared" si="3"/>
        <v>5800</v>
      </c>
      <c r="BL7" s="41">
        <f t="shared" si="3"/>
        <v>3500</v>
      </c>
      <c r="BM7" s="41">
        <f t="shared" si="3"/>
        <v>9400</v>
      </c>
      <c r="BN7" s="56">
        <v>5800</v>
      </c>
      <c r="BO7" s="56">
        <v>3500</v>
      </c>
      <c r="BP7" s="56">
        <v>9400</v>
      </c>
      <c r="BQ7" s="56"/>
      <c r="BR7" s="56"/>
      <c r="BS7" s="56"/>
      <c r="BT7" s="56"/>
      <c r="BU7" s="56"/>
      <c r="BV7" s="56"/>
      <c r="BW7" s="64" t="s">
        <v>200</v>
      </c>
      <c r="BX7" s="44"/>
      <c r="BY7" s="41"/>
      <c r="BZ7" s="41">
        <v>2010</v>
      </c>
      <c r="CA7" s="42" t="s">
        <v>201</v>
      </c>
      <c r="CB7" s="42"/>
      <c r="CC7" s="53">
        <f t="shared" si="4"/>
        <v>26</v>
      </c>
      <c r="CD7" s="44" t="s">
        <v>202</v>
      </c>
      <c r="CE7" s="44"/>
      <c r="CF7" s="44"/>
      <c r="CG7" s="54">
        <v>2</v>
      </c>
      <c r="CH7" s="54">
        <f>IF(CK7=0,"",IF(V7="Persistent",5,IF(V7="Once",1,IF(V7="One-off",1,"manual overwrite"))))</f>
        <v>5</v>
      </c>
      <c r="CI7" s="54">
        <f>IF(AA7="Lifetime",2,IF(CJ7=1,2,"manual entry"))</f>
        <v>2</v>
      </c>
      <c r="CJ7" s="41">
        <f t="shared" si="5"/>
        <v>1</v>
      </c>
      <c r="CK7" s="41">
        <f>IF(CA7="C",0,IF(P7="Het",0,IF(SUM(AG7,AO7)=0,0,1)))</f>
        <v>1</v>
      </c>
      <c r="CL7" s="55" t="e">
        <f>IF(G7="AUS",VLOOKUP(H7,$CU$5:$CW$23,2),IF(G7="NZ",VLOOKUP(H7,$CU$5:$CW$23,3),"error"))*AU7</f>
        <v>#N/A</v>
      </c>
      <c r="CM7" s="56" t="e">
        <f>IF(G7="AUS",VLOOKUP(H7,$CU$5:$CW$23,2),IF(G7="NZ",VLOOKUP(H7,$CU$5:$CW$23,3),"error"))*AX7</f>
        <v>#N/A</v>
      </c>
      <c r="CN7" s="55" t="e">
        <f>IF(G7="AUS",VLOOKUP(H7,$CU$5:$CW$23,2),IF(G7="NZ",VLOOKUP(H7,$CU$5:$CW$23,3),"error"))*BK7</f>
        <v>#N/A</v>
      </c>
    </row>
    <row r="8" spans="1:92" ht="290.25" hidden="1">
      <c r="A8" s="16" t="str">
        <f t="shared" si="0"/>
        <v>Tobacco</v>
      </c>
      <c r="B8" s="65" t="s">
        <v>170</v>
      </c>
      <c r="C8" s="8"/>
      <c r="D8" s="44"/>
      <c r="E8" s="8" t="s">
        <v>172</v>
      </c>
      <c r="F8" s="8" t="str">
        <f t="shared" si="1"/>
        <v xml:space="preserve">Tobacco; ; Prevention ; </v>
      </c>
      <c r="G8" s="8" t="s">
        <v>205</v>
      </c>
      <c r="H8" s="8">
        <v>2011</v>
      </c>
      <c r="I8" s="8" t="str">
        <f>CONCATENATE(A8,", ",G8,": ",J8)</f>
        <v>Tobacco, NZ: Combined tobacco endgame strategy (tobacco-free generation + tobacco tax increases + substantive outlet reduction strategy)</v>
      </c>
      <c r="J8" s="4" t="s">
        <v>206</v>
      </c>
      <c r="K8" s="4"/>
      <c r="L8" s="4"/>
      <c r="M8" s="4"/>
      <c r="N8" s="4"/>
      <c r="O8" s="4"/>
      <c r="P8" s="9" t="s">
        <v>175</v>
      </c>
      <c r="Q8" s="8" t="str">
        <f>IF($P8="Main",J8,BX8)</f>
        <v>Combined tobacco endgame strategy (tobacco-free generation + tobacco tax increases + substantive outlet reduction strategy)</v>
      </c>
      <c r="R8" s="8" t="str">
        <f>IF($P8="Main",CONCATENATE(J8,": ",G8),BY8)</f>
        <v>Combined tobacco endgame strategy (tobacco-free generation + tobacco tax increases + substantive outlet reduction strategy): NZ</v>
      </c>
      <c r="S8" s="9"/>
      <c r="T8" s="9"/>
      <c r="U8" s="9"/>
      <c r="V8" s="75" t="s">
        <v>207</v>
      </c>
      <c r="W8" s="13"/>
      <c r="X8" s="13"/>
      <c r="Y8" s="8" t="s">
        <v>208</v>
      </c>
      <c r="Z8" s="66" t="s">
        <v>209</v>
      </c>
      <c r="AA8" s="8" t="s">
        <v>179</v>
      </c>
      <c r="AB8" s="8" t="s">
        <v>210</v>
      </c>
      <c r="AC8" s="31">
        <v>0.03</v>
      </c>
      <c r="AD8" s="45"/>
      <c r="AE8" s="16"/>
      <c r="AF8" s="16"/>
      <c r="AG8" s="67">
        <v>119000</v>
      </c>
      <c r="AH8" s="67">
        <v>82700</v>
      </c>
      <c r="AI8" s="67">
        <v>173000</v>
      </c>
      <c r="AJ8" s="68">
        <v>4410000</v>
      </c>
      <c r="AK8" s="49">
        <f t="shared" si="2"/>
        <v>26.984126984126984</v>
      </c>
      <c r="AL8" s="50">
        <f>AH8/$AJ8*1000</f>
        <v>18.752834467120181</v>
      </c>
      <c r="AM8" s="50">
        <f>AI8/$AJ8*1000</f>
        <v>39.229024943310662</v>
      </c>
      <c r="AN8" s="47"/>
      <c r="AO8" s="69">
        <v>2.7E-2</v>
      </c>
      <c r="AP8" s="69"/>
      <c r="AQ8" s="69"/>
      <c r="AR8" s="70">
        <v>-2600000000</v>
      </c>
      <c r="AS8" s="70">
        <v>-1760000000</v>
      </c>
      <c r="AT8" s="70">
        <v>-3690000000</v>
      </c>
      <c r="AU8" s="71">
        <f>1000*AR8/$AJ8</f>
        <v>-589569.16099773243</v>
      </c>
      <c r="AV8" s="70">
        <f>1000*AS8/$AJ8</f>
        <v>-399092.97052154195</v>
      </c>
      <c r="AW8" s="70">
        <f>1000*AT8/$AJ8</f>
        <v>-836734.69387755101</v>
      </c>
      <c r="AX8" s="70">
        <v>-591</v>
      </c>
      <c r="AY8" s="70"/>
      <c r="AZ8" s="70"/>
      <c r="BA8" s="72"/>
      <c r="BB8" s="72"/>
      <c r="BC8" s="72"/>
      <c r="BD8" s="70"/>
      <c r="BE8" s="70"/>
      <c r="BF8" s="72"/>
      <c r="BG8" s="70"/>
      <c r="BH8" s="70"/>
      <c r="BI8" s="72"/>
      <c r="BJ8" s="39" t="s">
        <v>182</v>
      </c>
      <c r="BK8" s="41" t="str">
        <f t="shared" si="3"/>
        <v>Cost-saving</v>
      </c>
      <c r="BL8" s="41">
        <f t="shared" si="3"/>
        <v>0</v>
      </c>
      <c r="BM8" s="41">
        <f t="shared" si="3"/>
        <v>0</v>
      </c>
      <c r="BN8" s="40" t="s">
        <v>183</v>
      </c>
      <c r="BO8" s="51"/>
      <c r="BP8" s="51"/>
      <c r="BQ8" s="40" t="s">
        <v>183</v>
      </c>
      <c r="BR8" s="51"/>
      <c r="BS8" s="51"/>
      <c r="BT8" s="40" t="s">
        <v>183</v>
      </c>
      <c r="BU8" s="51"/>
      <c r="BV8" s="51"/>
      <c r="BW8" s="73" t="s">
        <v>211</v>
      </c>
      <c r="BX8" s="8" t="s">
        <v>206</v>
      </c>
      <c r="BY8" s="16" t="s">
        <v>212</v>
      </c>
      <c r="BZ8" s="74">
        <v>2018</v>
      </c>
      <c r="CA8" s="41"/>
      <c r="CB8" s="41"/>
      <c r="CC8" s="53">
        <f t="shared" si="4"/>
        <v>123</v>
      </c>
      <c r="CD8" s="41" t="s">
        <v>213</v>
      </c>
      <c r="CE8" s="41" t="s">
        <v>214</v>
      </c>
      <c r="CF8" s="41"/>
      <c r="CG8" s="54">
        <v>1</v>
      </c>
      <c r="CH8" s="54">
        <v>5</v>
      </c>
      <c r="CI8" s="54">
        <f>IF(AA8="Lifetime",2,IF(CJ8=1,2,"manual entry"))</f>
        <v>2</v>
      </c>
      <c r="CJ8" s="41">
        <f t="shared" si="5"/>
        <v>0</v>
      </c>
      <c r="CK8" s="41">
        <f>IF(CA8="C",0,IF(P8="Het",0,IF(SUM(AG8,AO8)=0,0,1)))</f>
        <v>1</v>
      </c>
      <c r="CL8" s="55" t="e">
        <f>IF(G8="AUS",VLOOKUP(H8,$CU$5:$CW$23,2),IF(G8="NZ",VLOOKUP(H8,$CU$5:$CW$23,3),"error"))*AU8</f>
        <v>#N/A</v>
      </c>
      <c r="CM8" s="56" t="e">
        <f>IF(G8="AUS",VLOOKUP(H8,$CU$5:$CW$23,2),IF(G8="NZ",VLOOKUP(H8,$CU$5:$CW$23,3),"error"))*AX8</f>
        <v>#N/A</v>
      </c>
      <c r="CN8" s="55" t="e">
        <f>IF(G8="AUS",VLOOKUP(H8,$CU$5:$CW$23,2),IF(G8="NZ",VLOOKUP(H8,$CU$5:$CW$23,3),"error"))*BK8</f>
        <v>#N/A</v>
      </c>
    </row>
    <row r="9" spans="1:92" ht="290.25" hidden="1">
      <c r="A9" s="16" t="str">
        <f t="shared" si="0"/>
        <v>Tobacco</v>
      </c>
      <c r="B9" s="65" t="s">
        <v>170</v>
      </c>
      <c r="C9" s="8"/>
      <c r="D9" s="44"/>
      <c r="E9" s="8" t="s">
        <v>172</v>
      </c>
      <c r="F9" s="8" t="str">
        <f t="shared" si="1"/>
        <v xml:space="preserve">Tobacco; ; Prevention ; </v>
      </c>
      <c r="G9" s="8" t="s">
        <v>205</v>
      </c>
      <c r="H9" s="8">
        <v>2011</v>
      </c>
      <c r="I9" s="8" t="str">
        <f>CONCATENATE(A9,", ",G9,": ",J9)</f>
        <v>Tobacco, NZ: Combined tobacco endgame strategy (tobacco-free generation + tobacco tax increases + substantive outlet reduction strategy)</v>
      </c>
      <c r="J9" s="4" t="s">
        <v>206</v>
      </c>
      <c r="K9" s="4"/>
      <c r="L9" s="4"/>
      <c r="M9" s="4"/>
      <c r="N9" s="4"/>
      <c r="O9" s="4"/>
      <c r="P9" s="9" t="s">
        <v>215</v>
      </c>
      <c r="Q9" s="8" t="str">
        <f>IF($P9="Main",J9,BX9)</f>
        <v>in men</v>
      </c>
      <c r="R9" s="8" t="str">
        <f>IF($P9="Main",CONCATENATE(J9,": ",G9),BY9)</f>
        <v>in men</v>
      </c>
      <c r="S9" s="9"/>
      <c r="T9" s="9"/>
      <c r="U9" s="9"/>
      <c r="V9" s="75"/>
      <c r="W9" s="13"/>
      <c r="X9" s="13"/>
      <c r="Y9" s="8"/>
      <c r="Z9" s="66"/>
      <c r="AA9" s="8"/>
      <c r="AB9" s="8"/>
      <c r="AC9" s="31"/>
      <c r="AD9" s="16"/>
      <c r="AE9" s="16"/>
      <c r="AF9" s="16"/>
      <c r="AG9" s="67">
        <v>57900</v>
      </c>
      <c r="AH9" s="67"/>
      <c r="AI9" s="67"/>
      <c r="AJ9" s="68">
        <v>2164610</v>
      </c>
      <c r="AK9" s="49">
        <f t="shared" si="2"/>
        <v>26.748467391354563</v>
      </c>
      <c r="AL9" s="50"/>
      <c r="AM9" s="50"/>
      <c r="AN9" s="47"/>
      <c r="AO9" s="69"/>
      <c r="AP9" s="69"/>
      <c r="AQ9" s="69"/>
      <c r="AR9" s="70">
        <v>-1513000000</v>
      </c>
      <c r="AS9" s="70"/>
      <c r="AT9" s="70"/>
      <c r="AU9" s="71">
        <f t="shared" ref="AU9:AU48" si="6">1000*AR9/$AJ9</f>
        <v>-698971.17725594912</v>
      </c>
      <c r="AV9" s="70"/>
      <c r="AW9" s="70"/>
      <c r="AX9" s="70"/>
      <c r="AY9" s="70"/>
      <c r="AZ9" s="70"/>
      <c r="BA9" s="72"/>
      <c r="BB9" s="72"/>
      <c r="BC9" s="72"/>
      <c r="BD9" s="70"/>
      <c r="BE9" s="70"/>
      <c r="BF9" s="72"/>
      <c r="BG9" s="70"/>
      <c r="BH9" s="70"/>
      <c r="BI9" s="72"/>
      <c r="BJ9" s="39" t="s">
        <v>182</v>
      </c>
      <c r="BK9" s="41" t="str">
        <f t="shared" si="3"/>
        <v>Cost-saving</v>
      </c>
      <c r="BL9" s="41">
        <f t="shared" si="3"/>
        <v>0</v>
      </c>
      <c r="BM9" s="41">
        <f t="shared" si="3"/>
        <v>0</v>
      </c>
      <c r="BN9" s="40" t="s">
        <v>183</v>
      </c>
      <c r="BO9" s="51"/>
      <c r="BP9" s="51"/>
      <c r="BQ9" s="40" t="s">
        <v>183</v>
      </c>
      <c r="BR9" s="51"/>
      <c r="BS9" s="51"/>
      <c r="BT9" s="40" t="s">
        <v>183</v>
      </c>
      <c r="BU9" s="51"/>
      <c r="BV9" s="51"/>
      <c r="BW9" s="73" t="s">
        <v>211</v>
      </c>
      <c r="BX9" s="8" t="s">
        <v>216</v>
      </c>
      <c r="BY9" s="16" t="s">
        <v>216</v>
      </c>
      <c r="BZ9" s="74">
        <v>2018</v>
      </c>
      <c r="CA9" s="41"/>
      <c r="CB9" s="41"/>
      <c r="CC9" s="53">
        <f t="shared" si="4"/>
        <v>123</v>
      </c>
      <c r="CD9" s="41" t="s">
        <v>213</v>
      </c>
      <c r="CE9" s="41" t="s">
        <v>214</v>
      </c>
      <c r="CF9" s="41"/>
      <c r="CG9" s="54">
        <v>1</v>
      </c>
      <c r="CH9" s="54" t="str">
        <f>IF(CK9=0,"",IF(V9="Persistent",5,IF(V9="Once",1,IF(V9="One-off",1,"manual overwrite"))))</f>
        <v/>
      </c>
      <c r="CI9" s="54"/>
      <c r="CJ9" s="41">
        <f t="shared" si="5"/>
        <v>0</v>
      </c>
      <c r="CK9" s="41">
        <f>IF(CA9="C",0,IF(P9="Het",0,IF(SUM(AG9,AO9)=0,0,1)))</f>
        <v>0</v>
      </c>
      <c r="CL9" s="55" t="e">
        <f>IF(G9="AUS",VLOOKUP(H9,$CU$5:$CW$23,2),IF(G9="NZ",VLOOKUP(H9,$CU$5:$CW$23,3),"error"))*AU9</f>
        <v>#N/A</v>
      </c>
      <c r="CM9" s="56" t="e">
        <f>IF(G9="AUS",VLOOKUP(H9,$CU$5:$CW$23,2),IF(G9="NZ",VLOOKUP(H9,$CU$5:$CW$23,3),"error"))*AX9</f>
        <v>#N/A</v>
      </c>
      <c r="CN9" s="55" t="e">
        <f>IF(G9="AUS",VLOOKUP(H9,$CU$5:$CW$23,2),IF(G9="NZ",VLOOKUP(H9,$CU$5:$CW$23,3),"error"))*BK9</f>
        <v>#N/A</v>
      </c>
    </row>
    <row r="10" spans="1:92" ht="290.25" hidden="1">
      <c r="A10" s="16" t="str">
        <f t="shared" si="0"/>
        <v>Tobacco</v>
      </c>
      <c r="B10" s="65" t="s">
        <v>170</v>
      </c>
      <c r="C10" s="8"/>
      <c r="D10" s="44"/>
      <c r="E10" s="8" t="s">
        <v>172</v>
      </c>
      <c r="F10" s="8" t="str">
        <f t="shared" si="1"/>
        <v xml:space="preserve">Tobacco; ; Prevention ; </v>
      </c>
      <c r="G10" s="8" t="s">
        <v>205</v>
      </c>
      <c r="H10" s="8">
        <v>2011</v>
      </c>
      <c r="I10" s="8" t="str">
        <f>CONCATENATE(A10,", ",G10,": ",J10)</f>
        <v>Tobacco, NZ: Combined tobacco endgame strategy (tobacco-free generation + tobacco tax increases + substantive outlet reduction strategy)</v>
      </c>
      <c r="J10" s="4" t="s">
        <v>206</v>
      </c>
      <c r="K10" s="4"/>
      <c r="L10" s="4"/>
      <c r="M10" s="4"/>
      <c r="N10" s="4"/>
      <c r="O10" s="4"/>
      <c r="P10" s="9" t="s">
        <v>215</v>
      </c>
      <c r="Q10" s="8" t="str">
        <f>IF($P10="Main",J10,BX10)</f>
        <v xml:space="preserve">in men age 0-14 yrs </v>
      </c>
      <c r="R10" s="8" t="str">
        <f>IF($P10="Main",CONCATENATE(J10,": ",G10),BY10)</f>
        <v xml:space="preserve">in men age 0-14 yrs </v>
      </c>
      <c r="S10" s="9"/>
      <c r="T10" s="9"/>
      <c r="U10" s="9"/>
      <c r="V10" s="75"/>
      <c r="W10" s="13"/>
      <c r="X10" s="13"/>
      <c r="Y10" s="8"/>
      <c r="Z10" s="66"/>
      <c r="AA10" s="8"/>
      <c r="AB10" s="8"/>
      <c r="AC10" s="31"/>
      <c r="AD10" s="16"/>
      <c r="AE10" s="16"/>
      <c r="AF10" s="16"/>
      <c r="AG10" s="67">
        <v>25800</v>
      </c>
      <c r="AH10" s="67"/>
      <c r="AI10" s="67"/>
      <c r="AJ10" s="68">
        <v>458240</v>
      </c>
      <c r="AK10" s="49">
        <f t="shared" si="2"/>
        <v>56.302374301675975</v>
      </c>
      <c r="AL10" s="50"/>
      <c r="AM10" s="50"/>
      <c r="AN10" s="47"/>
      <c r="AO10" s="69"/>
      <c r="AP10" s="69"/>
      <c r="AQ10" s="69"/>
      <c r="AR10" s="70">
        <v>-729000000</v>
      </c>
      <c r="AS10" s="70"/>
      <c r="AT10" s="70"/>
      <c r="AU10" s="71">
        <f t="shared" si="6"/>
        <v>-1590869.4134078212</v>
      </c>
      <c r="AV10" s="70"/>
      <c r="AW10" s="70"/>
      <c r="AX10" s="70"/>
      <c r="AY10" s="70"/>
      <c r="AZ10" s="70"/>
      <c r="BA10" s="72"/>
      <c r="BB10" s="72"/>
      <c r="BC10" s="72"/>
      <c r="BD10" s="70"/>
      <c r="BE10" s="70"/>
      <c r="BF10" s="72"/>
      <c r="BG10" s="70"/>
      <c r="BH10" s="70"/>
      <c r="BI10" s="72"/>
      <c r="BJ10" s="39" t="s">
        <v>182</v>
      </c>
      <c r="BK10" s="41" t="str">
        <f t="shared" si="3"/>
        <v>Cost-saving</v>
      </c>
      <c r="BL10" s="41">
        <f t="shared" si="3"/>
        <v>0</v>
      </c>
      <c r="BM10" s="41">
        <f t="shared" si="3"/>
        <v>0</v>
      </c>
      <c r="BN10" s="40" t="s">
        <v>183</v>
      </c>
      <c r="BO10" s="51"/>
      <c r="BP10" s="51"/>
      <c r="BQ10" s="40" t="s">
        <v>183</v>
      </c>
      <c r="BR10" s="51"/>
      <c r="BS10" s="51"/>
      <c r="BT10" s="40" t="s">
        <v>183</v>
      </c>
      <c r="BU10" s="51"/>
      <c r="BV10" s="51"/>
      <c r="BW10" s="73" t="s">
        <v>211</v>
      </c>
      <c r="BX10" s="8" t="s">
        <v>217</v>
      </c>
      <c r="BY10" s="16" t="s">
        <v>217</v>
      </c>
      <c r="BZ10" s="74">
        <v>2018</v>
      </c>
      <c r="CA10" s="41"/>
      <c r="CB10" s="41"/>
      <c r="CC10" s="53">
        <f t="shared" si="4"/>
        <v>123</v>
      </c>
      <c r="CD10" s="41" t="s">
        <v>213</v>
      </c>
      <c r="CE10" s="41" t="s">
        <v>214</v>
      </c>
      <c r="CF10" s="41"/>
      <c r="CG10" s="54">
        <v>1</v>
      </c>
      <c r="CH10" s="54" t="str">
        <f>IF(CK10=0,"",IF(V10="Persistent",5,IF(V10="Once",1,IF(V10="One-off",1,"manual overwrite"))))</f>
        <v/>
      </c>
      <c r="CI10" s="54"/>
      <c r="CJ10" s="41">
        <f t="shared" si="5"/>
        <v>0</v>
      </c>
      <c r="CK10" s="41">
        <f>IF(CA10="C",0,IF(P10="Het",0,IF(SUM(AG10,AO10)=0,0,1)))</f>
        <v>0</v>
      </c>
      <c r="CL10" s="55" t="e">
        <f>IF(G10="AUS",VLOOKUP(H10,$CU$5:$CW$23,2),IF(G10="NZ",VLOOKUP(H10,$CU$5:$CW$23,3),"error"))*AU10</f>
        <v>#N/A</v>
      </c>
      <c r="CM10" s="56" t="e">
        <f>IF(G10="AUS",VLOOKUP(H10,$CU$5:$CW$23,2),IF(G10="NZ",VLOOKUP(H10,$CU$5:$CW$23,3),"error"))*AX10</f>
        <v>#N/A</v>
      </c>
      <c r="CN10" s="55" t="e">
        <f>IF(G10="AUS",VLOOKUP(H10,$CU$5:$CW$23,2),IF(G10="NZ",VLOOKUP(H10,$CU$5:$CW$23,3),"error"))*BK10</f>
        <v>#N/A</v>
      </c>
    </row>
    <row r="11" spans="1:92" ht="290.25" hidden="1">
      <c r="A11" s="16" t="str">
        <f t="shared" si="0"/>
        <v>Tobacco</v>
      </c>
      <c r="B11" s="65" t="s">
        <v>170</v>
      </c>
      <c r="C11" s="8"/>
      <c r="D11" s="44"/>
      <c r="E11" s="8" t="s">
        <v>172</v>
      </c>
      <c r="F11" s="8" t="str">
        <f t="shared" si="1"/>
        <v xml:space="preserve">Tobacco; ; Prevention ; </v>
      </c>
      <c r="G11" s="8" t="s">
        <v>205</v>
      </c>
      <c r="H11" s="8">
        <v>2011</v>
      </c>
      <c r="I11" s="8" t="str">
        <f>CONCATENATE(A11,", ",G11,": ",J11)</f>
        <v>Tobacco, NZ: Combined tobacco endgame strategy (tobacco-free generation + tobacco tax increases + substantive outlet reduction strategy)</v>
      </c>
      <c r="J11" s="4" t="s">
        <v>206</v>
      </c>
      <c r="K11" s="4"/>
      <c r="L11" s="4"/>
      <c r="M11" s="4"/>
      <c r="N11" s="4"/>
      <c r="O11" s="4"/>
      <c r="P11" s="9" t="s">
        <v>215</v>
      </c>
      <c r="Q11" s="8" t="str">
        <f>IF($P11="Main",J11,BX11)</f>
        <v xml:space="preserve">in men age 15-24 yrs </v>
      </c>
      <c r="R11" s="8" t="str">
        <f>IF($P11="Main",CONCATENATE(J11,": ",G11),BY11)</f>
        <v xml:space="preserve">in men age 15-24 yrs </v>
      </c>
      <c r="S11" s="9"/>
      <c r="T11" s="9"/>
      <c r="U11" s="9"/>
      <c r="V11" s="75"/>
      <c r="W11" s="13"/>
      <c r="X11" s="13"/>
      <c r="Y11" s="8"/>
      <c r="Z11" s="66"/>
      <c r="AA11" s="8"/>
      <c r="AB11" s="8"/>
      <c r="AC11" s="31"/>
      <c r="AD11" s="16"/>
      <c r="AE11" s="16"/>
      <c r="AF11" s="16"/>
      <c r="AG11" s="67">
        <v>18300</v>
      </c>
      <c r="AH11" s="67"/>
      <c r="AI11" s="67"/>
      <c r="AJ11" s="68">
        <v>330930</v>
      </c>
      <c r="AK11" s="49">
        <f t="shared" si="2"/>
        <v>55.298703653340588</v>
      </c>
      <c r="AL11" s="50"/>
      <c r="AM11" s="50"/>
      <c r="AN11" s="47"/>
      <c r="AO11" s="69"/>
      <c r="AP11" s="69"/>
      <c r="AQ11" s="69"/>
      <c r="AR11" s="70">
        <v>-503000000</v>
      </c>
      <c r="AS11" s="70"/>
      <c r="AT11" s="70"/>
      <c r="AU11" s="71">
        <f t="shared" si="6"/>
        <v>-1519958.9036956455</v>
      </c>
      <c r="AV11" s="70"/>
      <c r="AW11" s="70"/>
      <c r="AX11" s="70"/>
      <c r="AY11" s="70"/>
      <c r="AZ11" s="70"/>
      <c r="BA11" s="72"/>
      <c r="BB11" s="72"/>
      <c r="BC11" s="72"/>
      <c r="BD11" s="70"/>
      <c r="BE11" s="70"/>
      <c r="BF11" s="72"/>
      <c r="BG11" s="70"/>
      <c r="BH11" s="70"/>
      <c r="BI11" s="72"/>
      <c r="BJ11" s="39" t="s">
        <v>182</v>
      </c>
      <c r="BK11" s="41" t="str">
        <f t="shared" si="3"/>
        <v>Cost-saving</v>
      </c>
      <c r="BL11" s="41">
        <f t="shared" si="3"/>
        <v>0</v>
      </c>
      <c r="BM11" s="41">
        <f t="shared" si="3"/>
        <v>0</v>
      </c>
      <c r="BN11" s="40" t="s">
        <v>183</v>
      </c>
      <c r="BO11" s="51"/>
      <c r="BP11" s="51"/>
      <c r="BQ11" s="40" t="s">
        <v>183</v>
      </c>
      <c r="BR11" s="51"/>
      <c r="BS11" s="51"/>
      <c r="BT11" s="40" t="s">
        <v>183</v>
      </c>
      <c r="BU11" s="51"/>
      <c r="BV11" s="51"/>
      <c r="BW11" s="73" t="s">
        <v>211</v>
      </c>
      <c r="BX11" s="8" t="s">
        <v>218</v>
      </c>
      <c r="BY11" s="16" t="s">
        <v>218</v>
      </c>
      <c r="BZ11" s="74">
        <v>2018</v>
      </c>
      <c r="CA11" s="41"/>
      <c r="CB11" s="41"/>
      <c r="CC11" s="53">
        <f t="shared" si="4"/>
        <v>123</v>
      </c>
      <c r="CD11" s="41" t="s">
        <v>213</v>
      </c>
      <c r="CE11" s="41" t="s">
        <v>214</v>
      </c>
      <c r="CF11" s="41"/>
      <c r="CG11" s="54">
        <v>1</v>
      </c>
      <c r="CH11" s="54" t="str">
        <f>IF(CK11=0,"",IF(V11="Persistent",5,IF(V11="Once",1,IF(V11="One-off",1,"manual overwrite"))))</f>
        <v/>
      </c>
      <c r="CI11" s="54"/>
      <c r="CJ11" s="41">
        <f t="shared" si="5"/>
        <v>0</v>
      </c>
      <c r="CK11" s="41">
        <f>IF(CA11="C",0,IF(P11="Het",0,IF(SUM(AG11,AO11)=0,0,1)))</f>
        <v>0</v>
      </c>
      <c r="CL11" s="55" t="e">
        <f>IF(G11="AUS",VLOOKUP(H11,$CU$5:$CW$23,2),IF(G11="NZ",VLOOKUP(H11,$CU$5:$CW$23,3),"error"))*AU11</f>
        <v>#N/A</v>
      </c>
      <c r="CM11" s="56" t="e">
        <f>IF(G11="AUS",VLOOKUP(H11,$CU$5:$CW$23,2),IF(G11="NZ",VLOOKUP(H11,$CU$5:$CW$23,3),"error"))*AX11</f>
        <v>#N/A</v>
      </c>
      <c r="CN11" s="55" t="e">
        <f>IF(G11="AUS",VLOOKUP(H11,$CU$5:$CW$23,2),IF(G11="NZ",VLOOKUP(H11,$CU$5:$CW$23,3),"error"))*BK11</f>
        <v>#N/A</v>
      </c>
    </row>
    <row r="12" spans="1:92" ht="290.25" hidden="1">
      <c r="A12" s="16" t="str">
        <f t="shared" si="0"/>
        <v>Tobacco</v>
      </c>
      <c r="B12" s="65" t="s">
        <v>170</v>
      </c>
      <c r="C12" s="8"/>
      <c r="D12" s="44"/>
      <c r="E12" s="8" t="s">
        <v>172</v>
      </c>
      <c r="F12" s="8" t="str">
        <f t="shared" si="1"/>
        <v xml:space="preserve">Tobacco; ; Prevention ; </v>
      </c>
      <c r="G12" s="8" t="s">
        <v>205</v>
      </c>
      <c r="H12" s="8">
        <v>2011</v>
      </c>
      <c r="I12" s="8" t="str">
        <f>CONCATENATE(A12,", ",G12,": ",J12)</f>
        <v>Tobacco, NZ: Combined tobacco endgame strategy (tobacco-free generation + tobacco tax increases + substantive outlet reduction strategy)</v>
      </c>
      <c r="J12" s="4" t="s">
        <v>206</v>
      </c>
      <c r="K12" s="4"/>
      <c r="L12" s="4"/>
      <c r="M12" s="4"/>
      <c r="N12" s="4"/>
      <c r="O12" s="4"/>
      <c r="P12" s="9" t="s">
        <v>215</v>
      </c>
      <c r="Q12" s="8" t="str">
        <f>IF($P12="Main",J12,BX12)</f>
        <v xml:space="preserve">in men age 25-44 yrs </v>
      </c>
      <c r="R12" s="8" t="str">
        <f>IF($P12="Main",CONCATENATE(J12,": ",G12),BY12)</f>
        <v xml:space="preserve">in men age 25-44 yrs </v>
      </c>
      <c r="S12" s="9"/>
      <c r="T12" s="9"/>
      <c r="U12" s="9"/>
      <c r="V12" s="75"/>
      <c r="W12" s="13"/>
      <c r="X12" s="13"/>
      <c r="Y12" s="8"/>
      <c r="Z12" s="66"/>
      <c r="AA12" s="8"/>
      <c r="AB12" s="8"/>
      <c r="AC12" s="31"/>
      <c r="AD12" s="16"/>
      <c r="AE12" s="16"/>
      <c r="AF12" s="16"/>
      <c r="AG12" s="67">
        <v>9190</v>
      </c>
      <c r="AH12" s="67"/>
      <c r="AI12" s="67"/>
      <c r="AJ12" s="68">
        <v>564950</v>
      </c>
      <c r="AK12" s="49">
        <f t="shared" si="2"/>
        <v>16.266926276661653</v>
      </c>
      <c r="AL12" s="50"/>
      <c r="AM12" s="50"/>
      <c r="AN12" s="47"/>
      <c r="AO12" s="69"/>
      <c r="AP12" s="69"/>
      <c r="AQ12" s="69"/>
      <c r="AR12" s="70">
        <v>-208000000</v>
      </c>
      <c r="AS12" s="70"/>
      <c r="AT12" s="70"/>
      <c r="AU12" s="71">
        <f t="shared" si="6"/>
        <v>-368174.17470572615</v>
      </c>
      <c r="AV12" s="70"/>
      <c r="AW12" s="70"/>
      <c r="AX12" s="70"/>
      <c r="AY12" s="70"/>
      <c r="AZ12" s="70"/>
      <c r="BA12" s="72"/>
      <c r="BB12" s="72"/>
      <c r="BC12" s="72"/>
      <c r="BD12" s="70"/>
      <c r="BE12" s="70"/>
      <c r="BF12" s="72"/>
      <c r="BG12" s="70"/>
      <c r="BH12" s="70"/>
      <c r="BI12" s="72"/>
      <c r="BJ12" s="39" t="s">
        <v>182</v>
      </c>
      <c r="BK12" s="41" t="str">
        <f t="shared" si="3"/>
        <v>Cost-saving</v>
      </c>
      <c r="BL12" s="41">
        <f t="shared" si="3"/>
        <v>0</v>
      </c>
      <c r="BM12" s="41">
        <f t="shared" si="3"/>
        <v>0</v>
      </c>
      <c r="BN12" s="40" t="s">
        <v>183</v>
      </c>
      <c r="BO12" s="51"/>
      <c r="BP12" s="51"/>
      <c r="BQ12" s="40" t="s">
        <v>183</v>
      </c>
      <c r="BR12" s="51"/>
      <c r="BS12" s="51"/>
      <c r="BT12" s="40" t="s">
        <v>183</v>
      </c>
      <c r="BU12" s="51"/>
      <c r="BV12" s="51"/>
      <c r="BW12" s="73" t="s">
        <v>211</v>
      </c>
      <c r="BX12" s="8" t="s">
        <v>219</v>
      </c>
      <c r="BY12" s="16" t="s">
        <v>219</v>
      </c>
      <c r="BZ12" s="74">
        <v>2018</v>
      </c>
      <c r="CA12" s="41"/>
      <c r="CB12" s="41"/>
      <c r="CC12" s="53">
        <f t="shared" si="4"/>
        <v>123</v>
      </c>
      <c r="CD12" s="41" t="s">
        <v>213</v>
      </c>
      <c r="CE12" s="41" t="s">
        <v>214</v>
      </c>
      <c r="CF12" s="41"/>
      <c r="CG12" s="54">
        <v>1</v>
      </c>
      <c r="CH12" s="54" t="str">
        <f>IF(CK12=0,"",IF(V12="Persistent",5,IF(V12="Once",1,IF(V12="One-off",1,"manual overwrite"))))</f>
        <v/>
      </c>
      <c r="CI12" s="54"/>
      <c r="CJ12" s="41">
        <f t="shared" si="5"/>
        <v>0</v>
      </c>
      <c r="CK12" s="41">
        <f>IF(CA12="C",0,IF(P12="Het",0,IF(SUM(AG12,AO12)=0,0,1)))</f>
        <v>0</v>
      </c>
      <c r="CL12" s="55" t="e">
        <f>IF(G12="AUS",VLOOKUP(H12,$CU$5:$CW$23,2),IF(G12="NZ",VLOOKUP(H12,$CU$5:$CW$23,3),"error"))*AU12</f>
        <v>#N/A</v>
      </c>
      <c r="CM12" s="56" t="e">
        <f>IF(G12="AUS",VLOOKUP(H12,$CU$5:$CW$23,2),IF(G12="NZ",VLOOKUP(H12,$CU$5:$CW$23,3),"error"))*AX12</f>
        <v>#N/A</v>
      </c>
      <c r="CN12" s="55" t="e">
        <f>IF(G12="AUS",VLOOKUP(H12,$CU$5:$CW$23,2),IF(G12="NZ",VLOOKUP(H12,$CU$5:$CW$23,3),"error"))*BK12</f>
        <v>#N/A</v>
      </c>
    </row>
    <row r="13" spans="1:92" ht="290.25" hidden="1">
      <c r="A13" s="16" t="str">
        <f t="shared" si="0"/>
        <v>Tobacco</v>
      </c>
      <c r="B13" s="65" t="s">
        <v>170</v>
      </c>
      <c r="C13" s="8"/>
      <c r="D13" s="44"/>
      <c r="E13" s="8" t="s">
        <v>172</v>
      </c>
      <c r="F13" s="8" t="str">
        <f t="shared" si="1"/>
        <v xml:space="preserve">Tobacco; ; Prevention ; </v>
      </c>
      <c r="G13" s="8" t="s">
        <v>205</v>
      </c>
      <c r="H13" s="8">
        <v>2011</v>
      </c>
      <c r="I13" s="8" t="str">
        <f>CONCATENATE(A13,", ",G13,": ",J13)</f>
        <v>Tobacco, NZ: Combined tobacco endgame strategy (tobacco-free generation + tobacco tax increases + substantive outlet reduction strategy)</v>
      </c>
      <c r="J13" s="4" t="s">
        <v>206</v>
      </c>
      <c r="K13" s="4"/>
      <c r="L13" s="4"/>
      <c r="M13" s="4"/>
      <c r="N13" s="4"/>
      <c r="O13" s="4"/>
      <c r="P13" s="9" t="s">
        <v>215</v>
      </c>
      <c r="Q13" s="8" t="str">
        <f>IF($P13="Main",J13,BX13)</f>
        <v xml:space="preserve">in men age 45-64 yrs </v>
      </c>
      <c r="R13" s="8" t="str">
        <f>IF($P13="Main",CONCATENATE(J13,": ",G13),BY13)</f>
        <v xml:space="preserve">in men age 45-64 yrs </v>
      </c>
      <c r="S13" s="9"/>
      <c r="T13" s="9"/>
      <c r="U13" s="9"/>
      <c r="V13" s="75"/>
      <c r="W13" s="13"/>
      <c r="X13" s="13"/>
      <c r="Y13" s="8"/>
      <c r="Z13" s="66"/>
      <c r="AA13" s="8"/>
      <c r="AB13" s="8"/>
      <c r="AC13" s="31"/>
      <c r="AD13" s="16"/>
      <c r="AE13" s="16"/>
      <c r="AF13" s="16"/>
      <c r="AG13" s="67">
        <v>4390</v>
      </c>
      <c r="AH13" s="67"/>
      <c r="AI13" s="67"/>
      <c r="AJ13" s="68">
        <v>542180</v>
      </c>
      <c r="AK13" s="49">
        <f t="shared" si="2"/>
        <v>8.0969419749898552</v>
      </c>
      <c r="AL13" s="50"/>
      <c r="AM13" s="50"/>
      <c r="AN13" s="47"/>
      <c r="AO13" s="69"/>
      <c r="AP13" s="69"/>
      <c r="AQ13" s="69"/>
      <c r="AR13" s="70">
        <v>-70000000</v>
      </c>
      <c r="AS13" s="70"/>
      <c r="AT13" s="70"/>
      <c r="AU13" s="71">
        <f t="shared" si="6"/>
        <v>-129108.41417979269</v>
      </c>
      <c r="AV13" s="70"/>
      <c r="AW13" s="70"/>
      <c r="AX13" s="70"/>
      <c r="AY13" s="70"/>
      <c r="AZ13" s="70"/>
      <c r="BA13" s="72"/>
      <c r="BB13" s="72"/>
      <c r="BC13" s="72"/>
      <c r="BD13" s="70"/>
      <c r="BE13" s="70"/>
      <c r="BF13" s="72"/>
      <c r="BG13" s="70"/>
      <c r="BH13" s="70"/>
      <c r="BI13" s="72"/>
      <c r="BJ13" s="39" t="s">
        <v>182</v>
      </c>
      <c r="BK13" s="41" t="str">
        <f t="shared" si="3"/>
        <v>Cost-saving</v>
      </c>
      <c r="BL13" s="41">
        <f t="shared" si="3"/>
        <v>0</v>
      </c>
      <c r="BM13" s="41">
        <f t="shared" si="3"/>
        <v>0</v>
      </c>
      <c r="BN13" s="40" t="s">
        <v>183</v>
      </c>
      <c r="BO13" s="51"/>
      <c r="BP13" s="51"/>
      <c r="BQ13" s="40" t="s">
        <v>183</v>
      </c>
      <c r="BR13" s="51"/>
      <c r="BS13" s="51"/>
      <c r="BT13" s="40" t="s">
        <v>183</v>
      </c>
      <c r="BU13" s="51"/>
      <c r="BV13" s="51"/>
      <c r="BW13" s="73" t="s">
        <v>211</v>
      </c>
      <c r="BX13" s="8" t="s">
        <v>220</v>
      </c>
      <c r="BY13" s="16" t="s">
        <v>220</v>
      </c>
      <c r="BZ13" s="74">
        <v>2018</v>
      </c>
      <c r="CA13" s="41"/>
      <c r="CB13" s="41"/>
      <c r="CC13" s="53">
        <f t="shared" si="4"/>
        <v>123</v>
      </c>
      <c r="CD13" s="41" t="s">
        <v>213</v>
      </c>
      <c r="CE13" s="41" t="s">
        <v>214</v>
      </c>
      <c r="CF13" s="41"/>
      <c r="CG13" s="54">
        <v>1</v>
      </c>
      <c r="CH13" s="54" t="str">
        <f>IF(CK13=0,"",IF(V13="Persistent",5,IF(V13="Once",1,IF(V13="One-off",1,"manual overwrite"))))</f>
        <v/>
      </c>
      <c r="CI13" s="54"/>
      <c r="CJ13" s="41">
        <f t="shared" si="5"/>
        <v>0</v>
      </c>
      <c r="CK13" s="41">
        <f>IF(CA13="C",0,IF(P13="Het",0,IF(SUM(AG13,AO13)=0,0,1)))</f>
        <v>0</v>
      </c>
      <c r="CL13" s="55" t="e">
        <f>IF(G13="AUS",VLOOKUP(H13,$CU$5:$CW$23,2),IF(G13="NZ",VLOOKUP(H13,$CU$5:$CW$23,3),"error"))*AU13</f>
        <v>#N/A</v>
      </c>
      <c r="CM13" s="56" t="e">
        <f>IF(G13="AUS",VLOOKUP(H13,$CU$5:$CW$23,2),IF(G13="NZ",VLOOKUP(H13,$CU$5:$CW$23,3),"error"))*AX13</f>
        <v>#N/A</v>
      </c>
      <c r="CN13" s="55" t="e">
        <f>IF(G13="AUS",VLOOKUP(H13,$CU$5:$CW$23,2),IF(G13="NZ",VLOOKUP(H13,$CU$5:$CW$23,3),"error"))*BK13</f>
        <v>#N/A</v>
      </c>
    </row>
    <row r="14" spans="1:92" ht="290.25" hidden="1">
      <c r="A14" s="16" t="str">
        <f t="shared" si="0"/>
        <v>Tobacco</v>
      </c>
      <c r="B14" s="65" t="s">
        <v>170</v>
      </c>
      <c r="C14" s="8"/>
      <c r="D14" s="44"/>
      <c r="E14" s="8" t="s">
        <v>172</v>
      </c>
      <c r="F14" s="8" t="str">
        <f t="shared" si="1"/>
        <v xml:space="preserve">Tobacco; ; Prevention ; </v>
      </c>
      <c r="G14" s="8" t="s">
        <v>205</v>
      </c>
      <c r="H14" s="8">
        <v>2011</v>
      </c>
      <c r="I14" s="8" t="str">
        <f>CONCATENATE(A14,", ",G14,": ",J14)</f>
        <v>Tobacco, NZ: Combined tobacco endgame strategy (tobacco-free generation + tobacco tax increases + substantive outlet reduction strategy)</v>
      </c>
      <c r="J14" s="4" t="s">
        <v>206</v>
      </c>
      <c r="K14" s="4"/>
      <c r="L14" s="4"/>
      <c r="M14" s="4"/>
      <c r="N14" s="4"/>
      <c r="O14" s="4"/>
      <c r="P14" s="9" t="s">
        <v>215</v>
      </c>
      <c r="Q14" s="8" t="str">
        <f>IF($P14="Main",J14,BX14)</f>
        <v xml:space="preserve">in men age 65+ yrs </v>
      </c>
      <c r="R14" s="8" t="str">
        <f>IF($P14="Main",CONCATENATE(J14,": ",G14),BY14)</f>
        <v xml:space="preserve">in men age 65+ yrs </v>
      </c>
      <c r="S14" s="9"/>
      <c r="T14" s="9"/>
      <c r="U14" s="9"/>
      <c r="V14" s="75"/>
      <c r="W14" s="13"/>
      <c r="X14" s="13"/>
      <c r="Y14" s="8"/>
      <c r="Z14" s="66"/>
      <c r="AA14" s="8"/>
      <c r="AB14" s="8"/>
      <c r="AC14" s="31"/>
      <c r="AD14" s="16"/>
      <c r="AE14" s="16"/>
      <c r="AF14" s="16"/>
      <c r="AG14" s="67">
        <v>307</v>
      </c>
      <c r="AH14" s="67"/>
      <c r="AI14" s="67"/>
      <c r="AJ14" s="68">
        <v>268310</v>
      </c>
      <c r="AK14" s="49">
        <f t="shared" si="2"/>
        <v>1.1441988744362863</v>
      </c>
      <c r="AL14" s="50"/>
      <c r="AM14" s="50"/>
      <c r="AN14" s="47"/>
      <c r="AO14" s="69"/>
      <c r="AP14" s="69"/>
      <c r="AQ14" s="69"/>
      <c r="AR14" s="70">
        <v>-2660000</v>
      </c>
      <c r="AS14" s="70"/>
      <c r="AT14" s="70"/>
      <c r="AU14" s="71">
        <f t="shared" si="6"/>
        <v>-9913.9055570049568</v>
      </c>
      <c r="AV14" s="70"/>
      <c r="AW14" s="70"/>
      <c r="AX14" s="70"/>
      <c r="AY14" s="70"/>
      <c r="AZ14" s="70"/>
      <c r="BA14" s="72"/>
      <c r="BB14" s="72"/>
      <c r="BC14" s="72"/>
      <c r="BD14" s="70"/>
      <c r="BE14" s="70"/>
      <c r="BF14" s="72"/>
      <c r="BG14" s="70"/>
      <c r="BH14" s="70"/>
      <c r="BI14" s="72"/>
      <c r="BJ14" s="39" t="s">
        <v>182</v>
      </c>
      <c r="BK14" s="41" t="str">
        <f t="shared" si="3"/>
        <v>Cost-saving</v>
      </c>
      <c r="BL14" s="41">
        <f t="shared" si="3"/>
        <v>0</v>
      </c>
      <c r="BM14" s="41">
        <f t="shared" si="3"/>
        <v>0</v>
      </c>
      <c r="BN14" s="40" t="s">
        <v>183</v>
      </c>
      <c r="BO14" s="51"/>
      <c r="BP14" s="51"/>
      <c r="BQ14" s="40" t="s">
        <v>183</v>
      </c>
      <c r="BR14" s="51"/>
      <c r="BS14" s="51"/>
      <c r="BT14" s="40" t="s">
        <v>183</v>
      </c>
      <c r="BU14" s="51"/>
      <c r="BV14" s="51"/>
      <c r="BW14" s="73" t="s">
        <v>211</v>
      </c>
      <c r="BX14" s="8" t="s">
        <v>221</v>
      </c>
      <c r="BY14" s="16" t="s">
        <v>221</v>
      </c>
      <c r="BZ14" s="74">
        <v>2018</v>
      </c>
      <c r="CA14" s="41"/>
      <c r="CB14" s="41"/>
      <c r="CC14" s="53">
        <f t="shared" si="4"/>
        <v>123</v>
      </c>
      <c r="CD14" s="41" t="s">
        <v>213</v>
      </c>
      <c r="CE14" s="41" t="s">
        <v>214</v>
      </c>
      <c r="CF14" s="41"/>
      <c r="CG14" s="54">
        <v>1</v>
      </c>
      <c r="CH14" s="54" t="str">
        <f>IF(CK14=0,"",IF(V14="Persistent",5,IF(V14="Once",1,IF(V14="One-off",1,"manual overwrite"))))</f>
        <v/>
      </c>
      <c r="CI14" s="54"/>
      <c r="CJ14" s="41">
        <f t="shared" si="5"/>
        <v>0</v>
      </c>
      <c r="CK14" s="41">
        <f>IF(CA14="C",0,IF(P14="Het",0,IF(SUM(AG14,AO14)=0,0,1)))</f>
        <v>0</v>
      </c>
      <c r="CL14" s="55" t="e">
        <f>IF(G14="AUS",VLOOKUP(H14,$CU$5:$CW$23,2),IF(G14="NZ",VLOOKUP(H14,$CU$5:$CW$23,3),"error"))*AU14</f>
        <v>#N/A</v>
      </c>
      <c r="CM14" s="56" t="e">
        <f>IF(G14="AUS",VLOOKUP(H14,$CU$5:$CW$23,2),IF(G14="NZ",VLOOKUP(H14,$CU$5:$CW$23,3),"error"))*AX14</f>
        <v>#N/A</v>
      </c>
      <c r="CN14" s="55" t="e">
        <f>IF(G14="AUS",VLOOKUP(H14,$CU$5:$CW$23,2),IF(G14="NZ",VLOOKUP(H14,$CU$5:$CW$23,3),"error"))*BK14</f>
        <v>#N/A</v>
      </c>
    </row>
    <row r="15" spans="1:92" ht="290.25" hidden="1">
      <c r="A15" s="16" t="str">
        <f t="shared" si="0"/>
        <v>Tobacco</v>
      </c>
      <c r="B15" s="65" t="s">
        <v>170</v>
      </c>
      <c r="C15" s="8"/>
      <c r="D15" s="44"/>
      <c r="E15" s="8" t="s">
        <v>172</v>
      </c>
      <c r="F15" s="8" t="str">
        <f t="shared" si="1"/>
        <v xml:space="preserve">Tobacco; ; Prevention ; </v>
      </c>
      <c r="G15" s="8" t="s">
        <v>205</v>
      </c>
      <c r="H15" s="8">
        <v>2011</v>
      </c>
      <c r="I15" s="8" t="str">
        <f>CONCATENATE(A15,", ",G15,": ",J15)</f>
        <v>Tobacco, NZ: Combined tobacco endgame strategy (tobacco-free generation + tobacco tax increases + substantive outlet reduction strategy)</v>
      </c>
      <c r="J15" s="4" t="s">
        <v>206</v>
      </c>
      <c r="K15" s="4"/>
      <c r="L15" s="4"/>
      <c r="M15" s="4"/>
      <c r="N15" s="4"/>
      <c r="O15" s="4"/>
      <c r="P15" s="9" t="s">
        <v>215</v>
      </c>
      <c r="Q15" s="8" t="str">
        <f>IF($P15="Main",J15,BX15)</f>
        <v>in women</v>
      </c>
      <c r="R15" s="8" t="str">
        <f>IF($P15="Main",CONCATENATE(J15,": ",G15),BY15)</f>
        <v>in women</v>
      </c>
      <c r="S15" s="9"/>
      <c r="T15" s="9"/>
      <c r="U15" s="9"/>
      <c r="V15" s="75"/>
      <c r="W15" s="13"/>
      <c r="X15" s="13"/>
      <c r="Y15" s="8"/>
      <c r="Z15" s="66"/>
      <c r="AA15" s="8"/>
      <c r="AB15" s="8"/>
      <c r="AC15" s="31"/>
      <c r="AD15" s="16"/>
      <c r="AE15" s="16"/>
      <c r="AF15" s="16"/>
      <c r="AG15" s="67">
        <v>61300</v>
      </c>
      <c r="AH15" s="67"/>
      <c r="AI15" s="67"/>
      <c r="AJ15" s="68">
        <v>2240660</v>
      </c>
      <c r="AK15" s="49">
        <f t="shared" si="2"/>
        <v>27.358010586166575</v>
      </c>
      <c r="AL15" s="50"/>
      <c r="AM15" s="50"/>
      <c r="AN15" s="47"/>
      <c r="AO15" s="69"/>
      <c r="AP15" s="69"/>
      <c r="AQ15" s="69"/>
      <c r="AR15" s="70">
        <v>-1094000000</v>
      </c>
      <c r="AS15" s="70"/>
      <c r="AT15" s="70"/>
      <c r="AU15" s="71">
        <f t="shared" si="6"/>
        <v>-488248.9980630707</v>
      </c>
      <c r="AV15" s="70"/>
      <c r="AW15" s="70"/>
      <c r="AX15" s="70"/>
      <c r="AY15" s="70"/>
      <c r="AZ15" s="70"/>
      <c r="BA15" s="72"/>
      <c r="BB15" s="72"/>
      <c r="BC15" s="72"/>
      <c r="BD15" s="70"/>
      <c r="BE15" s="70"/>
      <c r="BF15" s="72"/>
      <c r="BG15" s="70"/>
      <c r="BH15" s="70"/>
      <c r="BI15" s="72"/>
      <c r="BJ15" s="39" t="s">
        <v>182</v>
      </c>
      <c r="BK15" s="41" t="str">
        <f t="shared" si="3"/>
        <v>Cost-saving</v>
      </c>
      <c r="BL15" s="41">
        <f t="shared" si="3"/>
        <v>0</v>
      </c>
      <c r="BM15" s="41">
        <f t="shared" si="3"/>
        <v>0</v>
      </c>
      <c r="BN15" s="40" t="s">
        <v>183</v>
      </c>
      <c r="BO15" s="51"/>
      <c r="BP15" s="51"/>
      <c r="BQ15" s="40" t="s">
        <v>183</v>
      </c>
      <c r="BR15" s="51"/>
      <c r="BS15" s="51"/>
      <c r="BT15" s="40" t="s">
        <v>183</v>
      </c>
      <c r="BU15" s="51"/>
      <c r="BV15" s="51"/>
      <c r="BW15" s="73" t="s">
        <v>211</v>
      </c>
      <c r="BX15" s="8" t="s">
        <v>222</v>
      </c>
      <c r="BY15" s="16" t="s">
        <v>222</v>
      </c>
      <c r="BZ15" s="74">
        <v>2018</v>
      </c>
      <c r="CA15" s="41"/>
      <c r="CB15" s="41"/>
      <c r="CC15" s="53">
        <f t="shared" si="4"/>
        <v>123</v>
      </c>
      <c r="CD15" s="41" t="s">
        <v>213</v>
      </c>
      <c r="CE15" s="41" t="s">
        <v>214</v>
      </c>
      <c r="CF15" s="41"/>
      <c r="CG15" s="54">
        <v>1</v>
      </c>
      <c r="CH15" s="54" t="str">
        <f>IF(CK15=0,"",IF(V15="Persistent",5,IF(V15="Once",1,IF(V15="One-off",1,"manual overwrite"))))</f>
        <v/>
      </c>
      <c r="CI15" s="54"/>
      <c r="CJ15" s="41">
        <f t="shared" si="5"/>
        <v>0</v>
      </c>
      <c r="CK15" s="41">
        <f>IF(CA15="C",0,IF(P15="Het",0,IF(SUM(AG15,AO15)=0,0,1)))</f>
        <v>0</v>
      </c>
      <c r="CL15" s="55" t="e">
        <f>IF(G15="AUS",VLOOKUP(H15,$CU$5:$CW$23,2),IF(G15="NZ",VLOOKUP(H15,$CU$5:$CW$23,3),"error"))*AU15</f>
        <v>#N/A</v>
      </c>
      <c r="CM15" s="56" t="e">
        <f>IF(G15="AUS",VLOOKUP(H15,$CU$5:$CW$23,2),IF(G15="NZ",VLOOKUP(H15,$CU$5:$CW$23,3),"error"))*AX15</f>
        <v>#N/A</v>
      </c>
      <c r="CN15" s="55" t="e">
        <f>IF(G15="AUS",VLOOKUP(H15,$CU$5:$CW$23,2),IF(G15="NZ",VLOOKUP(H15,$CU$5:$CW$23,3),"error"))*BK15</f>
        <v>#N/A</v>
      </c>
    </row>
    <row r="16" spans="1:92" ht="290.25" hidden="1">
      <c r="A16" s="16" t="str">
        <f t="shared" si="0"/>
        <v>Tobacco</v>
      </c>
      <c r="B16" s="65" t="s">
        <v>170</v>
      </c>
      <c r="C16" s="8"/>
      <c r="D16" s="44"/>
      <c r="E16" s="8" t="s">
        <v>172</v>
      </c>
      <c r="F16" s="8" t="str">
        <f t="shared" si="1"/>
        <v xml:space="preserve">Tobacco; ; Prevention ; </v>
      </c>
      <c r="G16" s="8" t="s">
        <v>205</v>
      </c>
      <c r="H16" s="8">
        <v>2011</v>
      </c>
      <c r="I16" s="8" t="str">
        <f>CONCATENATE(A16,", ",G16,": ",J16)</f>
        <v>Tobacco, NZ: Combined tobacco endgame strategy (tobacco-free generation + tobacco tax increases + substantive outlet reduction strategy)</v>
      </c>
      <c r="J16" s="4" t="s">
        <v>206</v>
      </c>
      <c r="K16" s="4"/>
      <c r="L16" s="4"/>
      <c r="M16" s="4"/>
      <c r="N16" s="4"/>
      <c r="O16" s="4"/>
      <c r="P16" s="9" t="s">
        <v>215</v>
      </c>
      <c r="Q16" s="8" t="str">
        <f>IF($P16="Main",J16,BX16)</f>
        <v>in women age 0-14 yrs</v>
      </c>
      <c r="R16" s="8" t="str">
        <f>IF($P16="Main",CONCATENATE(J16,": ",G16),BY16)</f>
        <v>in women age 0-14 yrs</v>
      </c>
      <c r="S16" s="9"/>
      <c r="T16" s="9"/>
      <c r="U16" s="9"/>
      <c r="V16" s="75"/>
      <c r="W16" s="13"/>
      <c r="X16" s="13"/>
      <c r="Y16" s="8"/>
      <c r="Z16" s="66"/>
      <c r="AA16" s="8"/>
      <c r="AB16" s="8"/>
      <c r="AC16" s="31"/>
      <c r="AD16" s="16"/>
      <c r="AE16" s="16"/>
      <c r="AF16" s="16"/>
      <c r="AG16" s="67">
        <v>28400</v>
      </c>
      <c r="AH16" s="67"/>
      <c r="AI16" s="67"/>
      <c r="AJ16" s="68">
        <v>436380</v>
      </c>
      <c r="AK16" s="49">
        <f t="shared" si="2"/>
        <v>65.080892799853331</v>
      </c>
      <c r="AL16" s="50"/>
      <c r="AM16" s="50"/>
      <c r="AN16" s="47"/>
      <c r="AO16" s="69"/>
      <c r="AP16" s="69"/>
      <c r="AQ16" s="69"/>
      <c r="AR16" s="70">
        <v>-531000000</v>
      </c>
      <c r="AS16" s="70"/>
      <c r="AT16" s="70"/>
      <c r="AU16" s="71">
        <f t="shared" si="6"/>
        <v>-1216829.3688986662</v>
      </c>
      <c r="AV16" s="70"/>
      <c r="AW16" s="70"/>
      <c r="AX16" s="70"/>
      <c r="AY16" s="70"/>
      <c r="AZ16" s="70"/>
      <c r="BA16" s="72"/>
      <c r="BB16" s="72"/>
      <c r="BC16" s="72"/>
      <c r="BD16" s="70"/>
      <c r="BE16" s="70"/>
      <c r="BF16" s="72"/>
      <c r="BG16" s="70"/>
      <c r="BH16" s="70"/>
      <c r="BI16" s="72"/>
      <c r="BJ16" s="39" t="s">
        <v>182</v>
      </c>
      <c r="BK16" s="41" t="str">
        <f t="shared" si="3"/>
        <v>Cost-saving</v>
      </c>
      <c r="BL16" s="41">
        <f t="shared" si="3"/>
        <v>0</v>
      </c>
      <c r="BM16" s="41">
        <f t="shared" si="3"/>
        <v>0</v>
      </c>
      <c r="BN16" s="40" t="s">
        <v>183</v>
      </c>
      <c r="BO16" s="51"/>
      <c r="BP16" s="51"/>
      <c r="BQ16" s="40" t="s">
        <v>183</v>
      </c>
      <c r="BR16" s="51"/>
      <c r="BS16" s="51"/>
      <c r="BT16" s="40" t="s">
        <v>183</v>
      </c>
      <c r="BU16" s="51"/>
      <c r="BV16" s="51"/>
      <c r="BW16" s="73" t="s">
        <v>211</v>
      </c>
      <c r="BX16" s="8" t="s">
        <v>223</v>
      </c>
      <c r="BY16" s="16" t="s">
        <v>223</v>
      </c>
      <c r="BZ16" s="74">
        <v>2018</v>
      </c>
      <c r="CA16" s="41"/>
      <c r="CB16" s="41"/>
      <c r="CC16" s="53">
        <f t="shared" si="4"/>
        <v>123</v>
      </c>
      <c r="CD16" s="41" t="s">
        <v>213</v>
      </c>
      <c r="CE16" s="41" t="s">
        <v>214</v>
      </c>
      <c r="CF16" s="41"/>
      <c r="CG16" s="54">
        <v>1</v>
      </c>
      <c r="CH16" s="54" t="str">
        <f>IF(CK16=0,"",IF(V16="Persistent",5,IF(V16="Once",1,IF(V16="One-off",1,"manual overwrite"))))</f>
        <v/>
      </c>
      <c r="CI16" s="54"/>
      <c r="CJ16" s="41">
        <f t="shared" si="5"/>
        <v>0</v>
      </c>
      <c r="CK16" s="41">
        <f>IF(CA16="C",0,IF(P16="Het",0,IF(SUM(AG16,AO16)=0,0,1)))</f>
        <v>0</v>
      </c>
      <c r="CL16" s="55" t="e">
        <f>IF(G16="AUS",VLOOKUP(H16,$CU$5:$CW$23,2),IF(G16="NZ",VLOOKUP(H16,$CU$5:$CW$23,3),"error"))*AU16</f>
        <v>#N/A</v>
      </c>
      <c r="CM16" s="56" t="e">
        <f>IF(G16="AUS",VLOOKUP(H16,$CU$5:$CW$23,2),IF(G16="NZ",VLOOKUP(H16,$CU$5:$CW$23,3),"error"))*AX16</f>
        <v>#N/A</v>
      </c>
      <c r="CN16" s="55" t="e">
        <f>IF(G16="AUS",VLOOKUP(H16,$CU$5:$CW$23,2),IF(G16="NZ",VLOOKUP(H16,$CU$5:$CW$23,3),"error"))*BK16</f>
        <v>#N/A</v>
      </c>
    </row>
    <row r="17" spans="1:92" ht="290.25" hidden="1">
      <c r="A17" s="16" t="str">
        <f t="shared" si="0"/>
        <v>Tobacco</v>
      </c>
      <c r="B17" s="65" t="s">
        <v>170</v>
      </c>
      <c r="C17" s="8"/>
      <c r="D17" s="44"/>
      <c r="E17" s="8" t="s">
        <v>172</v>
      </c>
      <c r="F17" s="8" t="str">
        <f t="shared" si="1"/>
        <v xml:space="preserve">Tobacco; ; Prevention ; </v>
      </c>
      <c r="G17" s="8" t="s">
        <v>205</v>
      </c>
      <c r="H17" s="8">
        <v>2011</v>
      </c>
      <c r="I17" s="8" t="str">
        <f>CONCATENATE(A17,", ",G17,": ",J17)</f>
        <v>Tobacco, NZ: Combined tobacco endgame strategy (tobacco-free generation + tobacco tax increases + substantive outlet reduction strategy)</v>
      </c>
      <c r="J17" s="4" t="s">
        <v>206</v>
      </c>
      <c r="K17" s="4"/>
      <c r="L17" s="4"/>
      <c r="M17" s="4"/>
      <c r="N17" s="4"/>
      <c r="O17" s="4"/>
      <c r="P17" s="9" t="s">
        <v>215</v>
      </c>
      <c r="Q17" s="8" t="str">
        <f>IF($P17="Main",J17,BX17)</f>
        <v xml:space="preserve">in women age 15-24 yrs </v>
      </c>
      <c r="R17" s="8" t="str">
        <f>IF($P17="Main",CONCATENATE(J17,": ",G17),BY17)</f>
        <v xml:space="preserve">in women age 15-24 yrs </v>
      </c>
      <c r="S17" s="9"/>
      <c r="T17" s="9"/>
      <c r="U17" s="9"/>
      <c r="V17" s="75"/>
      <c r="W17" s="13"/>
      <c r="X17" s="13"/>
      <c r="Y17" s="8"/>
      <c r="Z17" s="66"/>
      <c r="AA17" s="8"/>
      <c r="AB17" s="8"/>
      <c r="AC17" s="31"/>
      <c r="AD17" s="16"/>
      <c r="AE17" s="16"/>
      <c r="AF17" s="16"/>
      <c r="AG17" s="67">
        <v>18400</v>
      </c>
      <c r="AH17" s="67"/>
      <c r="AI17" s="67"/>
      <c r="AJ17" s="68">
        <v>311500</v>
      </c>
      <c r="AK17" s="49">
        <f t="shared" si="2"/>
        <v>59.069020866773677</v>
      </c>
      <c r="AL17" s="50"/>
      <c r="AM17" s="50"/>
      <c r="AN17" s="47"/>
      <c r="AO17" s="69"/>
      <c r="AP17" s="69"/>
      <c r="AQ17" s="69"/>
      <c r="AR17" s="70">
        <v>-351000000</v>
      </c>
      <c r="AS17" s="70"/>
      <c r="AT17" s="70"/>
      <c r="AU17" s="71">
        <f t="shared" si="6"/>
        <v>-1126805.7784911718</v>
      </c>
      <c r="AV17" s="70"/>
      <c r="AW17" s="70"/>
      <c r="AX17" s="70"/>
      <c r="AY17" s="70"/>
      <c r="AZ17" s="70"/>
      <c r="BA17" s="72"/>
      <c r="BB17" s="72"/>
      <c r="BC17" s="72"/>
      <c r="BD17" s="70"/>
      <c r="BE17" s="70"/>
      <c r="BF17" s="72"/>
      <c r="BG17" s="70"/>
      <c r="BH17" s="70"/>
      <c r="BI17" s="72"/>
      <c r="BJ17" s="39" t="s">
        <v>182</v>
      </c>
      <c r="BK17" s="41" t="str">
        <f t="shared" si="3"/>
        <v>Cost-saving</v>
      </c>
      <c r="BL17" s="41">
        <f t="shared" si="3"/>
        <v>0</v>
      </c>
      <c r="BM17" s="41">
        <f t="shared" si="3"/>
        <v>0</v>
      </c>
      <c r="BN17" s="40" t="s">
        <v>183</v>
      </c>
      <c r="BO17" s="51"/>
      <c r="BP17" s="51"/>
      <c r="BQ17" s="40" t="s">
        <v>183</v>
      </c>
      <c r="BR17" s="51"/>
      <c r="BS17" s="51"/>
      <c r="BT17" s="40" t="s">
        <v>183</v>
      </c>
      <c r="BU17" s="51"/>
      <c r="BV17" s="51"/>
      <c r="BW17" s="73" t="s">
        <v>211</v>
      </c>
      <c r="BX17" s="8" t="s">
        <v>224</v>
      </c>
      <c r="BY17" s="16" t="s">
        <v>224</v>
      </c>
      <c r="BZ17" s="74">
        <v>2018</v>
      </c>
      <c r="CA17" s="41"/>
      <c r="CB17" s="41"/>
      <c r="CC17" s="53">
        <f t="shared" si="4"/>
        <v>123</v>
      </c>
      <c r="CD17" s="41" t="s">
        <v>213</v>
      </c>
      <c r="CE17" s="41" t="s">
        <v>214</v>
      </c>
      <c r="CF17" s="41"/>
      <c r="CG17" s="54">
        <v>1</v>
      </c>
      <c r="CH17" s="54" t="str">
        <f>IF(CK17=0,"",IF(V17="Persistent",5,IF(V17="Once",1,IF(V17="One-off",1,"manual overwrite"))))</f>
        <v/>
      </c>
      <c r="CI17" s="54"/>
      <c r="CJ17" s="41">
        <f t="shared" si="5"/>
        <v>0</v>
      </c>
      <c r="CK17" s="41">
        <f>IF(CA17="C",0,IF(P17="Het",0,IF(SUM(AG17,AO17)=0,0,1)))</f>
        <v>0</v>
      </c>
      <c r="CL17" s="55" t="e">
        <f>IF(G17="AUS",VLOOKUP(H17,$CU$5:$CW$23,2),IF(G17="NZ",VLOOKUP(H17,$CU$5:$CW$23,3),"error"))*AU17</f>
        <v>#N/A</v>
      </c>
      <c r="CM17" s="56" t="e">
        <f>IF(G17="AUS",VLOOKUP(H17,$CU$5:$CW$23,2),IF(G17="NZ",VLOOKUP(H17,$CU$5:$CW$23,3),"error"))*AX17</f>
        <v>#N/A</v>
      </c>
      <c r="CN17" s="55" t="e">
        <f>IF(G17="AUS",VLOOKUP(H17,$CU$5:$CW$23,2),IF(G17="NZ",VLOOKUP(H17,$CU$5:$CW$23,3),"error"))*BK17</f>
        <v>#N/A</v>
      </c>
    </row>
    <row r="18" spans="1:92" ht="290.25" hidden="1">
      <c r="A18" s="16" t="str">
        <f t="shared" si="0"/>
        <v>Tobacco</v>
      </c>
      <c r="B18" s="65" t="s">
        <v>170</v>
      </c>
      <c r="C18" s="8"/>
      <c r="D18" s="44"/>
      <c r="E18" s="8" t="s">
        <v>172</v>
      </c>
      <c r="F18" s="8" t="str">
        <f t="shared" si="1"/>
        <v xml:space="preserve">Tobacco; ; Prevention ; </v>
      </c>
      <c r="G18" s="8" t="s">
        <v>205</v>
      </c>
      <c r="H18" s="8">
        <v>2011</v>
      </c>
      <c r="I18" s="8" t="str">
        <f>CONCATENATE(A18,", ",G18,": ",J18)</f>
        <v>Tobacco, NZ: Combined tobacco endgame strategy (tobacco-free generation + tobacco tax increases + substantive outlet reduction strategy)</v>
      </c>
      <c r="J18" s="4" t="s">
        <v>206</v>
      </c>
      <c r="K18" s="4"/>
      <c r="L18" s="4"/>
      <c r="M18" s="4"/>
      <c r="N18" s="4"/>
      <c r="O18" s="4"/>
      <c r="P18" s="9" t="s">
        <v>215</v>
      </c>
      <c r="Q18" s="8" t="str">
        <f>IF($P18="Main",J18,BX18)</f>
        <v>in women age 25-44 yrs</v>
      </c>
      <c r="R18" s="8" t="str">
        <f>IF($P18="Main",CONCATENATE(J18,": ",G18),BY18)</f>
        <v>in women age 25-44 yrs</v>
      </c>
      <c r="S18" s="9"/>
      <c r="T18" s="9"/>
      <c r="U18" s="9"/>
      <c r="V18" s="75"/>
      <c r="W18" s="13"/>
      <c r="X18" s="13"/>
      <c r="Y18" s="8"/>
      <c r="Z18" s="66"/>
      <c r="AA18" s="8"/>
      <c r="AB18" s="8"/>
      <c r="AC18" s="31"/>
      <c r="AD18" s="16"/>
      <c r="AE18" s="16"/>
      <c r="AF18" s="16"/>
      <c r="AG18" s="67">
        <v>9550</v>
      </c>
      <c r="AH18" s="67"/>
      <c r="AI18" s="67"/>
      <c r="AJ18" s="68">
        <v>604390</v>
      </c>
      <c r="AK18" s="49">
        <f t="shared" si="2"/>
        <v>15.801055609788381</v>
      </c>
      <c r="AL18" s="50"/>
      <c r="AM18" s="50"/>
      <c r="AN18" s="47"/>
      <c r="AO18" s="69"/>
      <c r="AP18" s="69"/>
      <c r="AQ18" s="69"/>
      <c r="AR18" s="70">
        <v>-156000000</v>
      </c>
      <c r="AS18" s="70"/>
      <c r="AT18" s="70"/>
      <c r="AU18" s="71">
        <f t="shared" si="6"/>
        <v>-258111.48430649083</v>
      </c>
      <c r="AV18" s="70"/>
      <c r="AW18" s="70"/>
      <c r="AX18" s="70"/>
      <c r="AY18" s="70"/>
      <c r="AZ18" s="70"/>
      <c r="BA18" s="72"/>
      <c r="BB18" s="72"/>
      <c r="BC18" s="72"/>
      <c r="BD18" s="70"/>
      <c r="BE18" s="70"/>
      <c r="BF18" s="72"/>
      <c r="BG18" s="70"/>
      <c r="BH18" s="70"/>
      <c r="BI18" s="72"/>
      <c r="BJ18" s="39" t="s">
        <v>182</v>
      </c>
      <c r="BK18" s="41" t="str">
        <f t="shared" si="3"/>
        <v>Cost-saving</v>
      </c>
      <c r="BL18" s="41">
        <f t="shared" si="3"/>
        <v>0</v>
      </c>
      <c r="BM18" s="41">
        <f t="shared" si="3"/>
        <v>0</v>
      </c>
      <c r="BN18" s="40" t="s">
        <v>183</v>
      </c>
      <c r="BO18" s="51"/>
      <c r="BP18" s="51"/>
      <c r="BQ18" s="40" t="s">
        <v>183</v>
      </c>
      <c r="BR18" s="51"/>
      <c r="BS18" s="51"/>
      <c r="BT18" s="40" t="s">
        <v>183</v>
      </c>
      <c r="BU18" s="51"/>
      <c r="BV18" s="51"/>
      <c r="BW18" s="73" t="s">
        <v>211</v>
      </c>
      <c r="BX18" s="8" t="s">
        <v>225</v>
      </c>
      <c r="BY18" s="16" t="s">
        <v>225</v>
      </c>
      <c r="BZ18" s="74">
        <v>2018</v>
      </c>
      <c r="CA18" s="41"/>
      <c r="CB18" s="41"/>
      <c r="CC18" s="53">
        <f t="shared" si="4"/>
        <v>123</v>
      </c>
      <c r="CD18" s="41" t="s">
        <v>213</v>
      </c>
      <c r="CE18" s="41" t="s">
        <v>214</v>
      </c>
      <c r="CF18" s="41"/>
      <c r="CG18" s="54">
        <v>1</v>
      </c>
      <c r="CH18" s="54" t="str">
        <f>IF(CK18=0,"",IF(V18="Persistent",5,IF(V18="Once",1,IF(V18="One-off",1,"manual overwrite"))))</f>
        <v/>
      </c>
      <c r="CI18" s="54"/>
      <c r="CJ18" s="41">
        <f t="shared" si="5"/>
        <v>0</v>
      </c>
      <c r="CK18" s="41">
        <f>IF(CA18="C",0,IF(P18="Het",0,IF(SUM(AG18,AO18)=0,0,1)))</f>
        <v>0</v>
      </c>
      <c r="CL18" s="55" t="e">
        <f>IF(G18="AUS",VLOOKUP(H18,$CU$5:$CW$23,2),IF(G18="NZ",VLOOKUP(H18,$CU$5:$CW$23,3),"error"))*AU18</f>
        <v>#N/A</v>
      </c>
      <c r="CM18" s="56" t="e">
        <f>IF(G18="AUS",VLOOKUP(H18,$CU$5:$CW$23,2),IF(G18="NZ",VLOOKUP(H18,$CU$5:$CW$23,3),"error"))*AX18</f>
        <v>#N/A</v>
      </c>
      <c r="CN18" s="55" t="e">
        <f>IF(G18="AUS",VLOOKUP(H18,$CU$5:$CW$23,2),IF(G18="NZ",VLOOKUP(H18,$CU$5:$CW$23,3),"error"))*BK18</f>
        <v>#N/A</v>
      </c>
    </row>
    <row r="19" spans="1:92" ht="290.25" hidden="1">
      <c r="A19" s="16" t="str">
        <f t="shared" si="0"/>
        <v>Tobacco</v>
      </c>
      <c r="B19" s="65" t="s">
        <v>170</v>
      </c>
      <c r="C19" s="8"/>
      <c r="D19" s="44"/>
      <c r="E19" s="8" t="s">
        <v>172</v>
      </c>
      <c r="F19" s="8" t="str">
        <f t="shared" si="1"/>
        <v xml:space="preserve">Tobacco; ; Prevention ; </v>
      </c>
      <c r="G19" s="8" t="s">
        <v>205</v>
      </c>
      <c r="H19" s="8">
        <v>2011</v>
      </c>
      <c r="I19" s="8" t="str">
        <f>CONCATENATE(A19,", ",G19,": ",J19)</f>
        <v>Tobacco, NZ: Combined tobacco endgame strategy (tobacco-free generation + tobacco tax increases + substantive outlet reduction strategy)</v>
      </c>
      <c r="J19" s="4" t="s">
        <v>206</v>
      </c>
      <c r="K19" s="4"/>
      <c r="L19" s="4"/>
      <c r="M19" s="4"/>
      <c r="N19" s="4"/>
      <c r="O19" s="4"/>
      <c r="P19" s="9" t="s">
        <v>215</v>
      </c>
      <c r="Q19" s="8" t="str">
        <f>IF($P19="Main",J19,BX19)</f>
        <v>in women age 45-64 yrs</v>
      </c>
      <c r="R19" s="8" t="str">
        <f>IF($P19="Main",CONCATENATE(J19,": ",G19),BY19)</f>
        <v>in women age 45-64 yrs</v>
      </c>
      <c r="S19" s="9"/>
      <c r="T19" s="9"/>
      <c r="U19" s="9"/>
      <c r="V19" s="75"/>
      <c r="W19" s="13"/>
      <c r="X19" s="13"/>
      <c r="Y19" s="8"/>
      <c r="Z19" s="66"/>
      <c r="AA19" s="8"/>
      <c r="AB19" s="8"/>
      <c r="AC19" s="31"/>
      <c r="AD19" s="16"/>
      <c r="AE19" s="16"/>
      <c r="AF19" s="16"/>
      <c r="AG19" s="67">
        <v>4570</v>
      </c>
      <c r="AH19" s="67"/>
      <c r="AI19" s="67"/>
      <c r="AJ19" s="68">
        <v>569720</v>
      </c>
      <c r="AK19" s="49">
        <f t="shared" si="2"/>
        <v>8.0214842378712348</v>
      </c>
      <c r="AL19" s="50"/>
      <c r="AM19" s="50"/>
      <c r="AN19" s="47"/>
      <c r="AO19" s="69"/>
      <c r="AP19" s="69"/>
      <c r="AQ19" s="69"/>
      <c r="AR19" s="70">
        <v>-53800000</v>
      </c>
      <c r="AS19" s="70"/>
      <c r="AT19" s="70"/>
      <c r="AU19" s="71">
        <f t="shared" si="6"/>
        <v>-94432.352734676679</v>
      </c>
      <c r="AV19" s="70"/>
      <c r="AW19" s="70"/>
      <c r="AX19" s="70"/>
      <c r="AY19" s="70"/>
      <c r="AZ19" s="70"/>
      <c r="BA19" s="72"/>
      <c r="BB19" s="72"/>
      <c r="BC19" s="72"/>
      <c r="BD19" s="70"/>
      <c r="BE19" s="70"/>
      <c r="BF19" s="72"/>
      <c r="BG19" s="70"/>
      <c r="BH19" s="70"/>
      <c r="BI19" s="72"/>
      <c r="BJ19" s="39" t="s">
        <v>182</v>
      </c>
      <c r="BK19" s="41" t="str">
        <f t="shared" si="3"/>
        <v>Cost-saving</v>
      </c>
      <c r="BL19" s="41">
        <f t="shared" si="3"/>
        <v>0</v>
      </c>
      <c r="BM19" s="41">
        <f t="shared" si="3"/>
        <v>0</v>
      </c>
      <c r="BN19" s="40" t="s">
        <v>183</v>
      </c>
      <c r="BO19" s="51"/>
      <c r="BP19" s="51"/>
      <c r="BQ19" s="40" t="s">
        <v>183</v>
      </c>
      <c r="BR19" s="51"/>
      <c r="BS19" s="51"/>
      <c r="BT19" s="40" t="s">
        <v>183</v>
      </c>
      <c r="BU19" s="51"/>
      <c r="BV19" s="51"/>
      <c r="BW19" s="73" t="s">
        <v>211</v>
      </c>
      <c r="BX19" s="8" t="s">
        <v>226</v>
      </c>
      <c r="BY19" s="16" t="s">
        <v>226</v>
      </c>
      <c r="BZ19" s="74">
        <v>2018</v>
      </c>
      <c r="CA19" s="41"/>
      <c r="CB19" s="41"/>
      <c r="CC19" s="53">
        <f t="shared" si="4"/>
        <v>123</v>
      </c>
      <c r="CD19" s="41" t="s">
        <v>213</v>
      </c>
      <c r="CE19" s="41" t="s">
        <v>214</v>
      </c>
      <c r="CF19" s="41"/>
      <c r="CG19" s="54">
        <v>1</v>
      </c>
      <c r="CH19" s="54" t="str">
        <f>IF(CK19=0,"",IF(V19="Persistent",5,IF(V19="Once",1,IF(V19="One-off",1,"manual overwrite"))))</f>
        <v/>
      </c>
      <c r="CI19" s="54"/>
      <c r="CJ19" s="41">
        <f t="shared" si="5"/>
        <v>0</v>
      </c>
      <c r="CK19" s="41">
        <f>IF(CA19="C",0,IF(P19="Het",0,IF(SUM(AG19,AO19)=0,0,1)))</f>
        <v>0</v>
      </c>
      <c r="CL19" s="55" t="e">
        <f>IF(G19="AUS",VLOOKUP(H19,$CU$5:$CW$23,2),IF(G19="NZ",VLOOKUP(H19,$CU$5:$CW$23,3),"error"))*AU19</f>
        <v>#N/A</v>
      </c>
      <c r="CM19" s="56" t="e">
        <f>IF(G19="AUS",VLOOKUP(H19,$CU$5:$CW$23,2),IF(G19="NZ",VLOOKUP(H19,$CU$5:$CW$23,3),"error"))*AX19</f>
        <v>#N/A</v>
      </c>
      <c r="CN19" s="55" t="e">
        <f>IF(G19="AUS",VLOOKUP(H19,$CU$5:$CW$23,2),IF(G19="NZ",VLOOKUP(H19,$CU$5:$CW$23,3),"error"))*BK19</f>
        <v>#N/A</v>
      </c>
    </row>
    <row r="20" spans="1:92" ht="290.25" hidden="1">
      <c r="A20" s="16" t="str">
        <f t="shared" si="0"/>
        <v>Tobacco</v>
      </c>
      <c r="B20" s="65" t="s">
        <v>170</v>
      </c>
      <c r="C20" s="8"/>
      <c r="D20" s="44"/>
      <c r="E20" s="8" t="s">
        <v>172</v>
      </c>
      <c r="F20" s="8" t="str">
        <f t="shared" si="1"/>
        <v xml:space="preserve">Tobacco; ; Prevention ; </v>
      </c>
      <c r="G20" s="8" t="s">
        <v>205</v>
      </c>
      <c r="H20" s="8">
        <v>2011</v>
      </c>
      <c r="I20" s="8" t="str">
        <f>CONCATENATE(A20,", ",G20,": ",J20)</f>
        <v>Tobacco, NZ: Combined tobacco endgame strategy (tobacco-free generation + tobacco tax increases + substantive outlet reduction strategy)</v>
      </c>
      <c r="J20" s="4" t="s">
        <v>206</v>
      </c>
      <c r="K20" s="4"/>
      <c r="L20" s="4"/>
      <c r="M20" s="4"/>
      <c r="N20" s="4"/>
      <c r="O20" s="4"/>
      <c r="P20" s="9" t="s">
        <v>215</v>
      </c>
      <c r="Q20" s="8" t="str">
        <f>IF($P20="Main",J20,BX20)</f>
        <v xml:space="preserve">in women age 65+ yrs </v>
      </c>
      <c r="R20" s="8" t="str">
        <f>IF($P20="Main",CONCATENATE(J20,": ",G20),BY20)</f>
        <v xml:space="preserve">in women age 65+ yrs </v>
      </c>
      <c r="S20" s="9"/>
      <c r="T20" s="9"/>
      <c r="U20" s="9"/>
      <c r="V20" s="75"/>
      <c r="W20" s="13"/>
      <c r="X20" s="13"/>
      <c r="Y20" s="8"/>
      <c r="Z20" s="66"/>
      <c r="AA20" s="8"/>
      <c r="AB20" s="8"/>
      <c r="AC20" s="31"/>
      <c r="AD20" s="16"/>
      <c r="AE20" s="16"/>
      <c r="AF20" s="16"/>
      <c r="AG20" s="67">
        <v>358</v>
      </c>
      <c r="AH20" s="67"/>
      <c r="AI20" s="67"/>
      <c r="AJ20" s="68">
        <v>318670</v>
      </c>
      <c r="AK20" s="49">
        <f t="shared" si="2"/>
        <v>1.1234192110961183</v>
      </c>
      <c r="AL20" s="50"/>
      <c r="AM20" s="50"/>
      <c r="AN20" s="47"/>
      <c r="AO20" s="69"/>
      <c r="AP20" s="69"/>
      <c r="AQ20" s="69"/>
      <c r="AR20" s="70">
        <v>-2150000</v>
      </c>
      <c r="AS20" s="70"/>
      <c r="AT20" s="70"/>
      <c r="AU20" s="71">
        <f t="shared" si="6"/>
        <v>-6746.7913515548998</v>
      </c>
      <c r="AV20" s="70"/>
      <c r="AW20" s="70"/>
      <c r="AX20" s="70"/>
      <c r="AY20" s="70"/>
      <c r="AZ20" s="70"/>
      <c r="BA20" s="72"/>
      <c r="BB20" s="72"/>
      <c r="BC20" s="72"/>
      <c r="BD20" s="70"/>
      <c r="BE20" s="70"/>
      <c r="BF20" s="72"/>
      <c r="BG20" s="70"/>
      <c r="BH20" s="70"/>
      <c r="BI20" s="72"/>
      <c r="BJ20" s="39" t="s">
        <v>182</v>
      </c>
      <c r="BK20" s="41" t="str">
        <f t="shared" si="3"/>
        <v>Cost-saving</v>
      </c>
      <c r="BL20" s="41">
        <f t="shared" si="3"/>
        <v>0</v>
      </c>
      <c r="BM20" s="41">
        <f t="shared" si="3"/>
        <v>0</v>
      </c>
      <c r="BN20" s="40" t="s">
        <v>183</v>
      </c>
      <c r="BO20" s="51"/>
      <c r="BP20" s="51"/>
      <c r="BQ20" s="40" t="s">
        <v>183</v>
      </c>
      <c r="BR20" s="51"/>
      <c r="BS20" s="51"/>
      <c r="BT20" s="40" t="s">
        <v>183</v>
      </c>
      <c r="BU20" s="51"/>
      <c r="BV20" s="51"/>
      <c r="BW20" s="73" t="s">
        <v>211</v>
      </c>
      <c r="BX20" s="8" t="s">
        <v>227</v>
      </c>
      <c r="BY20" s="16" t="s">
        <v>227</v>
      </c>
      <c r="BZ20" s="74">
        <v>2018</v>
      </c>
      <c r="CA20" s="41"/>
      <c r="CB20" s="41"/>
      <c r="CC20" s="53">
        <f t="shared" si="4"/>
        <v>123</v>
      </c>
      <c r="CD20" s="41" t="s">
        <v>213</v>
      </c>
      <c r="CE20" s="41" t="s">
        <v>214</v>
      </c>
      <c r="CF20" s="41"/>
      <c r="CG20" s="54">
        <v>1</v>
      </c>
      <c r="CH20" s="54" t="str">
        <f>IF(CK20=0,"",IF(V20="Persistent",5,IF(V20="Once",1,IF(V20="One-off",1,"manual overwrite"))))</f>
        <v/>
      </c>
      <c r="CI20" s="54"/>
      <c r="CJ20" s="41">
        <f t="shared" si="5"/>
        <v>0</v>
      </c>
      <c r="CK20" s="41">
        <f>IF(CA20="C",0,IF(P20="Het",0,IF(SUM(AG20,AO20)=0,0,1)))</f>
        <v>0</v>
      </c>
      <c r="CL20" s="55" t="e">
        <f>IF(G20="AUS",VLOOKUP(H20,$CU$5:$CW$23,2),IF(G20="NZ",VLOOKUP(H20,$CU$5:$CW$23,3),"error"))*AU20</f>
        <v>#N/A</v>
      </c>
      <c r="CM20" s="56" t="e">
        <f>IF(G20="AUS",VLOOKUP(H20,$CU$5:$CW$23,2),IF(G20="NZ",VLOOKUP(H20,$CU$5:$CW$23,3),"error"))*AX20</f>
        <v>#N/A</v>
      </c>
      <c r="CN20" s="55" t="e">
        <f>IF(G20="AUS",VLOOKUP(H20,$CU$5:$CW$23,2),IF(G20="NZ",VLOOKUP(H20,$CU$5:$CW$23,3),"error"))*BK20</f>
        <v>#N/A</v>
      </c>
    </row>
    <row r="21" spans="1:92" ht="290.25" hidden="1">
      <c r="A21" s="16" t="str">
        <f t="shared" si="0"/>
        <v>Tobacco</v>
      </c>
      <c r="B21" s="65" t="s">
        <v>170</v>
      </c>
      <c r="C21" s="8"/>
      <c r="D21" s="44"/>
      <c r="E21" s="8" t="s">
        <v>172</v>
      </c>
      <c r="F21" s="8" t="str">
        <f t="shared" si="1"/>
        <v xml:space="preserve">Tobacco; ; Prevention ; </v>
      </c>
      <c r="G21" s="8" t="s">
        <v>205</v>
      </c>
      <c r="H21" s="8">
        <v>2011</v>
      </c>
      <c r="I21" s="8" t="str">
        <f>CONCATENATE(A21,", ",G21,": ",J21)</f>
        <v>Tobacco, NZ: Combined tobacco endgame strategy (tobacco-free generation + tobacco tax increases + substantive outlet reduction strategy)</v>
      </c>
      <c r="J21" s="4" t="s">
        <v>206</v>
      </c>
      <c r="K21" s="4"/>
      <c r="L21" s="4"/>
      <c r="M21" s="4"/>
      <c r="N21" s="4"/>
      <c r="O21" s="4"/>
      <c r="P21" s="9" t="s">
        <v>215</v>
      </c>
      <c r="Q21" s="8" t="str">
        <f>IF($P21="Main",J21,BX21)</f>
        <v>in non-Māori</v>
      </c>
      <c r="R21" s="8" t="str">
        <f>IF($P21="Main",CONCATENATE(J21,": ",G21),BY21)</f>
        <v>in non-Māori</v>
      </c>
      <c r="S21" s="9"/>
      <c r="T21" s="9"/>
      <c r="U21" s="9"/>
      <c r="V21" s="75"/>
      <c r="W21" s="13"/>
      <c r="X21" s="13"/>
      <c r="Y21" s="8"/>
      <c r="Z21" s="66"/>
      <c r="AA21" s="8"/>
      <c r="AB21" s="8"/>
      <c r="AC21" s="31"/>
      <c r="AD21" s="16"/>
      <c r="AE21" s="16"/>
      <c r="AF21" s="16"/>
      <c r="AG21" s="67">
        <v>64300</v>
      </c>
      <c r="AH21" s="67">
        <v>43200</v>
      </c>
      <c r="AI21" s="67">
        <v>96000</v>
      </c>
      <c r="AJ21" s="68">
        <v>3731070</v>
      </c>
      <c r="AK21" s="49">
        <f t="shared" si="2"/>
        <v>17.233662193419043</v>
      </c>
      <c r="AL21" s="50">
        <f>AH21/$AJ21*1000</f>
        <v>11.578448005531925</v>
      </c>
      <c r="AM21" s="50">
        <f>AI21/$AJ21*1000</f>
        <v>25.729884456737611</v>
      </c>
      <c r="AN21" s="47"/>
      <c r="AO21" s="69">
        <v>1.7000000000000001E-2</v>
      </c>
      <c r="AP21" s="69"/>
      <c r="AQ21" s="69"/>
      <c r="AR21" s="70">
        <v>-1680000000</v>
      </c>
      <c r="AS21" s="70">
        <v>-1113000000</v>
      </c>
      <c r="AT21" s="70">
        <v>-2450000000</v>
      </c>
      <c r="AU21" s="71">
        <f t="shared" si="6"/>
        <v>-450272.97799290821</v>
      </c>
      <c r="AV21" s="70">
        <f>1000*AS21/$AJ21</f>
        <v>-298305.84792030166</v>
      </c>
      <c r="AW21" s="70">
        <f>1000*AT21/$AJ21</f>
        <v>-656648.09290632443</v>
      </c>
      <c r="AX21" s="70">
        <v>-451</v>
      </c>
      <c r="AY21" s="70"/>
      <c r="AZ21" s="70"/>
      <c r="BA21" s="72"/>
      <c r="BB21" s="72"/>
      <c r="BC21" s="72"/>
      <c r="BD21" s="70"/>
      <c r="BE21" s="70"/>
      <c r="BF21" s="72"/>
      <c r="BG21" s="70"/>
      <c r="BH21" s="70"/>
      <c r="BI21" s="72"/>
      <c r="BJ21" s="39" t="s">
        <v>182</v>
      </c>
      <c r="BK21" s="41" t="str">
        <f t="shared" si="3"/>
        <v>Cost-saving</v>
      </c>
      <c r="BL21" s="41">
        <f t="shared" si="3"/>
        <v>0</v>
      </c>
      <c r="BM21" s="41">
        <f t="shared" si="3"/>
        <v>0</v>
      </c>
      <c r="BN21" s="40" t="s">
        <v>183</v>
      </c>
      <c r="BO21" s="51"/>
      <c r="BP21" s="51"/>
      <c r="BQ21" s="40" t="s">
        <v>183</v>
      </c>
      <c r="BR21" s="51"/>
      <c r="BS21" s="51"/>
      <c r="BT21" s="40" t="s">
        <v>183</v>
      </c>
      <c r="BU21" s="51"/>
      <c r="BV21" s="51"/>
      <c r="BW21" s="73" t="s">
        <v>211</v>
      </c>
      <c r="BX21" s="8" t="s">
        <v>228</v>
      </c>
      <c r="BY21" s="16" t="s">
        <v>228</v>
      </c>
      <c r="BZ21" s="74">
        <v>2018</v>
      </c>
      <c r="CA21" s="41"/>
      <c r="CB21" s="41"/>
      <c r="CC21" s="53">
        <f t="shared" si="4"/>
        <v>123</v>
      </c>
      <c r="CD21" s="41" t="s">
        <v>213</v>
      </c>
      <c r="CE21" s="41" t="s">
        <v>214</v>
      </c>
      <c r="CF21" s="41"/>
      <c r="CG21" s="54">
        <v>1</v>
      </c>
      <c r="CH21" s="54" t="str">
        <f>IF(CK21=0,"",IF(V21="Persistent",5,IF(V21="Once",1,IF(V21="One-off",1,"manual overwrite"))))</f>
        <v/>
      </c>
      <c r="CI21" s="54"/>
      <c r="CJ21" s="41">
        <f t="shared" si="5"/>
        <v>0</v>
      </c>
      <c r="CK21" s="41">
        <f>IF(CA21="C",0,IF(P21="Het",0,IF(SUM(AG21,AO21)=0,0,1)))</f>
        <v>0</v>
      </c>
      <c r="CL21" s="55" t="e">
        <f>IF(G21="AUS",VLOOKUP(H21,$CU$5:$CW$23,2),IF(G21="NZ",VLOOKUP(H21,$CU$5:$CW$23,3),"error"))*AU21</f>
        <v>#N/A</v>
      </c>
      <c r="CM21" s="56" t="e">
        <f>IF(G21="AUS",VLOOKUP(H21,$CU$5:$CW$23,2),IF(G21="NZ",VLOOKUP(H21,$CU$5:$CW$23,3),"error"))*AX21</f>
        <v>#N/A</v>
      </c>
      <c r="CN21" s="55" t="e">
        <f>IF(G21="AUS",VLOOKUP(H21,$CU$5:$CW$23,2),IF(G21="NZ",VLOOKUP(H21,$CU$5:$CW$23,3),"error"))*BK21</f>
        <v>#N/A</v>
      </c>
    </row>
    <row r="22" spans="1:92" ht="290.25" hidden="1">
      <c r="A22" s="16" t="str">
        <f t="shared" si="0"/>
        <v>Tobacco</v>
      </c>
      <c r="B22" s="65" t="s">
        <v>170</v>
      </c>
      <c r="C22" s="8"/>
      <c r="D22" s="44"/>
      <c r="E22" s="8" t="s">
        <v>172</v>
      </c>
      <c r="F22" s="8" t="str">
        <f t="shared" si="1"/>
        <v xml:space="preserve">Tobacco; ; Prevention ; </v>
      </c>
      <c r="G22" s="8" t="s">
        <v>205</v>
      </c>
      <c r="H22" s="8">
        <v>2011</v>
      </c>
      <c r="I22" s="8" t="str">
        <f>CONCATENATE(A22,", ",G22,": ",J22)</f>
        <v>Tobacco, NZ: Combined tobacco endgame strategy (tobacco-free generation + tobacco tax increases + substantive outlet reduction strategy)</v>
      </c>
      <c r="J22" s="4" t="s">
        <v>206</v>
      </c>
      <c r="K22" s="4"/>
      <c r="L22" s="4"/>
      <c r="M22" s="4"/>
      <c r="N22" s="4"/>
      <c r="O22" s="4"/>
      <c r="P22" s="9" t="s">
        <v>215</v>
      </c>
      <c r="Q22" s="8" t="str">
        <f>IF($P22="Main",J22,BX22)</f>
        <v xml:space="preserve">in non-Māori men </v>
      </c>
      <c r="R22" s="8" t="str">
        <f>IF($P22="Main",CONCATENATE(J22,": ",G22),BY22)</f>
        <v xml:space="preserve">in non-Māori men </v>
      </c>
      <c r="S22" s="9"/>
      <c r="T22" s="9"/>
      <c r="U22" s="9"/>
      <c r="V22" s="75"/>
      <c r="W22" s="13"/>
      <c r="X22" s="13"/>
      <c r="Y22" s="8"/>
      <c r="Z22" s="66"/>
      <c r="AA22" s="8"/>
      <c r="AB22" s="8"/>
      <c r="AC22" s="31"/>
      <c r="AD22" s="16"/>
      <c r="AE22" s="16"/>
      <c r="AF22" s="16"/>
      <c r="AG22" s="67">
        <v>32500</v>
      </c>
      <c r="AH22" s="67"/>
      <c r="AI22" s="67"/>
      <c r="AJ22" s="68">
        <v>1833710</v>
      </c>
      <c r="AK22" s="49">
        <f t="shared" si="2"/>
        <v>17.723631326654708</v>
      </c>
      <c r="AL22" s="50"/>
      <c r="AM22" s="50"/>
      <c r="AN22" s="47"/>
      <c r="AO22" s="69"/>
      <c r="AP22" s="69"/>
      <c r="AQ22" s="69"/>
      <c r="AR22" s="70">
        <v>-991000000</v>
      </c>
      <c r="AS22" s="70"/>
      <c r="AT22" s="70"/>
      <c r="AU22" s="71">
        <f t="shared" si="6"/>
        <v>-540434.4198373789</v>
      </c>
      <c r="AV22" s="70"/>
      <c r="AW22" s="70"/>
      <c r="AX22" s="70"/>
      <c r="AY22" s="70"/>
      <c r="AZ22" s="70"/>
      <c r="BA22" s="72"/>
      <c r="BB22" s="72"/>
      <c r="BC22" s="72"/>
      <c r="BD22" s="70"/>
      <c r="BE22" s="70"/>
      <c r="BF22" s="72"/>
      <c r="BG22" s="70"/>
      <c r="BH22" s="70"/>
      <c r="BI22" s="72"/>
      <c r="BJ22" s="39" t="s">
        <v>182</v>
      </c>
      <c r="BK22" s="41" t="str">
        <f t="shared" si="3"/>
        <v>Cost-saving</v>
      </c>
      <c r="BL22" s="41">
        <f t="shared" si="3"/>
        <v>0</v>
      </c>
      <c r="BM22" s="41">
        <f t="shared" si="3"/>
        <v>0</v>
      </c>
      <c r="BN22" s="40" t="s">
        <v>183</v>
      </c>
      <c r="BO22" s="51"/>
      <c r="BP22" s="51"/>
      <c r="BQ22" s="40" t="s">
        <v>183</v>
      </c>
      <c r="BR22" s="51"/>
      <c r="BS22" s="51"/>
      <c r="BT22" s="40" t="s">
        <v>183</v>
      </c>
      <c r="BU22" s="51"/>
      <c r="BV22" s="51"/>
      <c r="BW22" s="73" t="s">
        <v>211</v>
      </c>
      <c r="BX22" s="8" t="s">
        <v>229</v>
      </c>
      <c r="BY22" s="16" t="s">
        <v>229</v>
      </c>
      <c r="BZ22" s="74">
        <v>2018</v>
      </c>
      <c r="CA22" s="41"/>
      <c r="CB22" s="41"/>
      <c r="CC22" s="53">
        <f t="shared" si="4"/>
        <v>123</v>
      </c>
      <c r="CD22" s="41" t="s">
        <v>213</v>
      </c>
      <c r="CE22" s="41" t="s">
        <v>214</v>
      </c>
      <c r="CF22" s="41"/>
      <c r="CG22" s="54">
        <v>1</v>
      </c>
      <c r="CH22" s="54" t="str">
        <f>IF(CK22=0,"",IF(V22="Persistent",5,IF(V22="Once",1,IF(V22="One-off",1,"manual overwrite"))))</f>
        <v/>
      </c>
      <c r="CI22" s="54"/>
      <c r="CJ22" s="41">
        <f t="shared" si="5"/>
        <v>0</v>
      </c>
      <c r="CK22" s="41">
        <f>IF(CA22="C",0,IF(P22="Het",0,IF(SUM(AG22,AO22)=0,0,1)))</f>
        <v>0</v>
      </c>
      <c r="CL22" s="55" t="e">
        <f>IF(G22="AUS",VLOOKUP(H22,$CU$5:$CW$23,2),IF(G22="NZ",VLOOKUP(H22,$CU$5:$CW$23,3),"error"))*AU22</f>
        <v>#N/A</v>
      </c>
      <c r="CM22" s="56" t="e">
        <f>IF(G22="AUS",VLOOKUP(H22,$CU$5:$CW$23,2),IF(G22="NZ",VLOOKUP(H22,$CU$5:$CW$23,3),"error"))*AX22</f>
        <v>#N/A</v>
      </c>
      <c r="CN22" s="55" t="e">
        <f>IF(G22="AUS",VLOOKUP(H22,$CU$5:$CW$23,2),IF(G22="NZ",VLOOKUP(H22,$CU$5:$CW$23,3),"error"))*BK22</f>
        <v>#N/A</v>
      </c>
    </row>
    <row r="23" spans="1:92" s="108" customFormat="1" ht="290.25">
      <c r="A23" s="83" t="str">
        <f t="shared" si="0"/>
        <v>Tobacco</v>
      </c>
      <c r="B23" s="84" t="s">
        <v>170</v>
      </c>
      <c r="C23" s="85"/>
      <c r="D23" s="86"/>
      <c r="E23" s="85" t="s">
        <v>172</v>
      </c>
      <c r="F23" s="85" t="str">
        <f t="shared" si="1"/>
        <v xml:space="preserve">Tobacco; ; Prevention ; </v>
      </c>
      <c r="G23" s="85" t="s">
        <v>205</v>
      </c>
      <c r="H23" s="85">
        <v>2011</v>
      </c>
      <c r="I23" s="85" t="str">
        <f>CONCATENATE(A23,", ",G23,": ",J23)</f>
        <v>Tobacco, NZ: Combined tobacco endgame strategy (tobacco-free generation + tobacco tax increases + substantive outlet reduction strategy)</v>
      </c>
      <c r="J23" s="87" t="s">
        <v>206</v>
      </c>
      <c r="K23" s="87" t="s">
        <v>230</v>
      </c>
      <c r="L23" s="87" t="s">
        <v>231</v>
      </c>
      <c r="M23" s="87" t="s">
        <v>232</v>
      </c>
      <c r="N23" s="87" t="s">
        <v>233</v>
      </c>
      <c r="O23" s="87" t="s">
        <v>233</v>
      </c>
      <c r="P23" s="85" t="s">
        <v>215</v>
      </c>
      <c r="Q23" s="85" t="str">
        <f>IF($P23="Main",J23,BX23)</f>
        <v>in non-Māori men age 0-14 yrs</v>
      </c>
      <c r="R23" s="85" t="str">
        <f>IF($P23="Main",CONCATENATE(J23,": ",G23),BY23)</f>
        <v>in non-Māori men age 0-14 yrs</v>
      </c>
      <c r="S23" s="85" t="s">
        <v>234</v>
      </c>
      <c r="T23" s="85" t="s">
        <v>235</v>
      </c>
      <c r="U23" s="85" t="s">
        <v>236</v>
      </c>
      <c r="V23" s="88"/>
      <c r="W23" s="88">
        <v>14</v>
      </c>
      <c r="X23" s="88" t="s">
        <v>199</v>
      </c>
      <c r="Y23" s="85"/>
      <c r="Z23" s="85"/>
      <c r="AA23" s="85"/>
      <c r="AB23" s="85"/>
      <c r="AC23" s="89"/>
      <c r="AD23" s="83"/>
      <c r="AE23" s="83"/>
      <c r="AF23" s="83"/>
      <c r="AG23" s="90">
        <v>13900</v>
      </c>
      <c r="AH23" s="90"/>
      <c r="AI23" s="90"/>
      <c r="AJ23" s="91">
        <v>340140</v>
      </c>
      <c r="AK23" s="92">
        <f t="shared" si="2"/>
        <v>40.865525959898868</v>
      </c>
      <c r="AL23" s="92"/>
      <c r="AM23" s="92"/>
      <c r="AN23" s="93"/>
      <c r="AO23" s="94"/>
      <c r="AP23" s="94"/>
      <c r="AQ23" s="94"/>
      <c r="AR23" s="95">
        <v>-437000000</v>
      </c>
      <c r="AS23" s="95"/>
      <c r="AT23" s="95"/>
      <c r="AU23" s="95">
        <f t="shared" si="6"/>
        <v>-1284765.0967248781</v>
      </c>
      <c r="AV23" s="95"/>
      <c r="AW23" s="95"/>
      <c r="AX23" s="95"/>
      <c r="AY23" s="95"/>
      <c r="AZ23" s="95"/>
      <c r="BA23" s="96"/>
      <c r="BB23" s="96"/>
      <c r="BC23" s="96"/>
      <c r="BD23" s="95"/>
      <c r="BE23" s="95"/>
      <c r="BF23" s="96"/>
      <c r="BG23" s="95"/>
      <c r="BH23" s="95"/>
      <c r="BI23" s="96"/>
      <c r="BJ23" s="97" t="s">
        <v>182</v>
      </c>
      <c r="BK23" s="98" t="str">
        <f t="shared" si="3"/>
        <v>Cost-saving</v>
      </c>
      <c r="BL23" s="98">
        <f t="shared" si="3"/>
        <v>0</v>
      </c>
      <c r="BM23" s="98">
        <f t="shared" si="3"/>
        <v>0</v>
      </c>
      <c r="BN23" s="99" t="s">
        <v>183</v>
      </c>
      <c r="BO23" s="100"/>
      <c r="BP23" s="100"/>
      <c r="BQ23" s="99" t="s">
        <v>183</v>
      </c>
      <c r="BR23" s="100"/>
      <c r="BS23" s="100"/>
      <c r="BT23" s="99" t="s">
        <v>183</v>
      </c>
      <c r="BU23" s="100"/>
      <c r="BV23" s="100"/>
      <c r="BW23" s="101" t="s">
        <v>211</v>
      </c>
      <c r="BX23" s="85" t="s">
        <v>237</v>
      </c>
      <c r="BY23" s="83" t="s">
        <v>237</v>
      </c>
      <c r="BZ23" s="102">
        <v>2018</v>
      </c>
      <c r="CA23" s="98"/>
      <c r="CB23" s="98"/>
      <c r="CC23" s="103">
        <f t="shared" si="4"/>
        <v>123</v>
      </c>
      <c r="CD23" s="98" t="s">
        <v>213</v>
      </c>
      <c r="CE23" s="104" t="s">
        <v>238</v>
      </c>
      <c r="CF23" s="98"/>
      <c r="CG23" s="105">
        <v>1</v>
      </c>
      <c r="CH23" s="105" t="str">
        <f>IF(CK23=0,"",IF(V23="Persistent",5,IF(V23="Once",1,IF(V23="One-off",1,"manual overwrite"))))</f>
        <v/>
      </c>
      <c r="CI23" s="105"/>
      <c r="CJ23" s="98">
        <f t="shared" si="5"/>
        <v>0</v>
      </c>
      <c r="CK23" s="98">
        <f>IF(CA23="C",0,IF(P23="Het",0,IF(SUM(AG23,AO23)=0,0,1)))</f>
        <v>0</v>
      </c>
      <c r="CL23" s="106" t="e">
        <f>IF(G23="AUS",VLOOKUP(H23,$CU$5:$CW$23,2),IF(G23="NZ",VLOOKUP(H23,$CU$5:$CW$23,3),"error"))*AU23</f>
        <v>#N/A</v>
      </c>
      <c r="CM23" s="107" t="e">
        <f>IF(G23="AUS",VLOOKUP(H23,$CU$5:$CW$23,2),IF(G23="NZ",VLOOKUP(H23,$CU$5:$CW$23,3),"error"))*AX23</f>
        <v>#N/A</v>
      </c>
      <c r="CN23" s="106" t="e">
        <f>IF(G23="AUS",VLOOKUP(H23,$CU$5:$CW$23,2),IF(G23="NZ",VLOOKUP(H23,$CU$5:$CW$23,3),"error"))*BK23</f>
        <v>#N/A</v>
      </c>
    </row>
    <row r="24" spans="1:92" s="108" customFormat="1" ht="290.25">
      <c r="A24" s="83" t="str">
        <f t="shared" si="0"/>
        <v>Tobacco</v>
      </c>
      <c r="B24" s="84" t="s">
        <v>170</v>
      </c>
      <c r="C24" s="85"/>
      <c r="D24" s="86"/>
      <c r="E24" s="85" t="s">
        <v>172</v>
      </c>
      <c r="F24" s="85" t="str">
        <f t="shared" si="1"/>
        <v xml:space="preserve">Tobacco; ; Prevention ; </v>
      </c>
      <c r="G24" s="85" t="s">
        <v>205</v>
      </c>
      <c r="H24" s="85">
        <v>2011</v>
      </c>
      <c r="I24" s="85" t="str">
        <f>CONCATENATE(A24,", ",G24,": ",J24)</f>
        <v>Tobacco, NZ: Combined tobacco endgame strategy (tobacco-free generation + tobacco tax increases + substantive outlet reduction strategy)</v>
      </c>
      <c r="J24" s="87" t="s">
        <v>206</v>
      </c>
      <c r="K24" s="87" t="s">
        <v>230</v>
      </c>
      <c r="L24" s="87" t="s">
        <v>231</v>
      </c>
      <c r="M24" s="87" t="s">
        <v>232</v>
      </c>
      <c r="N24" s="87" t="s">
        <v>233</v>
      </c>
      <c r="O24" s="87" t="s">
        <v>233</v>
      </c>
      <c r="P24" s="85" t="s">
        <v>215</v>
      </c>
      <c r="Q24" s="85" t="str">
        <f>IF($P24="Main",J24,BX24)</f>
        <v>in non-Māori men age 15-24 yrs</v>
      </c>
      <c r="R24" s="85" t="str">
        <f>IF($P24="Main",CONCATENATE(J24,": ",G24),BY24)</f>
        <v>in non-Māori men age 15-24 yrs</v>
      </c>
      <c r="S24" s="85" t="s">
        <v>239</v>
      </c>
      <c r="T24" s="85" t="s">
        <v>235</v>
      </c>
      <c r="U24" s="85" t="s">
        <v>236</v>
      </c>
      <c r="V24" s="88"/>
      <c r="W24" s="88">
        <v>14</v>
      </c>
      <c r="X24" s="88" t="s">
        <v>199</v>
      </c>
      <c r="Y24" s="85"/>
      <c r="Z24" s="85"/>
      <c r="AA24" s="85"/>
      <c r="AB24" s="85"/>
      <c r="AC24" s="89"/>
      <c r="AD24" s="83"/>
      <c r="AE24" s="83"/>
      <c r="AF24" s="83"/>
      <c r="AG24" s="90">
        <v>11100</v>
      </c>
      <c r="AH24" s="90"/>
      <c r="AI24" s="90"/>
      <c r="AJ24" s="91">
        <v>266130</v>
      </c>
      <c r="AK24" s="92">
        <f t="shared" si="2"/>
        <v>41.70893924022095</v>
      </c>
      <c r="AL24" s="92"/>
      <c r="AM24" s="92"/>
      <c r="AN24" s="93"/>
      <c r="AO24" s="94"/>
      <c r="AP24" s="94"/>
      <c r="AQ24" s="94"/>
      <c r="AR24" s="95">
        <v>-338000000</v>
      </c>
      <c r="AS24" s="95"/>
      <c r="AT24" s="95"/>
      <c r="AU24" s="95">
        <f t="shared" si="6"/>
        <v>-1270055.9876751963</v>
      </c>
      <c r="AV24" s="95"/>
      <c r="AW24" s="95"/>
      <c r="AX24" s="95"/>
      <c r="AY24" s="95"/>
      <c r="AZ24" s="95"/>
      <c r="BA24" s="96"/>
      <c r="BB24" s="96"/>
      <c r="BC24" s="96"/>
      <c r="BD24" s="95"/>
      <c r="BE24" s="95"/>
      <c r="BF24" s="96"/>
      <c r="BG24" s="95"/>
      <c r="BH24" s="95"/>
      <c r="BI24" s="96"/>
      <c r="BJ24" s="97" t="s">
        <v>182</v>
      </c>
      <c r="BK24" s="98" t="str">
        <f t="shared" si="3"/>
        <v>Cost-saving</v>
      </c>
      <c r="BL24" s="98">
        <f t="shared" si="3"/>
        <v>0</v>
      </c>
      <c r="BM24" s="98">
        <f t="shared" si="3"/>
        <v>0</v>
      </c>
      <c r="BN24" s="99" t="s">
        <v>183</v>
      </c>
      <c r="BO24" s="100"/>
      <c r="BP24" s="100"/>
      <c r="BQ24" s="99" t="s">
        <v>183</v>
      </c>
      <c r="BR24" s="100"/>
      <c r="BS24" s="100"/>
      <c r="BT24" s="99" t="s">
        <v>183</v>
      </c>
      <c r="BU24" s="100"/>
      <c r="BV24" s="100"/>
      <c r="BW24" s="109" t="s">
        <v>211</v>
      </c>
      <c r="BX24" s="85" t="s">
        <v>240</v>
      </c>
      <c r="BY24" s="83" t="s">
        <v>240</v>
      </c>
      <c r="BZ24" s="102">
        <v>2018</v>
      </c>
      <c r="CA24" s="98"/>
      <c r="CB24" s="98"/>
      <c r="CC24" s="103">
        <f t="shared" si="4"/>
        <v>123</v>
      </c>
      <c r="CD24" s="98" t="s">
        <v>213</v>
      </c>
      <c r="CE24" s="98" t="s">
        <v>214</v>
      </c>
      <c r="CF24" s="98"/>
      <c r="CG24" s="105">
        <v>1</v>
      </c>
      <c r="CH24" s="105" t="str">
        <f>IF(CK24=0,"",IF(V24="Persistent",5,IF(V24="Once",1,IF(V24="One-off",1,"manual overwrite"))))</f>
        <v/>
      </c>
      <c r="CI24" s="105"/>
      <c r="CJ24" s="98">
        <f t="shared" si="5"/>
        <v>0</v>
      </c>
      <c r="CK24" s="98">
        <f>IF(CA24="C",0,IF(P24="Het",0,IF(SUM(AG24,AO24)=0,0,1)))</f>
        <v>0</v>
      </c>
      <c r="CL24" s="106" t="e">
        <f>IF(G24="AUS",VLOOKUP(H24,$CU$5:$CW$23,2),IF(G24="NZ",VLOOKUP(H24,$CU$5:$CW$23,3),"error"))*AU24</f>
        <v>#N/A</v>
      </c>
      <c r="CM24" s="107" t="e">
        <f>IF(G24="AUS",VLOOKUP(H24,$CU$5:$CW$23,2),IF(G24="NZ",VLOOKUP(H24,$CU$5:$CW$23,3),"error"))*AX24</f>
        <v>#N/A</v>
      </c>
      <c r="CN24" s="106" t="e">
        <f>IF(G24="AUS",VLOOKUP(H24,$CU$5:$CW$23,2),IF(G24="NZ",VLOOKUP(H24,$CU$5:$CW$23,3),"error"))*BK24</f>
        <v>#N/A</v>
      </c>
    </row>
    <row r="25" spans="1:92" s="108" customFormat="1" ht="290.25">
      <c r="A25" s="83" t="str">
        <f t="shared" si="0"/>
        <v>Tobacco</v>
      </c>
      <c r="B25" s="84" t="s">
        <v>170</v>
      </c>
      <c r="C25" s="85"/>
      <c r="D25" s="86"/>
      <c r="E25" s="85" t="s">
        <v>172</v>
      </c>
      <c r="F25" s="85" t="str">
        <f t="shared" si="1"/>
        <v xml:space="preserve">Tobacco; ; Prevention ; </v>
      </c>
      <c r="G25" s="85" t="s">
        <v>205</v>
      </c>
      <c r="H25" s="85">
        <v>2011</v>
      </c>
      <c r="I25" s="85" t="str">
        <f>CONCATENATE(A25,", ",G25,": ",J25)</f>
        <v>Tobacco, NZ: Combined tobacco endgame strategy (tobacco-free generation + tobacco tax increases + substantive outlet reduction strategy)</v>
      </c>
      <c r="J25" s="87" t="s">
        <v>206</v>
      </c>
      <c r="K25" s="87" t="s">
        <v>230</v>
      </c>
      <c r="L25" s="87" t="s">
        <v>231</v>
      </c>
      <c r="M25" s="87" t="s">
        <v>232</v>
      </c>
      <c r="N25" s="87" t="s">
        <v>233</v>
      </c>
      <c r="O25" s="87" t="s">
        <v>233</v>
      </c>
      <c r="P25" s="85" t="s">
        <v>215</v>
      </c>
      <c r="Q25" s="85" t="str">
        <f>IF($P25="Main",J25,BX25)</f>
        <v>in non-Māori men age 25-44 yrs</v>
      </c>
      <c r="R25" s="85" t="str">
        <f>IF($P25="Main",CONCATENATE(J25,": ",G25),BY25)</f>
        <v>in non-Māori men age 25-44 yrs</v>
      </c>
      <c r="S25" s="85" t="s">
        <v>241</v>
      </c>
      <c r="T25" s="85" t="s">
        <v>235</v>
      </c>
      <c r="U25" s="85" t="s">
        <v>236</v>
      </c>
      <c r="V25" s="88"/>
      <c r="W25" s="88">
        <v>14</v>
      </c>
      <c r="X25" s="88" t="s">
        <v>199</v>
      </c>
      <c r="Y25" s="85"/>
      <c r="Z25" s="85"/>
      <c r="AA25" s="85"/>
      <c r="AB25" s="85"/>
      <c r="AC25" s="89"/>
      <c r="AD25" s="83"/>
      <c r="AE25" s="83"/>
      <c r="AF25" s="83"/>
      <c r="AG25" s="90">
        <v>6460</v>
      </c>
      <c r="AH25" s="90"/>
      <c r="AI25" s="90"/>
      <c r="AJ25" s="91">
        <v>486350</v>
      </c>
      <c r="AK25" s="92">
        <f t="shared" si="2"/>
        <v>13.282615400431787</v>
      </c>
      <c r="AL25" s="92"/>
      <c r="AM25" s="92"/>
      <c r="AN25" s="93"/>
      <c r="AO25" s="94"/>
      <c r="AP25" s="94"/>
      <c r="AQ25" s="94"/>
      <c r="AR25" s="95">
        <v>-155000000</v>
      </c>
      <c r="AS25" s="95"/>
      <c r="AT25" s="95"/>
      <c r="AU25" s="95">
        <f t="shared" si="6"/>
        <v>-318700.52431376581</v>
      </c>
      <c r="AV25" s="95"/>
      <c r="AW25" s="95"/>
      <c r="AX25" s="95"/>
      <c r="AY25" s="95"/>
      <c r="AZ25" s="95"/>
      <c r="BA25" s="96"/>
      <c r="BB25" s="96"/>
      <c r="BC25" s="96"/>
      <c r="BD25" s="95"/>
      <c r="BE25" s="95"/>
      <c r="BF25" s="96"/>
      <c r="BG25" s="95"/>
      <c r="BH25" s="95"/>
      <c r="BI25" s="96"/>
      <c r="BJ25" s="97" t="s">
        <v>182</v>
      </c>
      <c r="BK25" s="98" t="str">
        <f t="shared" si="3"/>
        <v>Cost-saving</v>
      </c>
      <c r="BL25" s="98">
        <f t="shared" si="3"/>
        <v>0</v>
      </c>
      <c r="BM25" s="98">
        <f t="shared" si="3"/>
        <v>0</v>
      </c>
      <c r="BN25" s="99" t="s">
        <v>183</v>
      </c>
      <c r="BO25" s="100"/>
      <c r="BP25" s="100"/>
      <c r="BQ25" s="99" t="s">
        <v>183</v>
      </c>
      <c r="BR25" s="100"/>
      <c r="BS25" s="100"/>
      <c r="BT25" s="99" t="s">
        <v>183</v>
      </c>
      <c r="BU25" s="100"/>
      <c r="BV25" s="100"/>
      <c r="BW25" s="109" t="s">
        <v>211</v>
      </c>
      <c r="BX25" s="85" t="s">
        <v>242</v>
      </c>
      <c r="BY25" s="83" t="s">
        <v>242</v>
      </c>
      <c r="BZ25" s="102">
        <v>2018</v>
      </c>
      <c r="CA25" s="98"/>
      <c r="CB25" s="98"/>
      <c r="CC25" s="103">
        <f t="shared" si="4"/>
        <v>123</v>
      </c>
      <c r="CD25" s="98" t="s">
        <v>213</v>
      </c>
      <c r="CE25" s="98" t="s">
        <v>214</v>
      </c>
      <c r="CF25" s="98"/>
      <c r="CG25" s="105">
        <v>1</v>
      </c>
      <c r="CH25" s="105" t="str">
        <f>IF(CK25=0,"",IF(V25="Persistent",5,IF(V25="Once",1,IF(V25="One-off",1,"manual overwrite"))))</f>
        <v/>
      </c>
      <c r="CI25" s="105"/>
      <c r="CJ25" s="98">
        <f t="shared" si="5"/>
        <v>0</v>
      </c>
      <c r="CK25" s="98">
        <f>IF(CA25="C",0,IF(P25="Het",0,IF(SUM(AG25,AO25)=0,0,1)))</f>
        <v>0</v>
      </c>
      <c r="CL25" s="106" t="e">
        <f>IF(G25="AUS",VLOOKUP(H25,$CU$5:$CW$23,2),IF(G25="NZ",VLOOKUP(H25,$CU$5:$CW$23,3),"error"))*AU25</f>
        <v>#N/A</v>
      </c>
      <c r="CM25" s="107" t="e">
        <f>IF(G25="AUS",VLOOKUP(H25,$CU$5:$CW$23,2),IF(G25="NZ",VLOOKUP(H25,$CU$5:$CW$23,3),"error"))*AX25</f>
        <v>#N/A</v>
      </c>
      <c r="CN25" s="106" t="e">
        <f>IF(G25="AUS",VLOOKUP(H25,$CU$5:$CW$23,2),IF(G25="NZ",VLOOKUP(H25,$CU$5:$CW$23,3),"error"))*BK25</f>
        <v>#N/A</v>
      </c>
    </row>
    <row r="26" spans="1:92" s="108" customFormat="1" ht="290.25">
      <c r="A26" s="83" t="str">
        <f t="shared" si="0"/>
        <v>Tobacco</v>
      </c>
      <c r="B26" s="84" t="s">
        <v>170</v>
      </c>
      <c r="C26" s="85"/>
      <c r="D26" s="86"/>
      <c r="E26" s="85" t="s">
        <v>172</v>
      </c>
      <c r="F26" s="85" t="str">
        <f t="shared" si="1"/>
        <v xml:space="preserve">Tobacco; ; Prevention ; </v>
      </c>
      <c r="G26" s="85" t="s">
        <v>205</v>
      </c>
      <c r="H26" s="85">
        <v>2011</v>
      </c>
      <c r="I26" s="85" t="str">
        <f>CONCATENATE(A26,", ",G26,": ",J26)</f>
        <v>Tobacco, NZ: Combined tobacco endgame strategy (tobacco-free generation + tobacco tax increases + substantive outlet reduction strategy)</v>
      </c>
      <c r="J26" s="87" t="s">
        <v>206</v>
      </c>
      <c r="K26" s="87" t="s">
        <v>230</v>
      </c>
      <c r="L26" s="87" t="s">
        <v>231</v>
      </c>
      <c r="M26" s="87" t="s">
        <v>243</v>
      </c>
      <c r="N26" s="87" t="s">
        <v>233</v>
      </c>
      <c r="O26" s="87" t="s">
        <v>233</v>
      </c>
      <c r="P26" s="85" t="s">
        <v>215</v>
      </c>
      <c r="Q26" s="85" t="str">
        <f>IF($P26="Main",J26,BX26)</f>
        <v>in non-Māori men age 45-64 yrs</v>
      </c>
      <c r="R26" s="85" t="str">
        <f>IF($P26="Main",CONCATENATE(J26,": ",G26),BY26)</f>
        <v>in non-Māori men age 45-64 yrs</v>
      </c>
      <c r="S26" s="85" t="s">
        <v>244</v>
      </c>
      <c r="T26" s="85" t="s">
        <v>235</v>
      </c>
      <c r="U26" s="85" t="s">
        <v>236</v>
      </c>
      <c r="V26" s="88"/>
      <c r="W26" s="88">
        <v>14</v>
      </c>
      <c r="X26" s="88" t="s">
        <v>199</v>
      </c>
      <c r="Y26" s="85"/>
      <c r="Z26" s="85"/>
      <c r="AA26" s="85"/>
      <c r="AB26" s="85"/>
      <c r="AC26" s="89"/>
      <c r="AD26" s="83"/>
      <c r="AE26" s="83"/>
      <c r="AF26" s="83"/>
      <c r="AG26" s="90">
        <v>3520</v>
      </c>
      <c r="AH26" s="90"/>
      <c r="AI26" s="90"/>
      <c r="AJ26" s="91">
        <v>487380</v>
      </c>
      <c r="AK26" s="92">
        <f t="shared" si="2"/>
        <v>7.2222906151257744</v>
      </c>
      <c r="AL26" s="92"/>
      <c r="AM26" s="92"/>
      <c r="AN26" s="93"/>
      <c r="AO26" s="94"/>
      <c r="AP26" s="94"/>
      <c r="AQ26" s="94"/>
      <c r="AR26" s="95">
        <v>-58000000</v>
      </c>
      <c r="AS26" s="95"/>
      <c r="AT26" s="95"/>
      <c r="AU26" s="95">
        <f t="shared" si="6"/>
        <v>-119003.65218104969</v>
      </c>
      <c r="AV26" s="95"/>
      <c r="AW26" s="95"/>
      <c r="AX26" s="95"/>
      <c r="AY26" s="95"/>
      <c r="AZ26" s="95"/>
      <c r="BA26" s="96"/>
      <c r="BB26" s="96"/>
      <c r="BC26" s="96"/>
      <c r="BD26" s="95"/>
      <c r="BE26" s="95"/>
      <c r="BF26" s="96"/>
      <c r="BG26" s="95"/>
      <c r="BH26" s="95"/>
      <c r="BI26" s="96"/>
      <c r="BJ26" s="97" t="s">
        <v>182</v>
      </c>
      <c r="BK26" s="98" t="str">
        <f t="shared" si="3"/>
        <v>Cost-saving</v>
      </c>
      <c r="BL26" s="98">
        <f t="shared" si="3"/>
        <v>0</v>
      </c>
      <c r="BM26" s="98">
        <f t="shared" si="3"/>
        <v>0</v>
      </c>
      <c r="BN26" s="99" t="s">
        <v>183</v>
      </c>
      <c r="BO26" s="100"/>
      <c r="BP26" s="100"/>
      <c r="BQ26" s="99" t="s">
        <v>183</v>
      </c>
      <c r="BR26" s="100"/>
      <c r="BS26" s="100"/>
      <c r="BT26" s="99" t="s">
        <v>183</v>
      </c>
      <c r="BU26" s="100"/>
      <c r="BV26" s="100"/>
      <c r="BW26" s="109" t="s">
        <v>211</v>
      </c>
      <c r="BX26" s="85" t="s">
        <v>245</v>
      </c>
      <c r="BY26" s="83" t="s">
        <v>245</v>
      </c>
      <c r="BZ26" s="102">
        <v>2018</v>
      </c>
      <c r="CA26" s="98"/>
      <c r="CB26" s="98"/>
      <c r="CC26" s="103">
        <f t="shared" si="4"/>
        <v>123</v>
      </c>
      <c r="CD26" s="98" t="s">
        <v>213</v>
      </c>
      <c r="CE26" s="98" t="s">
        <v>214</v>
      </c>
      <c r="CF26" s="98"/>
      <c r="CG26" s="105">
        <v>1</v>
      </c>
      <c r="CH26" s="105" t="str">
        <f>IF(CK26=0,"",IF(V26="Persistent",5,IF(V26="Once",1,IF(V26="One-off",1,"manual overwrite"))))</f>
        <v/>
      </c>
      <c r="CI26" s="105"/>
      <c r="CJ26" s="98">
        <f t="shared" si="5"/>
        <v>0</v>
      </c>
      <c r="CK26" s="98">
        <f>IF(CA26="C",0,IF(P26="Het",0,IF(SUM(AG26,AO26)=0,0,1)))</f>
        <v>0</v>
      </c>
      <c r="CL26" s="106" t="e">
        <f>IF(G26="AUS",VLOOKUP(H26,$CU$5:$CW$23,2),IF(G26="NZ",VLOOKUP(H26,$CU$5:$CW$23,3),"error"))*AU26</f>
        <v>#N/A</v>
      </c>
      <c r="CM26" s="107" t="e">
        <f>IF(G26="AUS",VLOOKUP(H26,$CU$5:$CW$23,2),IF(G26="NZ",VLOOKUP(H26,$CU$5:$CW$23,3),"error"))*AX26</f>
        <v>#N/A</v>
      </c>
      <c r="CN26" s="106" t="e">
        <f>IF(G26="AUS",VLOOKUP(H26,$CU$5:$CW$23,2),IF(G26="NZ",VLOOKUP(H26,$CU$5:$CW$23,3),"error"))*BK26</f>
        <v>#N/A</v>
      </c>
    </row>
    <row r="27" spans="1:92" s="108" customFormat="1" ht="290.25">
      <c r="A27" s="83" t="str">
        <f t="shared" si="0"/>
        <v>Tobacco</v>
      </c>
      <c r="B27" s="84" t="s">
        <v>170</v>
      </c>
      <c r="C27" s="85"/>
      <c r="D27" s="86"/>
      <c r="E27" s="85" t="s">
        <v>172</v>
      </c>
      <c r="F27" s="85" t="str">
        <f t="shared" si="1"/>
        <v xml:space="preserve">Tobacco; ; Prevention ; </v>
      </c>
      <c r="G27" s="85" t="s">
        <v>205</v>
      </c>
      <c r="H27" s="85">
        <v>2011</v>
      </c>
      <c r="I27" s="85" t="str">
        <f>CONCATENATE(A27,", ",G27,": ",J27)</f>
        <v>Tobacco, NZ: Combined tobacco endgame strategy (tobacco-free generation + tobacco tax increases + substantive outlet reduction strategy)</v>
      </c>
      <c r="J27" s="87" t="s">
        <v>206</v>
      </c>
      <c r="K27" s="87" t="s">
        <v>230</v>
      </c>
      <c r="L27" s="87" t="s">
        <v>231</v>
      </c>
      <c r="M27" s="87" t="s">
        <v>246</v>
      </c>
      <c r="N27" s="87" t="s">
        <v>233</v>
      </c>
      <c r="O27" s="87" t="s">
        <v>233</v>
      </c>
      <c r="P27" s="85" t="s">
        <v>215</v>
      </c>
      <c r="Q27" s="85" t="str">
        <f>IF($P27="Main",J27,BX27)</f>
        <v xml:space="preserve">in non-Māori men age 65+ yrs </v>
      </c>
      <c r="R27" s="85" t="str">
        <f>IF($P27="Main",CONCATENATE(J27,": ",G27),BY27)</f>
        <v xml:space="preserve">in non-Māori men age 65+ yrs </v>
      </c>
      <c r="S27" s="85" t="s">
        <v>247</v>
      </c>
      <c r="T27" s="85" t="s">
        <v>235</v>
      </c>
      <c r="U27" s="85" t="s">
        <v>236</v>
      </c>
      <c r="V27" s="88"/>
      <c r="W27" s="88">
        <v>14</v>
      </c>
      <c r="X27" s="88" t="s">
        <v>199</v>
      </c>
      <c r="Y27" s="85"/>
      <c r="Z27" s="85"/>
      <c r="AA27" s="85"/>
      <c r="AB27" s="85"/>
      <c r="AC27" s="89"/>
      <c r="AD27" s="83"/>
      <c r="AE27" s="83"/>
      <c r="AF27" s="83"/>
      <c r="AG27" s="90">
        <v>282</v>
      </c>
      <c r="AH27" s="90"/>
      <c r="AI27" s="90"/>
      <c r="AJ27" s="91">
        <v>253710</v>
      </c>
      <c r="AK27" s="92">
        <f t="shared" si="2"/>
        <v>1.111505261913208</v>
      </c>
      <c r="AL27" s="92"/>
      <c r="AM27" s="92"/>
      <c r="AN27" s="93"/>
      <c r="AO27" s="94"/>
      <c r="AP27" s="94"/>
      <c r="AQ27" s="94"/>
      <c r="AR27" s="95">
        <v>-2450000</v>
      </c>
      <c r="AS27" s="95"/>
      <c r="AT27" s="95"/>
      <c r="AU27" s="95">
        <f t="shared" si="6"/>
        <v>-9656.6946513736148</v>
      </c>
      <c r="AV27" s="95"/>
      <c r="AW27" s="95"/>
      <c r="AX27" s="95"/>
      <c r="AY27" s="95"/>
      <c r="AZ27" s="95"/>
      <c r="BA27" s="96"/>
      <c r="BB27" s="96"/>
      <c r="BC27" s="96"/>
      <c r="BD27" s="95"/>
      <c r="BE27" s="95"/>
      <c r="BF27" s="96"/>
      <c r="BG27" s="95"/>
      <c r="BH27" s="95"/>
      <c r="BI27" s="96"/>
      <c r="BJ27" s="97" t="s">
        <v>182</v>
      </c>
      <c r="BK27" s="98" t="str">
        <f t="shared" si="3"/>
        <v>Cost-saving</v>
      </c>
      <c r="BL27" s="98">
        <f t="shared" si="3"/>
        <v>0</v>
      </c>
      <c r="BM27" s="98">
        <f t="shared" si="3"/>
        <v>0</v>
      </c>
      <c r="BN27" s="99" t="s">
        <v>183</v>
      </c>
      <c r="BO27" s="100"/>
      <c r="BP27" s="100"/>
      <c r="BQ27" s="99" t="s">
        <v>183</v>
      </c>
      <c r="BR27" s="100"/>
      <c r="BS27" s="100"/>
      <c r="BT27" s="99" t="s">
        <v>183</v>
      </c>
      <c r="BU27" s="100"/>
      <c r="BV27" s="100"/>
      <c r="BW27" s="109" t="s">
        <v>211</v>
      </c>
      <c r="BX27" s="85" t="s">
        <v>248</v>
      </c>
      <c r="BY27" s="83" t="s">
        <v>248</v>
      </c>
      <c r="BZ27" s="102">
        <v>2018</v>
      </c>
      <c r="CA27" s="98"/>
      <c r="CB27" s="98"/>
      <c r="CC27" s="103">
        <f t="shared" si="4"/>
        <v>123</v>
      </c>
      <c r="CD27" s="98" t="s">
        <v>213</v>
      </c>
      <c r="CE27" s="98" t="s">
        <v>214</v>
      </c>
      <c r="CF27" s="98"/>
      <c r="CG27" s="105">
        <v>1</v>
      </c>
      <c r="CH27" s="105" t="str">
        <f>IF(CK27=0,"",IF(V27="Persistent",5,IF(V27="Once",1,IF(V27="One-off",1,"manual overwrite"))))</f>
        <v/>
      </c>
      <c r="CI27" s="105"/>
      <c r="CJ27" s="98">
        <f t="shared" si="5"/>
        <v>0</v>
      </c>
      <c r="CK27" s="98">
        <f>IF(CA27="C",0,IF(P27="Het",0,IF(SUM(AG27,AO27)=0,0,1)))</f>
        <v>0</v>
      </c>
      <c r="CL27" s="106" t="e">
        <f>IF(G27="AUS",VLOOKUP(H27,$CU$5:$CW$23,2),IF(G27="NZ",VLOOKUP(H27,$CU$5:$CW$23,3),"error"))*AU27</f>
        <v>#N/A</v>
      </c>
      <c r="CM27" s="107" t="e">
        <f>IF(G27="AUS",VLOOKUP(H27,$CU$5:$CW$23,2),IF(G27="NZ",VLOOKUP(H27,$CU$5:$CW$23,3),"error"))*AX27</f>
        <v>#N/A</v>
      </c>
      <c r="CN27" s="106" t="e">
        <f>IF(G27="AUS",VLOOKUP(H27,$CU$5:$CW$23,2),IF(G27="NZ",VLOOKUP(H27,$CU$5:$CW$23,3),"error"))*BK27</f>
        <v>#N/A</v>
      </c>
    </row>
    <row r="28" spans="1:92" s="108" customFormat="1" ht="290.25" hidden="1">
      <c r="A28" s="83" t="str">
        <f t="shared" si="0"/>
        <v>Tobacco</v>
      </c>
      <c r="B28" s="84" t="s">
        <v>170</v>
      </c>
      <c r="C28" s="85"/>
      <c r="D28" s="86"/>
      <c r="E28" s="85" t="s">
        <v>172</v>
      </c>
      <c r="F28" s="85" t="str">
        <f t="shared" si="1"/>
        <v xml:space="preserve">Tobacco; ; Prevention ; </v>
      </c>
      <c r="G28" s="85" t="s">
        <v>205</v>
      </c>
      <c r="H28" s="85">
        <v>2011</v>
      </c>
      <c r="I28" s="85" t="str">
        <f>CONCATENATE(A28,", ",G28,": ",J28)</f>
        <v>Tobacco, NZ: Combined tobacco endgame strategy (tobacco-free generation + tobacco tax increases + substantive outlet reduction strategy)</v>
      </c>
      <c r="J28" s="87" t="s">
        <v>206</v>
      </c>
      <c r="K28" s="87"/>
      <c r="L28" s="87"/>
      <c r="M28" s="87"/>
      <c r="N28" s="87"/>
      <c r="O28" s="87"/>
      <c r="P28" s="85" t="s">
        <v>215</v>
      </c>
      <c r="Q28" s="85" t="str">
        <f>IF($P28="Main",J28,BX28)</f>
        <v>in non-Māori women</v>
      </c>
      <c r="R28" s="85" t="str">
        <f>IF($P28="Main",CONCATENATE(J28,": ",G28),BY28)</f>
        <v>in non-Māori women</v>
      </c>
      <c r="S28" s="85"/>
      <c r="T28" s="85"/>
      <c r="U28" s="85"/>
      <c r="V28" s="88"/>
      <c r="W28" s="88"/>
      <c r="X28" s="88"/>
      <c r="Y28" s="85"/>
      <c r="Z28" s="85"/>
      <c r="AA28" s="85"/>
      <c r="AB28" s="85"/>
      <c r="AC28" s="89"/>
      <c r="AD28" s="83"/>
      <c r="AE28" s="83"/>
      <c r="AF28" s="83"/>
      <c r="AG28" s="90">
        <v>29000</v>
      </c>
      <c r="AH28" s="90"/>
      <c r="AI28" s="90"/>
      <c r="AJ28" s="91">
        <v>1897360</v>
      </c>
      <c r="AK28" s="92">
        <f t="shared" si="2"/>
        <v>15.284395159590167</v>
      </c>
      <c r="AL28" s="92"/>
      <c r="AM28" s="92"/>
      <c r="AN28" s="93"/>
      <c r="AO28" s="94"/>
      <c r="AP28" s="94"/>
      <c r="AQ28" s="94"/>
      <c r="AR28" s="95">
        <v>-692000000</v>
      </c>
      <c r="AS28" s="95"/>
      <c r="AT28" s="95"/>
      <c r="AU28" s="95">
        <f t="shared" si="6"/>
        <v>-364717.2913943585</v>
      </c>
      <c r="AV28" s="95"/>
      <c r="AW28" s="95"/>
      <c r="AX28" s="95"/>
      <c r="AY28" s="95"/>
      <c r="AZ28" s="95"/>
      <c r="BA28" s="96"/>
      <c r="BB28" s="96"/>
      <c r="BC28" s="96"/>
      <c r="BD28" s="95"/>
      <c r="BE28" s="95"/>
      <c r="BF28" s="96"/>
      <c r="BG28" s="95"/>
      <c r="BH28" s="95"/>
      <c r="BI28" s="96"/>
      <c r="BJ28" s="97" t="s">
        <v>182</v>
      </c>
      <c r="BK28" s="98" t="str">
        <f t="shared" si="3"/>
        <v>Cost-saving</v>
      </c>
      <c r="BL28" s="98">
        <f t="shared" si="3"/>
        <v>0</v>
      </c>
      <c r="BM28" s="98">
        <f t="shared" si="3"/>
        <v>0</v>
      </c>
      <c r="BN28" s="99" t="s">
        <v>183</v>
      </c>
      <c r="BO28" s="100"/>
      <c r="BP28" s="100"/>
      <c r="BQ28" s="99" t="s">
        <v>183</v>
      </c>
      <c r="BR28" s="100"/>
      <c r="BS28" s="100"/>
      <c r="BT28" s="99" t="s">
        <v>183</v>
      </c>
      <c r="BU28" s="100"/>
      <c r="BV28" s="100"/>
      <c r="BW28" s="109" t="s">
        <v>211</v>
      </c>
      <c r="BX28" s="85" t="s">
        <v>249</v>
      </c>
      <c r="BY28" s="83" t="s">
        <v>249</v>
      </c>
      <c r="BZ28" s="102">
        <v>2018</v>
      </c>
      <c r="CA28" s="98"/>
      <c r="CB28" s="98"/>
      <c r="CC28" s="103">
        <f t="shared" si="4"/>
        <v>123</v>
      </c>
      <c r="CD28" s="98" t="s">
        <v>213</v>
      </c>
      <c r="CE28" s="98" t="s">
        <v>214</v>
      </c>
      <c r="CF28" s="98"/>
      <c r="CG28" s="105">
        <v>1</v>
      </c>
      <c r="CH28" s="105" t="str">
        <f>IF(CK28=0,"",IF(V28="Persistent",5,IF(V28="Once",1,IF(V28="One-off",1,"manual overwrite"))))</f>
        <v/>
      </c>
      <c r="CI28" s="105"/>
      <c r="CJ28" s="98">
        <f t="shared" si="5"/>
        <v>0</v>
      </c>
      <c r="CK28" s="98">
        <f>IF(CA28="C",0,IF(P28="Het",0,IF(SUM(AG28,AO28)=0,0,1)))</f>
        <v>0</v>
      </c>
      <c r="CL28" s="106" t="e">
        <f>IF(G28="AUS",VLOOKUP(H28,$CU$5:$CW$23,2),IF(G28="NZ",VLOOKUP(H28,$CU$5:$CW$23,3),"error"))*AU28</f>
        <v>#N/A</v>
      </c>
      <c r="CM28" s="107" t="e">
        <f>IF(G28="AUS",VLOOKUP(H28,$CU$5:$CW$23,2),IF(G28="NZ",VLOOKUP(H28,$CU$5:$CW$23,3),"error"))*AX28</f>
        <v>#N/A</v>
      </c>
      <c r="CN28" s="106" t="e">
        <f>IF(G28="AUS",VLOOKUP(H28,$CU$5:$CW$23,2),IF(G28="NZ",VLOOKUP(H28,$CU$5:$CW$23,3),"error"))*BK28</f>
        <v>#N/A</v>
      </c>
    </row>
    <row r="29" spans="1:92" s="108" customFormat="1" ht="290.25">
      <c r="A29" s="83" t="str">
        <f t="shared" si="0"/>
        <v>Tobacco</v>
      </c>
      <c r="B29" s="84" t="s">
        <v>170</v>
      </c>
      <c r="C29" s="85"/>
      <c r="D29" s="86"/>
      <c r="E29" s="85" t="s">
        <v>172</v>
      </c>
      <c r="F29" s="85" t="str">
        <f t="shared" si="1"/>
        <v xml:space="preserve">Tobacco; ; Prevention ; </v>
      </c>
      <c r="G29" s="85" t="s">
        <v>205</v>
      </c>
      <c r="H29" s="85">
        <v>2011</v>
      </c>
      <c r="I29" s="85" t="str">
        <f>CONCATENATE(A29,", ",G29,": ",J29)</f>
        <v>Tobacco, NZ: Combined tobacco endgame strategy (tobacco-free generation + tobacco tax increases + substantive outlet reduction strategy)</v>
      </c>
      <c r="J29" s="87" t="s">
        <v>206</v>
      </c>
      <c r="K29" s="87" t="s">
        <v>230</v>
      </c>
      <c r="L29" s="87" t="s">
        <v>231</v>
      </c>
      <c r="M29" s="87" t="s">
        <v>232</v>
      </c>
      <c r="N29" s="87" t="s">
        <v>233</v>
      </c>
      <c r="O29" s="87" t="s">
        <v>233</v>
      </c>
      <c r="P29" s="85" t="s">
        <v>215</v>
      </c>
      <c r="Q29" s="85" t="str">
        <f>IF($P29="Main",J29,BX29)</f>
        <v>in non-Māori women age 0-14 yrs</v>
      </c>
      <c r="R29" s="85" t="str">
        <f>IF($P29="Main",CONCATENATE(J29,": ",G29),BY29)</f>
        <v>in non-Māori women age 0-14 yrs</v>
      </c>
      <c r="S29" s="85" t="s">
        <v>234</v>
      </c>
      <c r="T29" s="85" t="s">
        <v>250</v>
      </c>
      <c r="U29" s="85" t="s">
        <v>236</v>
      </c>
      <c r="V29" s="88"/>
      <c r="W29" s="88">
        <v>14</v>
      </c>
      <c r="X29" s="88" t="s">
        <v>199</v>
      </c>
      <c r="Y29" s="85"/>
      <c r="Z29" s="85"/>
      <c r="AA29" s="85"/>
      <c r="AB29" s="85"/>
      <c r="AC29" s="89"/>
      <c r="AD29" s="83"/>
      <c r="AE29" s="83"/>
      <c r="AF29" s="83"/>
      <c r="AG29" s="90">
        <v>11700</v>
      </c>
      <c r="AH29" s="90"/>
      <c r="AI29" s="90"/>
      <c r="AJ29" s="91">
        <v>323780</v>
      </c>
      <c r="AK29" s="92">
        <f t="shared" si="2"/>
        <v>36.135647661992714</v>
      </c>
      <c r="AL29" s="92"/>
      <c r="AM29" s="92"/>
      <c r="AN29" s="93"/>
      <c r="AO29" s="94"/>
      <c r="AP29" s="94"/>
      <c r="AQ29" s="94"/>
      <c r="AR29" s="95">
        <v>-309000000</v>
      </c>
      <c r="AS29" s="95"/>
      <c r="AT29" s="95"/>
      <c r="AU29" s="95">
        <f t="shared" si="6"/>
        <v>-954351.72030391009</v>
      </c>
      <c r="AV29" s="95"/>
      <c r="AW29" s="95"/>
      <c r="AX29" s="95"/>
      <c r="AY29" s="95"/>
      <c r="AZ29" s="95"/>
      <c r="BA29" s="96"/>
      <c r="BB29" s="96"/>
      <c r="BC29" s="96"/>
      <c r="BD29" s="95"/>
      <c r="BE29" s="95"/>
      <c r="BF29" s="96"/>
      <c r="BG29" s="95"/>
      <c r="BH29" s="95"/>
      <c r="BI29" s="96"/>
      <c r="BJ29" s="97" t="s">
        <v>182</v>
      </c>
      <c r="BK29" s="98" t="str">
        <f t="shared" si="3"/>
        <v>Cost-saving</v>
      </c>
      <c r="BL29" s="98">
        <f t="shared" si="3"/>
        <v>0</v>
      </c>
      <c r="BM29" s="98">
        <f t="shared" si="3"/>
        <v>0</v>
      </c>
      <c r="BN29" s="99" t="s">
        <v>183</v>
      </c>
      <c r="BO29" s="100"/>
      <c r="BP29" s="100"/>
      <c r="BQ29" s="99" t="s">
        <v>183</v>
      </c>
      <c r="BR29" s="100"/>
      <c r="BS29" s="100"/>
      <c r="BT29" s="99" t="s">
        <v>183</v>
      </c>
      <c r="BU29" s="100"/>
      <c r="BV29" s="100"/>
      <c r="BW29" s="109" t="s">
        <v>211</v>
      </c>
      <c r="BX29" s="85" t="s">
        <v>251</v>
      </c>
      <c r="BY29" s="83" t="s">
        <v>251</v>
      </c>
      <c r="BZ29" s="102">
        <v>2018</v>
      </c>
      <c r="CA29" s="98"/>
      <c r="CB29" s="98"/>
      <c r="CC29" s="103">
        <f t="shared" si="4"/>
        <v>123</v>
      </c>
      <c r="CD29" s="98" t="s">
        <v>213</v>
      </c>
      <c r="CE29" s="98" t="s">
        <v>214</v>
      </c>
      <c r="CF29" s="98"/>
      <c r="CG29" s="105">
        <v>1</v>
      </c>
      <c r="CH29" s="105" t="str">
        <f>IF(CK29=0,"",IF(V29="Persistent",5,IF(V29="Once",1,IF(V29="One-off",1,"manual overwrite"))))</f>
        <v/>
      </c>
      <c r="CI29" s="105"/>
      <c r="CJ29" s="98">
        <f t="shared" si="5"/>
        <v>0</v>
      </c>
      <c r="CK29" s="98">
        <f>IF(CA29="C",0,IF(P29="Het",0,IF(SUM(AG29,AO29)=0,0,1)))</f>
        <v>0</v>
      </c>
      <c r="CL29" s="106" t="e">
        <f>IF(G29="AUS",VLOOKUP(H29,$CU$5:$CW$23,2),IF(G29="NZ",VLOOKUP(H29,$CU$5:$CW$23,3),"error"))*AU29</f>
        <v>#N/A</v>
      </c>
      <c r="CM29" s="107" t="e">
        <f>IF(G29="AUS",VLOOKUP(H29,$CU$5:$CW$23,2),IF(G29="NZ",VLOOKUP(H29,$CU$5:$CW$23,3),"error"))*AX29</f>
        <v>#N/A</v>
      </c>
      <c r="CN29" s="106" t="e">
        <f>IF(G29="AUS",VLOOKUP(H29,$CU$5:$CW$23,2),IF(G29="NZ",VLOOKUP(H29,$CU$5:$CW$23,3),"error"))*BK29</f>
        <v>#N/A</v>
      </c>
    </row>
    <row r="30" spans="1:92" s="108" customFormat="1" ht="290.25">
      <c r="A30" s="83" t="str">
        <f t="shared" si="0"/>
        <v>Tobacco</v>
      </c>
      <c r="B30" s="84" t="s">
        <v>170</v>
      </c>
      <c r="C30" s="85"/>
      <c r="D30" s="86"/>
      <c r="E30" s="85" t="s">
        <v>172</v>
      </c>
      <c r="F30" s="85" t="str">
        <f t="shared" si="1"/>
        <v xml:space="preserve">Tobacco; ; Prevention ; </v>
      </c>
      <c r="G30" s="85" t="s">
        <v>205</v>
      </c>
      <c r="H30" s="85">
        <v>2011</v>
      </c>
      <c r="I30" s="85" t="str">
        <f>CONCATENATE(A30,", ",G30,": ",J30)</f>
        <v>Tobacco, NZ: Combined tobacco endgame strategy (tobacco-free generation + tobacco tax increases + substantive outlet reduction strategy)</v>
      </c>
      <c r="J30" s="87" t="s">
        <v>206</v>
      </c>
      <c r="K30" s="87" t="s">
        <v>230</v>
      </c>
      <c r="L30" s="87" t="s">
        <v>231</v>
      </c>
      <c r="M30" s="87" t="s">
        <v>232</v>
      </c>
      <c r="N30" s="87" t="s">
        <v>233</v>
      </c>
      <c r="O30" s="87" t="s">
        <v>233</v>
      </c>
      <c r="P30" s="85" t="s">
        <v>215</v>
      </c>
      <c r="Q30" s="85" t="str">
        <f>IF($P30="Main",J30,BX30)</f>
        <v>in non-Māori women age 15-24 yrs</v>
      </c>
      <c r="R30" s="85" t="str">
        <f>IF($P30="Main",CONCATENATE(J30,": ",G30),BY30)</f>
        <v>in non-Māori women age 15-24 yrs</v>
      </c>
      <c r="S30" s="85" t="s">
        <v>239</v>
      </c>
      <c r="T30" s="85" t="s">
        <v>250</v>
      </c>
      <c r="U30" s="85" t="s">
        <v>236</v>
      </c>
      <c r="V30" s="88"/>
      <c r="W30" s="88">
        <v>14</v>
      </c>
      <c r="X30" s="88" t="s">
        <v>199</v>
      </c>
      <c r="Y30" s="85"/>
      <c r="Z30" s="85"/>
      <c r="AA30" s="85"/>
      <c r="AB30" s="85"/>
      <c r="AC30" s="89"/>
      <c r="AD30" s="83"/>
      <c r="AE30" s="83"/>
      <c r="AF30" s="83"/>
      <c r="AG30" s="90">
        <v>8690</v>
      </c>
      <c r="AH30" s="90"/>
      <c r="AI30" s="90"/>
      <c r="AJ30" s="91">
        <v>248800</v>
      </c>
      <c r="AK30" s="92">
        <f t="shared" si="2"/>
        <v>34.927652733118968</v>
      </c>
      <c r="AL30" s="92"/>
      <c r="AM30" s="92"/>
      <c r="AN30" s="93"/>
      <c r="AO30" s="94"/>
      <c r="AP30" s="94"/>
      <c r="AQ30" s="94"/>
      <c r="AR30" s="95">
        <v>-226000000</v>
      </c>
      <c r="AS30" s="95"/>
      <c r="AT30" s="95"/>
      <c r="AU30" s="95">
        <f t="shared" si="6"/>
        <v>-908360.1286173634</v>
      </c>
      <c r="AV30" s="95"/>
      <c r="AW30" s="95"/>
      <c r="AX30" s="95"/>
      <c r="AY30" s="95"/>
      <c r="AZ30" s="95"/>
      <c r="BA30" s="96"/>
      <c r="BB30" s="96"/>
      <c r="BC30" s="96"/>
      <c r="BD30" s="95"/>
      <c r="BE30" s="95"/>
      <c r="BF30" s="96"/>
      <c r="BG30" s="95"/>
      <c r="BH30" s="95"/>
      <c r="BI30" s="96"/>
      <c r="BJ30" s="97" t="s">
        <v>182</v>
      </c>
      <c r="BK30" s="98" t="str">
        <f t="shared" si="3"/>
        <v>Cost-saving</v>
      </c>
      <c r="BL30" s="98">
        <f t="shared" si="3"/>
        <v>0</v>
      </c>
      <c r="BM30" s="98">
        <f t="shared" si="3"/>
        <v>0</v>
      </c>
      <c r="BN30" s="99" t="s">
        <v>183</v>
      </c>
      <c r="BO30" s="100"/>
      <c r="BP30" s="100"/>
      <c r="BQ30" s="99" t="s">
        <v>183</v>
      </c>
      <c r="BR30" s="100"/>
      <c r="BS30" s="100"/>
      <c r="BT30" s="99" t="s">
        <v>183</v>
      </c>
      <c r="BU30" s="100"/>
      <c r="BV30" s="100"/>
      <c r="BW30" s="109" t="s">
        <v>211</v>
      </c>
      <c r="BX30" s="85" t="s">
        <v>252</v>
      </c>
      <c r="BY30" s="83" t="s">
        <v>252</v>
      </c>
      <c r="BZ30" s="102">
        <v>2018</v>
      </c>
      <c r="CA30" s="98"/>
      <c r="CB30" s="98"/>
      <c r="CC30" s="103">
        <f t="shared" si="4"/>
        <v>123</v>
      </c>
      <c r="CD30" s="98" t="s">
        <v>213</v>
      </c>
      <c r="CE30" s="98" t="s">
        <v>214</v>
      </c>
      <c r="CF30" s="98"/>
      <c r="CG30" s="105">
        <v>1</v>
      </c>
      <c r="CH30" s="105" t="str">
        <f>IF(CK30=0,"",IF(V30="Persistent",5,IF(V30="Once",1,IF(V30="One-off",1,"manual overwrite"))))</f>
        <v/>
      </c>
      <c r="CI30" s="105"/>
      <c r="CJ30" s="98">
        <f t="shared" si="5"/>
        <v>0</v>
      </c>
      <c r="CK30" s="98">
        <f>IF(CA30="C",0,IF(P30="Het",0,IF(SUM(AG30,AO30)=0,0,1)))</f>
        <v>0</v>
      </c>
      <c r="CL30" s="106" t="e">
        <f>IF(G30="AUS",VLOOKUP(H30,$CU$5:$CW$23,2),IF(G30="NZ",VLOOKUP(H30,$CU$5:$CW$23,3),"error"))*AU30</f>
        <v>#N/A</v>
      </c>
      <c r="CM30" s="107" t="e">
        <f>IF(G30="AUS",VLOOKUP(H30,$CU$5:$CW$23,2),IF(G30="NZ",VLOOKUP(H30,$CU$5:$CW$23,3),"error"))*AX30</f>
        <v>#N/A</v>
      </c>
      <c r="CN30" s="106" t="e">
        <f>IF(G30="AUS",VLOOKUP(H30,$CU$5:$CW$23,2),IF(G30="NZ",VLOOKUP(H30,$CU$5:$CW$23,3),"error"))*BK30</f>
        <v>#N/A</v>
      </c>
    </row>
    <row r="31" spans="1:92" s="108" customFormat="1" ht="290.25">
      <c r="A31" s="83" t="str">
        <f t="shared" si="0"/>
        <v>Tobacco</v>
      </c>
      <c r="B31" s="84" t="s">
        <v>170</v>
      </c>
      <c r="C31" s="85"/>
      <c r="D31" s="86"/>
      <c r="E31" s="85" t="s">
        <v>172</v>
      </c>
      <c r="F31" s="85" t="str">
        <f t="shared" si="1"/>
        <v xml:space="preserve">Tobacco; ; Prevention ; </v>
      </c>
      <c r="G31" s="85" t="s">
        <v>205</v>
      </c>
      <c r="H31" s="85">
        <v>2011</v>
      </c>
      <c r="I31" s="85" t="str">
        <f>CONCATENATE(A31,", ",G31,": ",J31)</f>
        <v>Tobacco, NZ: Combined tobacco endgame strategy (tobacco-free generation + tobacco tax increases + substantive outlet reduction strategy)</v>
      </c>
      <c r="J31" s="87" t="s">
        <v>206</v>
      </c>
      <c r="K31" s="87" t="s">
        <v>230</v>
      </c>
      <c r="L31" s="87" t="s">
        <v>231</v>
      </c>
      <c r="M31" s="87" t="s">
        <v>232</v>
      </c>
      <c r="N31" s="87" t="s">
        <v>233</v>
      </c>
      <c r="O31" s="87" t="s">
        <v>233</v>
      </c>
      <c r="P31" s="85" t="s">
        <v>215</v>
      </c>
      <c r="Q31" s="85" t="str">
        <f>IF($P31="Main",J31,BX31)</f>
        <v xml:space="preserve">in non-Māori women age 25-44 yrs </v>
      </c>
      <c r="R31" s="85" t="str">
        <f>IF($P31="Main",CONCATENATE(J31,": ",G31),BY31)</f>
        <v xml:space="preserve">in non-Māori women age 25-44 yrs </v>
      </c>
      <c r="S31" s="85" t="s">
        <v>241</v>
      </c>
      <c r="T31" s="85" t="s">
        <v>250</v>
      </c>
      <c r="U31" s="85" t="s">
        <v>236</v>
      </c>
      <c r="V31" s="88"/>
      <c r="W31" s="88">
        <v>14</v>
      </c>
      <c r="X31" s="88" t="s">
        <v>199</v>
      </c>
      <c r="Y31" s="85"/>
      <c r="Z31" s="85"/>
      <c r="AA31" s="85"/>
      <c r="AB31" s="85"/>
      <c r="AC31" s="89"/>
      <c r="AD31" s="83"/>
      <c r="AE31" s="83"/>
      <c r="AF31" s="83"/>
      <c r="AG31" s="90">
        <v>5220</v>
      </c>
      <c r="AH31" s="90"/>
      <c r="AI31" s="90"/>
      <c r="AJ31" s="91">
        <v>515290</v>
      </c>
      <c r="AK31" s="92">
        <f t="shared" si="2"/>
        <v>10.130217935531448</v>
      </c>
      <c r="AL31" s="92"/>
      <c r="AM31" s="92"/>
      <c r="AN31" s="93"/>
      <c r="AO31" s="94"/>
      <c r="AP31" s="94"/>
      <c r="AQ31" s="94"/>
      <c r="AR31" s="95">
        <v>-112000000</v>
      </c>
      <c r="AS31" s="95"/>
      <c r="AT31" s="95"/>
      <c r="AU31" s="95">
        <f t="shared" si="6"/>
        <v>-217353.33501523413</v>
      </c>
      <c r="AV31" s="95"/>
      <c r="AW31" s="95"/>
      <c r="AX31" s="95"/>
      <c r="AY31" s="95"/>
      <c r="AZ31" s="95"/>
      <c r="BA31" s="96"/>
      <c r="BB31" s="96"/>
      <c r="BC31" s="96"/>
      <c r="BD31" s="95"/>
      <c r="BE31" s="95"/>
      <c r="BF31" s="96"/>
      <c r="BG31" s="95"/>
      <c r="BH31" s="95"/>
      <c r="BI31" s="96"/>
      <c r="BJ31" s="97" t="s">
        <v>182</v>
      </c>
      <c r="BK31" s="98" t="str">
        <f t="shared" si="3"/>
        <v>Cost-saving</v>
      </c>
      <c r="BL31" s="98">
        <f t="shared" si="3"/>
        <v>0</v>
      </c>
      <c r="BM31" s="98">
        <f t="shared" si="3"/>
        <v>0</v>
      </c>
      <c r="BN31" s="99" t="s">
        <v>183</v>
      </c>
      <c r="BO31" s="100"/>
      <c r="BP31" s="100"/>
      <c r="BQ31" s="99" t="s">
        <v>183</v>
      </c>
      <c r="BR31" s="100"/>
      <c r="BS31" s="100"/>
      <c r="BT31" s="99" t="s">
        <v>183</v>
      </c>
      <c r="BU31" s="100"/>
      <c r="BV31" s="100"/>
      <c r="BW31" s="109" t="s">
        <v>211</v>
      </c>
      <c r="BX31" s="85" t="s">
        <v>253</v>
      </c>
      <c r="BY31" s="83" t="s">
        <v>253</v>
      </c>
      <c r="BZ31" s="102">
        <v>2018</v>
      </c>
      <c r="CA31" s="98"/>
      <c r="CB31" s="98"/>
      <c r="CC31" s="103">
        <f t="shared" si="4"/>
        <v>123</v>
      </c>
      <c r="CD31" s="98" t="s">
        <v>213</v>
      </c>
      <c r="CE31" s="98" t="s">
        <v>214</v>
      </c>
      <c r="CF31" s="98"/>
      <c r="CG31" s="105">
        <v>1</v>
      </c>
      <c r="CH31" s="105" t="str">
        <f>IF(CK31=0,"",IF(V31="Persistent",5,IF(V31="Once",1,IF(V31="One-off",1,"manual overwrite"))))</f>
        <v/>
      </c>
      <c r="CI31" s="105"/>
      <c r="CJ31" s="98">
        <f t="shared" si="5"/>
        <v>0</v>
      </c>
      <c r="CK31" s="98">
        <f>IF(CA31="C",0,IF(P31="Het",0,IF(SUM(AG31,AO31)=0,0,1)))</f>
        <v>0</v>
      </c>
      <c r="CL31" s="106" t="e">
        <f>IF(G31="AUS",VLOOKUP(H31,$CU$5:$CW$23,2),IF(G31="NZ",VLOOKUP(H31,$CU$5:$CW$23,3),"error"))*AU31</f>
        <v>#N/A</v>
      </c>
      <c r="CM31" s="107" t="e">
        <f>IF(G31="AUS",VLOOKUP(H31,$CU$5:$CW$23,2),IF(G31="NZ",VLOOKUP(H31,$CU$5:$CW$23,3),"error"))*AX31</f>
        <v>#N/A</v>
      </c>
      <c r="CN31" s="106" t="e">
        <f>IF(G31="AUS",VLOOKUP(H31,$CU$5:$CW$23,2),IF(G31="NZ",VLOOKUP(H31,$CU$5:$CW$23,3),"error"))*BK31</f>
        <v>#N/A</v>
      </c>
    </row>
    <row r="32" spans="1:92" s="108" customFormat="1" ht="290.25">
      <c r="A32" s="83" t="str">
        <f t="shared" si="0"/>
        <v>Tobacco</v>
      </c>
      <c r="B32" s="84" t="s">
        <v>170</v>
      </c>
      <c r="C32" s="85"/>
      <c r="D32" s="86"/>
      <c r="E32" s="85" t="s">
        <v>172</v>
      </c>
      <c r="F32" s="85" t="str">
        <f t="shared" si="1"/>
        <v xml:space="preserve">Tobacco; ; Prevention ; </v>
      </c>
      <c r="G32" s="85" t="s">
        <v>205</v>
      </c>
      <c r="H32" s="85">
        <v>2011</v>
      </c>
      <c r="I32" s="85" t="str">
        <f>CONCATENATE(A32,", ",G32,": ",J32)</f>
        <v>Tobacco, NZ: Combined tobacco endgame strategy (tobacco-free generation + tobacco tax increases + substantive outlet reduction strategy)</v>
      </c>
      <c r="J32" s="87" t="s">
        <v>206</v>
      </c>
      <c r="K32" s="87" t="s">
        <v>230</v>
      </c>
      <c r="L32" s="87" t="s">
        <v>231</v>
      </c>
      <c r="M32" s="87" t="s">
        <v>243</v>
      </c>
      <c r="N32" s="87" t="s">
        <v>233</v>
      </c>
      <c r="O32" s="87" t="s">
        <v>233</v>
      </c>
      <c r="P32" s="85" t="s">
        <v>215</v>
      </c>
      <c r="Q32" s="85" t="str">
        <f>IF($P32="Main",J32,BX32)</f>
        <v>in non-Māori women age 45-64 yrs</v>
      </c>
      <c r="R32" s="85" t="str">
        <f>IF($P32="Main",CONCATENATE(J32,": ",G32),BY32)</f>
        <v>in non-Māori women age 45-64 yrs</v>
      </c>
      <c r="S32" s="85" t="s">
        <v>244</v>
      </c>
      <c r="T32" s="85" t="s">
        <v>250</v>
      </c>
      <c r="U32" s="85" t="s">
        <v>236</v>
      </c>
      <c r="V32" s="88"/>
      <c r="W32" s="88">
        <v>14</v>
      </c>
      <c r="X32" s="88" t="s">
        <v>199</v>
      </c>
      <c r="Y32" s="85"/>
      <c r="Z32" s="85"/>
      <c r="AA32" s="85"/>
      <c r="AB32" s="85"/>
      <c r="AC32" s="89"/>
      <c r="AD32" s="83"/>
      <c r="AE32" s="83"/>
      <c r="AF32" s="83"/>
      <c r="AG32" s="90">
        <v>3090</v>
      </c>
      <c r="AH32" s="90"/>
      <c r="AI32" s="90"/>
      <c r="AJ32" s="91">
        <v>508320</v>
      </c>
      <c r="AK32" s="92">
        <f t="shared" si="2"/>
        <v>6.0788479697828137</v>
      </c>
      <c r="AL32" s="92"/>
      <c r="AM32" s="92"/>
      <c r="AN32" s="93"/>
      <c r="AO32" s="94"/>
      <c r="AP32" s="94"/>
      <c r="AQ32" s="94"/>
      <c r="AR32" s="95">
        <v>-43000000</v>
      </c>
      <c r="AS32" s="95"/>
      <c r="AT32" s="95"/>
      <c r="AU32" s="95">
        <f t="shared" si="6"/>
        <v>-84592.382751022975</v>
      </c>
      <c r="AV32" s="95"/>
      <c r="AW32" s="95"/>
      <c r="AX32" s="95"/>
      <c r="AY32" s="95"/>
      <c r="AZ32" s="95"/>
      <c r="BA32" s="96"/>
      <c r="BB32" s="96"/>
      <c r="BC32" s="96"/>
      <c r="BD32" s="95"/>
      <c r="BE32" s="95"/>
      <c r="BF32" s="96"/>
      <c r="BG32" s="95"/>
      <c r="BH32" s="95"/>
      <c r="BI32" s="96"/>
      <c r="BJ32" s="97" t="s">
        <v>182</v>
      </c>
      <c r="BK32" s="98" t="str">
        <f t="shared" si="3"/>
        <v>Cost-saving</v>
      </c>
      <c r="BL32" s="98">
        <f t="shared" si="3"/>
        <v>0</v>
      </c>
      <c r="BM32" s="98">
        <f t="shared" si="3"/>
        <v>0</v>
      </c>
      <c r="BN32" s="99" t="s">
        <v>183</v>
      </c>
      <c r="BO32" s="100"/>
      <c r="BP32" s="100"/>
      <c r="BQ32" s="99" t="s">
        <v>183</v>
      </c>
      <c r="BR32" s="100"/>
      <c r="BS32" s="100"/>
      <c r="BT32" s="99" t="s">
        <v>183</v>
      </c>
      <c r="BU32" s="100"/>
      <c r="BV32" s="100"/>
      <c r="BW32" s="109" t="s">
        <v>211</v>
      </c>
      <c r="BX32" s="85" t="s">
        <v>254</v>
      </c>
      <c r="BY32" s="83" t="s">
        <v>254</v>
      </c>
      <c r="BZ32" s="102">
        <v>2018</v>
      </c>
      <c r="CA32" s="98"/>
      <c r="CB32" s="98"/>
      <c r="CC32" s="103">
        <f t="shared" si="4"/>
        <v>123</v>
      </c>
      <c r="CD32" s="98" t="s">
        <v>213</v>
      </c>
      <c r="CE32" s="98" t="s">
        <v>214</v>
      </c>
      <c r="CF32" s="98"/>
      <c r="CG32" s="105">
        <v>1</v>
      </c>
      <c r="CH32" s="105" t="str">
        <f>IF(CK32=0,"",IF(V32="Persistent",5,IF(V32="Once",1,IF(V32="One-off",1,"manual overwrite"))))</f>
        <v/>
      </c>
      <c r="CI32" s="105"/>
      <c r="CJ32" s="98">
        <f t="shared" si="5"/>
        <v>0</v>
      </c>
      <c r="CK32" s="98">
        <f>IF(CA32="C",0,IF(P32="Het",0,IF(SUM(AG32,AO32)=0,0,1)))</f>
        <v>0</v>
      </c>
      <c r="CL32" s="106" t="e">
        <f>IF(G32="AUS",VLOOKUP(H32,$CU$5:$CW$23,2),IF(G32="NZ",VLOOKUP(H32,$CU$5:$CW$23,3),"error"))*AU32</f>
        <v>#N/A</v>
      </c>
      <c r="CM32" s="107" t="e">
        <f>IF(G32="AUS",VLOOKUP(H32,$CU$5:$CW$23,2),IF(G32="NZ",VLOOKUP(H32,$CU$5:$CW$23,3),"error"))*AX32</f>
        <v>#N/A</v>
      </c>
      <c r="CN32" s="106" t="e">
        <f>IF(G32="AUS",VLOOKUP(H32,$CU$5:$CW$23,2),IF(G32="NZ",VLOOKUP(H32,$CU$5:$CW$23,3),"error"))*BK32</f>
        <v>#N/A</v>
      </c>
    </row>
    <row r="33" spans="1:92" s="108" customFormat="1" ht="290.25">
      <c r="A33" s="83" t="str">
        <f t="shared" si="0"/>
        <v>Tobacco</v>
      </c>
      <c r="B33" s="84" t="s">
        <v>170</v>
      </c>
      <c r="C33" s="85"/>
      <c r="D33" s="86"/>
      <c r="E33" s="85" t="s">
        <v>172</v>
      </c>
      <c r="F33" s="85" t="str">
        <f t="shared" si="1"/>
        <v xml:space="preserve">Tobacco; ; Prevention ; </v>
      </c>
      <c r="G33" s="85" t="s">
        <v>205</v>
      </c>
      <c r="H33" s="85">
        <v>2011</v>
      </c>
      <c r="I33" s="85" t="str">
        <f>CONCATENATE(A33,", ",G33,": ",J33)</f>
        <v>Tobacco, NZ: Combined tobacco endgame strategy (tobacco-free generation + tobacco tax increases + substantive outlet reduction strategy)</v>
      </c>
      <c r="J33" s="87" t="s">
        <v>206</v>
      </c>
      <c r="K33" s="87" t="s">
        <v>230</v>
      </c>
      <c r="L33" s="87" t="s">
        <v>231</v>
      </c>
      <c r="M33" s="87" t="s">
        <v>246</v>
      </c>
      <c r="N33" s="87" t="s">
        <v>233</v>
      </c>
      <c r="O33" s="87" t="s">
        <v>233</v>
      </c>
      <c r="P33" s="85" t="s">
        <v>215</v>
      </c>
      <c r="Q33" s="85" t="str">
        <f>IF($P33="Main",J33,BX33)</f>
        <v xml:space="preserve">in non-Māori women age 65+ yrs </v>
      </c>
      <c r="R33" s="85" t="str">
        <f>IF($P33="Main",CONCATENATE(J33,": ",G33),BY33)</f>
        <v xml:space="preserve">in non-Māori women age 65+ yrs </v>
      </c>
      <c r="S33" s="85" t="s">
        <v>247</v>
      </c>
      <c r="T33" s="85" t="s">
        <v>250</v>
      </c>
      <c r="U33" s="85" t="s">
        <v>236</v>
      </c>
      <c r="V33" s="88"/>
      <c r="W33" s="88">
        <v>14</v>
      </c>
      <c r="X33" s="88" t="s">
        <v>199</v>
      </c>
      <c r="Y33" s="85"/>
      <c r="Z33" s="85"/>
      <c r="AA33" s="85"/>
      <c r="AB33" s="85"/>
      <c r="AC33" s="89"/>
      <c r="AD33" s="83"/>
      <c r="AE33" s="83"/>
      <c r="AF33" s="83"/>
      <c r="AG33" s="90">
        <v>303</v>
      </c>
      <c r="AH33" s="90"/>
      <c r="AI33" s="90"/>
      <c r="AJ33" s="91">
        <v>301170</v>
      </c>
      <c r="AK33" s="92">
        <f t="shared" si="2"/>
        <v>1.0060763024205599</v>
      </c>
      <c r="AL33" s="92"/>
      <c r="AM33" s="92"/>
      <c r="AN33" s="93"/>
      <c r="AO33" s="94"/>
      <c r="AP33" s="94"/>
      <c r="AQ33" s="94"/>
      <c r="AR33" s="95">
        <v>-1930000</v>
      </c>
      <c r="AS33" s="95"/>
      <c r="AT33" s="95"/>
      <c r="AU33" s="95">
        <f t="shared" si="6"/>
        <v>-6408.3408041969651</v>
      </c>
      <c r="AV33" s="95"/>
      <c r="AW33" s="95"/>
      <c r="AX33" s="95"/>
      <c r="AY33" s="95"/>
      <c r="AZ33" s="95"/>
      <c r="BA33" s="96"/>
      <c r="BB33" s="96"/>
      <c r="BC33" s="96"/>
      <c r="BD33" s="95"/>
      <c r="BE33" s="95"/>
      <c r="BF33" s="96"/>
      <c r="BG33" s="95"/>
      <c r="BH33" s="95"/>
      <c r="BI33" s="96"/>
      <c r="BJ33" s="97" t="s">
        <v>182</v>
      </c>
      <c r="BK33" s="98" t="str">
        <f t="shared" si="3"/>
        <v>Cost-saving</v>
      </c>
      <c r="BL33" s="98">
        <f t="shared" si="3"/>
        <v>0</v>
      </c>
      <c r="BM33" s="98">
        <f t="shared" si="3"/>
        <v>0</v>
      </c>
      <c r="BN33" s="99" t="s">
        <v>183</v>
      </c>
      <c r="BO33" s="100"/>
      <c r="BP33" s="100"/>
      <c r="BQ33" s="99" t="s">
        <v>183</v>
      </c>
      <c r="BR33" s="100"/>
      <c r="BS33" s="100"/>
      <c r="BT33" s="99" t="s">
        <v>183</v>
      </c>
      <c r="BU33" s="100"/>
      <c r="BV33" s="100"/>
      <c r="BW33" s="109" t="s">
        <v>211</v>
      </c>
      <c r="BX33" s="85" t="s">
        <v>255</v>
      </c>
      <c r="BY33" s="83" t="s">
        <v>255</v>
      </c>
      <c r="BZ33" s="102">
        <v>2018</v>
      </c>
      <c r="CA33" s="98"/>
      <c r="CB33" s="98"/>
      <c r="CC33" s="103">
        <f t="shared" si="4"/>
        <v>123</v>
      </c>
      <c r="CD33" s="98" t="s">
        <v>213</v>
      </c>
      <c r="CE33" s="98" t="s">
        <v>214</v>
      </c>
      <c r="CF33" s="98"/>
      <c r="CG33" s="105">
        <v>1</v>
      </c>
      <c r="CH33" s="105" t="str">
        <f>IF(CK33=0,"",IF(V33="Persistent",5,IF(V33="Once",1,IF(V33="One-off",1,"manual overwrite"))))</f>
        <v/>
      </c>
      <c r="CI33" s="105"/>
      <c r="CJ33" s="98">
        <f t="shared" si="5"/>
        <v>0</v>
      </c>
      <c r="CK33" s="98">
        <f>IF(CA33="C",0,IF(P33="Het",0,IF(SUM(AG33,AO33)=0,0,1)))</f>
        <v>0</v>
      </c>
      <c r="CL33" s="106" t="e">
        <f>IF(G33="AUS",VLOOKUP(H33,$CU$5:$CW$23,2),IF(G33="NZ",VLOOKUP(H33,$CU$5:$CW$23,3),"error"))*AU33</f>
        <v>#N/A</v>
      </c>
      <c r="CM33" s="107" t="e">
        <f>IF(G33="AUS",VLOOKUP(H33,$CU$5:$CW$23,2),IF(G33="NZ",VLOOKUP(H33,$CU$5:$CW$23,3),"error"))*AX33</f>
        <v>#N/A</v>
      </c>
      <c r="CN33" s="106" t="e">
        <f>IF(G33="AUS",VLOOKUP(H33,$CU$5:$CW$23,2),IF(G33="NZ",VLOOKUP(H33,$CU$5:$CW$23,3),"error"))*BK33</f>
        <v>#N/A</v>
      </c>
    </row>
    <row r="34" spans="1:92" s="108" customFormat="1" ht="290.25" hidden="1">
      <c r="A34" s="83" t="str">
        <f t="shared" si="0"/>
        <v>Tobacco</v>
      </c>
      <c r="B34" s="84" t="s">
        <v>170</v>
      </c>
      <c r="C34" s="85"/>
      <c r="D34" s="86"/>
      <c r="E34" s="85" t="s">
        <v>172</v>
      </c>
      <c r="F34" s="85" t="str">
        <f t="shared" si="1"/>
        <v xml:space="preserve">Tobacco; ; Prevention ; </v>
      </c>
      <c r="G34" s="85" t="s">
        <v>205</v>
      </c>
      <c r="H34" s="85">
        <v>2011</v>
      </c>
      <c r="I34" s="85" t="str">
        <f>CONCATENATE(A34,", ",G34,": ",J34)</f>
        <v>Tobacco, NZ: Combined tobacco endgame strategy (tobacco-free generation + tobacco tax increases + substantive outlet reduction strategy)</v>
      </c>
      <c r="J34" s="87" t="s">
        <v>206</v>
      </c>
      <c r="K34" s="87" t="s">
        <v>230</v>
      </c>
      <c r="L34" s="87" t="s">
        <v>231</v>
      </c>
      <c r="M34" s="87"/>
      <c r="N34" s="87"/>
      <c r="O34" s="87"/>
      <c r="P34" s="85" t="s">
        <v>215</v>
      </c>
      <c r="Q34" s="85" t="str">
        <f>IF($P34="Main",J34,BX34)</f>
        <v>in Māori</v>
      </c>
      <c r="R34" s="85" t="str">
        <f>IF($P34="Main",CONCATENATE(J34,": ",G34),BY34)</f>
        <v>in Māori</v>
      </c>
      <c r="S34" s="85"/>
      <c r="T34" s="85"/>
      <c r="U34" s="85"/>
      <c r="V34" s="88"/>
      <c r="W34" s="88"/>
      <c r="X34" s="88"/>
      <c r="Y34" s="85"/>
      <c r="Z34" s="85"/>
      <c r="AA34" s="85"/>
      <c r="AB34" s="85"/>
      <c r="AC34" s="89"/>
      <c r="AD34" s="83"/>
      <c r="AE34" s="83"/>
      <c r="AF34" s="83"/>
      <c r="AG34" s="90">
        <v>54900</v>
      </c>
      <c r="AH34" s="90">
        <v>39000</v>
      </c>
      <c r="AI34" s="90">
        <v>76970</v>
      </c>
      <c r="AJ34" s="91">
        <v>674200</v>
      </c>
      <c r="AK34" s="92">
        <f t="shared" si="2"/>
        <v>81.429842776624142</v>
      </c>
      <c r="AL34" s="92">
        <f>AH34/$AJ34*1000</f>
        <v>57.846336398694746</v>
      </c>
      <c r="AM34" s="92">
        <f>AI34/$AJ34*1000</f>
        <v>114.16493622070601</v>
      </c>
      <c r="AN34" s="93"/>
      <c r="AO34" s="94">
        <v>8.1000000000000003E-2</v>
      </c>
      <c r="AP34" s="94"/>
      <c r="AQ34" s="94"/>
      <c r="AR34" s="95">
        <v>-925000000</v>
      </c>
      <c r="AS34" s="95">
        <v>-653000000</v>
      </c>
      <c r="AT34" s="95">
        <v>-1268000000</v>
      </c>
      <c r="AU34" s="95">
        <f t="shared" si="6"/>
        <v>-1371996.4402254524</v>
      </c>
      <c r="AV34" s="95">
        <f>1000*AS34/$AJ34</f>
        <v>-968555.32482942753</v>
      </c>
      <c r="AW34" s="95">
        <f>1000*AT34/$AJ34</f>
        <v>-1880747.5526549986</v>
      </c>
      <c r="AX34" s="95">
        <v>-1370</v>
      </c>
      <c r="AY34" s="95"/>
      <c r="AZ34" s="95"/>
      <c r="BA34" s="96"/>
      <c r="BB34" s="96"/>
      <c r="BC34" s="96"/>
      <c r="BD34" s="95"/>
      <c r="BE34" s="95"/>
      <c r="BF34" s="96"/>
      <c r="BG34" s="95"/>
      <c r="BH34" s="95"/>
      <c r="BI34" s="96"/>
      <c r="BJ34" s="97" t="s">
        <v>182</v>
      </c>
      <c r="BK34" s="98" t="str">
        <f t="shared" si="3"/>
        <v>Cost-saving</v>
      </c>
      <c r="BL34" s="98">
        <f t="shared" si="3"/>
        <v>0</v>
      </c>
      <c r="BM34" s="98">
        <f t="shared" si="3"/>
        <v>0</v>
      </c>
      <c r="BN34" s="99" t="s">
        <v>183</v>
      </c>
      <c r="BO34" s="100"/>
      <c r="BP34" s="100"/>
      <c r="BQ34" s="99" t="s">
        <v>183</v>
      </c>
      <c r="BR34" s="100"/>
      <c r="BS34" s="100"/>
      <c r="BT34" s="99" t="s">
        <v>183</v>
      </c>
      <c r="BU34" s="100"/>
      <c r="BV34" s="100"/>
      <c r="BW34" s="109" t="s">
        <v>211</v>
      </c>
      <c r="BX34" s="85" t="s">
        <v>256</v>
      </c>
      <c r="BY34" s="83" t="s">
        <v>256</v>
      </c>
      <c r="BZ34" s="102">
        <v>2018</v>
      </c>
      <c r="CA34" s="98"/>
      <c r="CB34" s="98"/>
      <c r="CC34" s="103">
        <f t="shared" si="4"/>
        <v>123</v>
      </c>
      <c r="CD34" s="98" t="s">
        <v>213</v>
      </c>
      <c r="CE34" s="98" t="s">
        <v>214</v>
      </c>
      <c r="CF34" s="98"/>
      <c r="CG34" s="105">
        <v>1</v>
      </c>
      <c r="CH34" s="105" t="str">
        <f>IF(CK34=0,"",IF(V34="Persistent",5,IF(V34="Once",1,IF(V34="One-off",1,"manual overwrite"))))</f>
        <v/>
      </c>
      <c r="CI34" s="105"/>
      <c r="CJ34" s="98">
        <f t="shared" si="5"/>
        <v>0</v>
      </c>
      <c r="CK34" s="98">
        <f>IF(CA34="C",0,IF(P34="Het",0,IF(SUM(AG34,AO34)=0,0,1)))</f>
        <v>0</v>
      </c>
      <c r="CL34" s="106" t="e">
        <f>IF(G34="AUS",VLOOKUP(H34,$CU$5:$CW$23,2),IF(G34="NZ",VLOOKUP(H34,$CU$5:$CW$23,3),"error"))*AU34</f>
        <v>#N/A</v>
      </c>
      <c r="CM34" s="107" t="e">
        <f>IF(G34="AUS",VLOOKUP(H34,$CU$5:$CW$23,2),IF(G34="NZ",VLOOKUP(H34,$CU$5:$CW$23,3),"error"))*AX34</f>
        <v>#N/A</v>
      </c>
      <c r="CN34" s="106" t="e">
        <f>IF(G34="AUS",VLOOKUP(H34,$CU$5:$CW$23,2),IF(G34="NZ",VLOOKUP(H34,$CU$5:$CW$23,3),"error"))*BK34</f>
        <v>#N/A</v>
      </c>
    </row>
    <row r="35" spans="1:92" s="108" customFormat="1" ht="290.25" hidden="1">
      <c r="A35" s="83" t="str">
        <f t="shared" si="0"/>
        <v>Tobacco</v>
      </c>
      <c r="B35" s="84" t="s">
        <v>170</v>
      </c>
      <c r="C35" s="85"/>
      <c r="D35" s="86"/>
      <c r="E35" s="85" t="s">
        <v>172</v>
      </c>
      <c r="F35" s="85" t="str">
        <f t="shared" si="1"/>
        <v xml:space="preserve">Tobacco; ; Prevention ; </v>
      </c>
      <c r="G35" s="85" t="s">
        <v>205</v>
      </c>
      <c r="H35" s="85">
        <v>2011</v>
      </c>
      <c r="I35" s="85" t="str">
        <f>CONCATENATE(A35,", ",G35,": ",J35)</f>
        <v>Tobacco, NZ: Combined tobacco endgame strategy (tobacco-free generation + tobacco tax increases + substantive outlet reduction strategy)</v>
      </c>
      <c r="J35" s="87" t="s">
        <v>206</v>
      </c>
      <c r="K35" s="87" t="s">
        <v>230</v>
      </c>
      <c r="L35" s="87" t="s">
        <v>231</v>
      </c>
      <c r="M35" s="87"/>
      <c r="N35" s="87"/>
      <c r="O35" s="87"/>
      <c r="P35" s="85" t="s">
        <v>215</v>
      </c>
      <c r="Q35" s="85" t="str">
        <f>IF($P35="Main",J35,BX35)</f>
        <v xml:space="preserve">in Māori men </v>
      </c>
      <c r="R35" s="85" t="str">
        <f>IF($P35="Main",CONCATENATE(J35,": ",G35),BY35)</f>
        <v xml:space="preserve">in Māori men </v>
      </c>
      <c r="S35" s="85"/>
      <c r="T35" s="85"/>
      <c r="U35" s="85"/>
      <c r="V35" s="88"/>
      <c r="W35" s="88"/>
      <c r="X35" s="88"/>
      <c r="Y35" s="85"/>
      <c r="Z35" s="85"/>
      <c r="AA35" s="85"/>
      <c r="AB35" s="85"/>
      <c r="AC35" s="89"/>
      <c r="AD35" s="83"/>
      <c r="AE35" s="83"/>
      <c r="AF35" s="83"/>
      <c r="AG35" s="90">
        <v>22700</v>
      </c>
      <c r="AH35" s="90"/>
      <c r="AI35" s="90"/>
      <c r="AJ35" s="91">
        <v>330900</v>
      </c>
      <c r="AK35" s="92">
        <f t="shared" si="2"/>
        <v>68.600785735871867</v>
      </c>
      <c r="AL35" s="92"/>
      <c r="AM35" s="92"/>
      <c r="AN35" s="93"/>
      <c r="AO35" s="94"/>
      <c r="AP35" s="94"/>
      <c r="AQ35" s="94"/>
      <c r="AR35" s="95">
        <v>-522000000</v>
      </c>
      <c r="AS35" s="95"/>
      <c r="AT35" s="95"/>
      <c r="AU35" s="95">
        <f t="shared" si="6"/>
        <v>-1577515.8658204896</v>
      </c>
      <c r="AV35" s="95"/>
      <c r="AW35" s="95"/>
      <c r="AX35" s="95"/>
      <c r="AY35" s="95"/>
      <c r="AZ35" s="95"/>
      <c r="BA35" s="96"/>
      <c r="BB35" s="96"/>
      <c r="BC35" s="96"/>
      <c r="BD35" s="95"/>
      <c r="BE35" s="95"/>
      <c r="BF35" s="96"/>
      <c r="BG35" s="95"/>
      <c r="BH35" s="95"/>
      <c r="BI35" s="96"/>
      <c r="BJ35" s="97" t="s">
        <v>182</v>
      </c>
      <c r="BK35" s="98" t="str">
        <f t="shared" ref="BK35:BM66" si="7">IF($BJ35="Y",IF(BN35="",IF(BQ35="",BT35,BQ35),BN35),"")</f>
        <v>Cost-saving</v>
      </c>
      <c r="BL35" s="98">
        <f t="shared" si="7"/>
        <v>0</v>
      </c>
      <c r="BM35" s="98">
        <f t="shared" si="7"/>
        <v>0</v>
      </c>
      <c r="BN35" s="99" t="s">
        <v>183</v>
      </c>
      <c r="BO35" s="100"/>
      <c r="BP35" s="100"/>
      <c r="BQ35" s="99" t="s">
        <v>183</v>
      </c>
      <c r="BR35" s="100"/>
      <c r="BS35" s="100"/>
      <c r="BT35" s="99" t="s">
        <v>183</v>
      </c>
      <c r="BU35" s="100"/>
      <c r="BV35" s="100"/>
      <c r="BW35" s="109" t="s">
        <v>211</v>
      </c>
      <c r="BX35" s="85" t="s">
        <v>257</v>
      </c>
      <c r="BY35" s="83" t="s">
        <v>257</v>
      </c>
      <c r="BZ35" s="102">
        <v>2018</v>
      </c>
      <c r="CA35" s="98"/>
      <c r="CB35" s="98"/>
      <c r="CC35" s="103">
        <f t="shared" si="4"/>
        <v>123</v>
      </c>
      <c r="CD35" s="98" t="s">
        <v>213</v>
      </c>
      <c r="CE35" s="98" t="s">
        <v>214</v>
      </c>
      <c r="CF35" s="98"/>
      <c r="CG35" s="105">
        <v>1</v>
      </c>
      <c r="CH35" s="105" t="str">
        <f>IF(CK35=0,"",IF(V35="Persistent",5,IF(V35="Once",1,IF(V35="One-off",1,"manual overwrite"))))</f>
        <v/>
      </c>
      <c r="CI35" s="105"/>
      <c r="CJ35" s="98">
        <f t="shared" si="5"/>
        <v>0</v>
      </c>
      <c r="CK35" s="98">
        <f>IF(CA35="C",0,IF(P35="Het",0,IF(SUM(AG35,AO35)=0,0,1)))</f>
        <v>0</v>
      </c>
      <c r="CL35" s="106" t="e">
        <f>IF(G35="AUS",VLOOKUP(H35,$CU$5:$CW$23,2),IF(G35="NZ",VLOOKUP(H35,$CU$5:$CW$23,3),"error"))*AU35</f>
        <v>#N/A</v>
      </c>
      <c r="CM35" s="107" t="e">
        <f>IF(G35="AUS",VLOOKUP(H35,$CU$5:$CW$23,2),IF(G35="NZ",VLOOKUP(H35,$CU$5:$CW$23,3),"error"))*AX35</f>
        <v>#N/A</v>
      </c>
      <c r="CN35" s="106" t="e">
        <f>IF(G35="AUS",VLOOKUP(H35,$CU$5:$CW$23,2),IF(G35="NZ",VLOOKUP(H35,$CU$5:$CW$23,3),"error"))*BK35</f>
        <v>#N/A</v>
      </c>
    </row>
    <row r="36" spans="1:92" s="108" customFormat="1" ht="290.25">
      <c r="A36" s="83" t="str">
        <f t="shared" si="0"/>
        <v>Tobacco</v>
      </c>
      <c r="B36" s="84" t="s">
        <v>170</v>
      </c>
      <c r="C36" s="85"/>
      <c r="D36" s="86"/>
      <c r="E36" s="85" t="s">
        <v>172</v>
      </c>
      <c r="F36" s="85" t="str">
        <f t="shared" si="1"/>
        <v xml:space="preserve">Tobacco; ; Prevention ; </v>
      </c>
      <c r="G36" s="85" t="s">
        <v>205</v>
      </c>
      <c r="H36" s="85">
        <v>2011</v>
      </c>
      <c r="I36" s="85" t="str">
        <f>CONCATENATE(A36,", ",G36,": ",J36)</f>
        <v>Tobacco, NZ: Combined tobacco endgame strategy (tobacco-free generation + tobacco tax increases + substantive outlet reduction strategy)</v>
      </c>
      <c r="J36" s="87" t="s">
        <v>206</v>
      </c>
      <c r="K36" s="87" t="s">
        <v>230</v>
      </c>
      <c r="L36" s="87" t="s">
        <v>231</v>
      </c>
      <c r="M36" s="87" t="s">
        <v>258</v>
      </c>
      <c r="N36" s="87" t="s">
        <v>233</v>
      </c>
      <c r="O36" s="87" t="s">
        <v>233</v>
      </c>
      <c r="P36" s="85" t="s">
        <v>215</v>
      </c>
      <c r="Q36" s="85" t="str">
        <f>IF($P36="Main",J36,BX36)</f>
        <v xml:space="preserve">in Māori men age 0-14 yrs </v>
      </c>
      <c r="R36" s="85" t="str">
        <f>IF($P36="Main",CONCATENATE(J36,": ",G36),BY36)</f>
        <v xml:space="preserve">in Māori men age 0-14 yrs </v>
      </c>
      <c r="S36" s="85" t="s">
        <v>234</v>
      </c>
      <c r="T36" s="85" t="s">
        <v>235</v>
      </c>
      <c r="U36" s="85" t="s">
        <v>259</v>
      </c>
      <c r="V36" s="88"/>
      <c r="W36" s="88">
        <v>14</v>
      </c>
      <c r="X36" s="88" t="s">
        <v>199</v>
      </c>
      <c r="Y36" s="85"/>
      <c r="Z36" s="85"/>
      <c r="AA36" s="85"/>
      <c r="AB36" s="85"/>
      <c r="AC36" s="89"/>
      <c r="AD36" s="83"/>
      <c r="AE36" s="83"/>
      <c r="AF36" s="83"/>
      <c r="AG36" s="90">
        <v>11900</v>
      </c>
      <c r="AH36" s="90"/>
      <c r="AI36" s="90"/>
      <c r="AJ36" s="91">
        <v>118100</v>
      </c>
      <c r="AK36" s="92">
        <f t="shared" si="2"/>
        <v>100.76206604572397</v>
      </c>
      <c r="AL36" s="92"/>
      <c r="AM36" s="92"/>
      <c r="AN36" s="93"/>
      <c r="AO36" s="94"/>
      <c r="AP36" s="94"/>
      <c r="AQ36" s="94"/>
      <c r="AR36" s="95">
        <v>-292000000</v>
      </c>
      <c r="AS36" s="95"/>
      <c r="AT36" s="95"/>
      <c r="AU36" s="95">
        <f t="shared" si="6"/>
        <v>-2472480.948348857</v>
      </c>
      <c r="AV36" s="95"/>
      <c r="AW36" s="95"/>
      <c r="AX36" s="95"/>
      <c r="AY36" s="95"/>
      <c r="AZ36" s="95"/>
      <c r="BA36" s="96"/>
      <c r="BB36" s="96"/>
      <c r="BC36" s="96"/>
      <c r="BD36" s="95"/>
      <c r="BE36" s="95"/>
      <c r="BF36" s="96"/>
      <c r="BG36" s="95"/>
      <c r="BH36" s="95"/>
      <c r="BI36" s="96"/>
      <c r="BJ36" s="97" t="s">
        <v>182</v>
      </c>
      <c r="BK36" s="98" t="str">
        <f t="shared" si="7"/>
        <v>Cost-saving</v>
      </c>
      <c r="BL36" s="98">
        <f t="shared" si="7"/>
        <v>0</v>
      </c>
      <c r="BM36" s="98">
        <f t="shared" si="7"/>
        <v>0</v>
      </c>
      <c r="BN36" s="99" t="s">
        <v>183</v>
      </c>
      <c r="BO36" s="100"/>
      <c r="BP36" s="100"/>
      <c r="BQ36" s="99" t="s">
        <v>183</v>
      </c>
      <c r="BR36" s="100"/>
      <c r="BS36" s="100"/>
      <c r="BT36" s="99" t="s">
        <v>183</v>
      </c>
      <c r="BU36" s="100"/>
      <c r="BV36" s="100"/>
      <c r="BW36" s="109" t="s">
        <v>211</v>
      </c>
      <c r="BX36" s="85" t="s">
        <v>260</v>
      </c>
      <c r="BY36" s="83" t="s">
        <v>260</v>
      </c>
      <c r="BZ36" s="102">
        <v>2018</v>
      </c>
      <c r="CA36" s="98"/>
      <c r="CB36" s="98"/>
      <c r="CC36" s="103">
        <f t="shared" si="4"/>
        <v>123</v>
      </c>
      <c r="CD36" s="98" t="s">
        <v>213</v>
      </c>
      <c r="CE36" s="98" t="s">
        <v>214</v>
      </c>
      <c r="CF36" s="98"/>
      <c r="CG36" s="105">
        <v>1</v>
      </c>
      <c r="CH36" s="105" t="str">
        <f>IF(CK36=0,"",IF(V36="Persistent",5,IF(V36="Once",1,IF(V36="One-off",1,"manual overwrite"))))</f>
        <v/>
      </c>
      <c r="CI36" s="105"/>
      <c r="CJ36" s="98">
        <f t="shared" si="5"/>
        <v>0</v>
      </c>
      <c r="CK36" s="98">
        <f>IF(CA36="C",0,IF(P36="Het",0,IF(SUM(AG36,AO36)=0,0,1)))</f>
        <v>0</v>
      </c>
      <c r="CL36" s="106" t="e">
        <f>IF(G36="AUS",VLOOKUP(H36,$CU$5:$CW$23,2),IF(G36="NZ",VLOOKUP(H36,$CU$5:$CW$23,3),"error"))*AU36</f>
        <v>#N/A</v>
      </c>
      <c r="CM36" s="107" t="e">
        <f>IF(G36="AUS",VLOOKUP(H36,$CU$5:$CW$23,2),IF(G36="NZ",VLOOKUP(H36,$CU$5:$CW$23,3),"error"))*AX36</f>
        <v>#N/A</v>
      </c>
      <c r="CN36" s="106" t="e">
        <f>IF(G36="AUS",VLOOKUP(H36,$CU$5:$CW$23,2),IF(G36="NZ",VLOOKUP(H36,$CU$5:$CW$23,3),"error"))*BK36</f>
        <v>#N/A</v>
      </c>
    </row>
    <row r="37" spans="1:92" s="108" customFormat="1" ht="290.25">
      <c r="A37" s="83" t="str">
        <f t="shared" si="0"/>
        <v>Tobacco</v>
      </c>
      <c r="B37" s="84" t="s">
        <v>170</v>
      </c>
      <c r="C37" s="85"/>
      <c r="D37" s="86"/>
      <c r="E37" s="85" t="s">
        <v>172</v>
      </c>
      <c r="F37" s="85" t="str">
        <f t="shared" si="1"/>
        <v xml:space="preserve">Tobacco; ; Prevention ; </v>
      </c>
      <c r="G37" s="85" t="s">
        <v>205</v>
      </c>
      <c r="H37" s="85">
        <v>2011</v>
      </c>
      <c r="I37" s="85" t="str">
        <f>CONCATENATE(A37,", ",G37,": ",J37)</f>
        <v>Tobacco, NZ: Combined tobacco endgame strategy (tobacco-free generation + tobacco tax increases + substantive outlet reduction strategy)</v>
      </c>
      <c r="J37" s="87" t="s">
        <v>206</v>
      </c>
      <c r="K37" s="87" t="s">
        <v>230</v>
      </c>
      <c r="L37" s="87" t="s">
        <v>231</v>
      </c>
      <c r="M37" s="87" t="s">
        <v>258</v>
      </c>
      <c r="N37" s="87" t="s">
        <v>233</v>
      </c>
      <c r="O37" s="87" t="s">
        <v>233</v>
      </c>
      <c r="P37" s="85" t="s">
        <v>215</v>
      </c>
      <c r="Q37" s="85" t="str">
        <f>IF($P37="Main",J37,BX37)</f>
        <v>in Māori men age 15-24 yrs</v>
      </c>
      <c r="R37" s="85" t="str">
        <f>IF($P37="Main",CONCATENATE(J37,": ",G37),BY37)</f>
        <v>in Māori men age 15-24 yrs</v>
      </c>
      <c r="S37" s="85" t="s">
        <v>239</v>
      </c>
      <c r="T37" s="85" t="s">
        <v>235</v>
      </c>
      <c r="U37" s="85" t="s">
        <v>259</v>
      </c>
      <c r="V37" s="88"/>
      <c r="W37" s="88">
        <v>14</v>
      </c>
      <c r="X37" s="88" t="s">
        <v>199</v>
      </c>
      <c r="Y37" s="85"/>
      <c r="Z37" s="85"/>
      <c r="AA37" s="85"/>
      <c r="AB37" s="85"/>
      <c r="AC37" s="89"/>
      <c r="AD37" s="83"/>
      <c r="AE37" s="83"/>
      <c r="AF37" s="83"/>
      <c r="AG37" s="90">
        <v>7120</v>
      </c>
      <c r="AH37" s="90"/>
      <c r="AI37" s="90"/>
      <c r="AJ37" s="91">
        <v>64800</v>
      </c>
      <c r="AK37" s="92">
        <f t="shared" si="2"/>
        <v>109.87654320987654</v>
      </c>
      <c r="AL37" s="92"/>
      <c r="AM37" s="92"/>
      <c r="AN37" s="93"/>
      <c r="AO37" s="94"/>
      <c r="AP37" s="94"/>
      <c r="AQ37" s="94"/>
      <c r="AR37" s="95">
        <v>-166000000</v>
      </c>
      <c r="AS37" s="95"/>
      <c r="AT37" s="95"/>
      <c r="AU37" s="95">
        <f t="shared" si="6"/>
        <v>-2561728.3950617285</v>
      </c>
      <c r="AV37" s="95"/>
      <c r="AW37" s="95"/>
      <c r="AX37" s="95"/>
      <c r="AY37" s="95"/>
      <c r="AZ37" s="95"/>
      <c r="BA37" s="96"/>
      <c r="BB37" s="96"/>
      <c r="BC37" s="96"/>
      <c r="BD37" s="95"/>
      <c r="BE37" s="95"/>
      <c r="BF37" s="96"/>
      <c r="BG37" s="95"/>
      <c r="BH37" s="95"/>
      <c r="BI37" s="96"/>
      <c r="BJ37" s="97" t="s">
        <v>182</v>
      </c>
      <c r="BK37" s="98" t="str">
        <f t="shared" si="7"/>
        <v>Cost-saving</v>
      </c>
      <c r="BL37" s="98">
        <f t="shared" si="7"/>
        <v>0</v>
      </c>
      <c r="BM37" s="98">
        <f t="shared" si="7"/>
        <v>0</v>
      </c>
      <c r="BN37" s="99" t="s">
        <v>183</v>
      </c>
      <c r="BO37" s="100"/>
      <c r="BP37" s="100"/>
      <c r="BQ37" s="99" t="s">
        <v>183</v>
      </c>
      <c r="BR37" s="100"/>
      <c r="BS37" s="100"/>
      <c r="BT37" s="99" t="s">
        <v>183</v>
      </c>
      <c r="BU37" s="100"/>
      <c r="BV37" s="100"/>
      <c r="BW37" s="109" t="s">
        <v>211</v>
      </c>
      <c r="BX37" s="85" t="s">
        <v>261</v>
      </c>
      <c r="BY37" s="83" t="s">
        <v>261</v>
      </c>
      <c r="BZ37" s="102">
        <v>2018</v>
      </c>
      <c r="CA37" s="98"/>
      <c r="CB37" s="98"/>
      <c r="CC37" s="103">
        <f t="shared" si="4"/>
        <v>123</v>
      </c>
      <c r="CD37" s="98" t="s">
        <v>213</v>
      </c>
      <c r="CE37" s="98" t="s">
        <v>214</v>
      </c>
      <c r="CF37" s="98"/>
      <c r="CG37" s="105">
        <v>1</v>
      </c>
      <c r="CH37" s="105" t="str">
        <f>IF(CK37=0,"",IF(V37="Persistent",5,IF(V37="Once",1,IF(V37="One-off",1,"manual overwrite"))))</f>
        <v/>
      </c>
      <c r="CI37" s="105"/>
      <c r="CJ37" s="98">
        <f t="shared" si="5"/>
        <v>0</v>
      </c>
      <c r="CK37" s="98">
        <f>IF(CA37="C",0,IF(P37="Het",0,IF(SUM(AG37,AO37)=0,0,1)))</f>
        <v>0</v>
      </c>
      <c r="CL37" s="106" t="e">
        <f>IF(G37="AUS",VLOOKUP(H37,$CU$5:$CW$23,2),IF(G37="NZ",VLOOKUP(H37,$CU$5:$CW$23,3),"error"))*AU37</f>
        <v>#N/A</v>
      </c>
      <c r="CM37" s="107" t="e">
        <f>IF(G37="AUS",VLOOKUP(H37,$CU$5:$CW$23,2),IF(G37="NZ",VLOOKUP(H37,$CU$5:$CW$23,3),"error"))*AX37</f>
        <v>#N/A</v>
      </c>
      <c r="CN37" s="106" t="e">
        <f>IF(G37="AUS",VLOOKUP(H37,$CU$5:$CW$23,2),IF(G37="NZ",VLOOKUP(H37,$CU$5:$CW$23,3),"error"))*BK37</f>
        <v>#N/A</v>
      </c>
    </row>
    <row r="38" spans="1:92" s="108" customFormat="1" ht="290.25">
      <c r="A38" s="83" t="str">
        <f t="shared" si="0"/>
        <v>Tobacco</v>
      </c>
      <c r="B38" s="84" t="s">
        <v>170</v>
      </c>
      <c r="C38" s="85"/>
      <c r="D38" s="86"/>
      <c r="E38" s="85" t="s">
        <v>172</v>
      </c>
      <c r="F38" s="85" t="str">
        <f t="shared" si="1"/>
        <v xml:space="preserve">Tobacco; ; Prevention ; </v>
      </c>
      <c r="G38" s="85" t="s">
        <v>205</v>
      </c>
      <c r="H38" s="85">
        <v>2011</v>
      </c>
      <c r="I38" s="85" t="str">
        <f>CONCATENATE(A38,", ",G38,": ",J38)</f>
        <v>Tobacco, NZ: Combined tobacco endgame strategy (tobacco-free generation + tobacco tax increases + substantive outlet reduction strategy)</v>
      </c>
      <c r="J38" s="87" t="s">
        <v>206</v>
      </c>
      <c r="K38" s="87" t="s">
        <v>230</v>
      </c>
      <c r="L38" s="87" t="s">
        <v>231</v>
      </c>
      <c r="M38" s="87" t="s">
        <v>258</v>
      </c>
      <c r="N38" s="87" t="s">
        <v>233</v>
      </c>
      <c r="O38" s="87" t="s">
        <v>233</v>
      </c>
      <c r="P38" s="85" t="s">
        <v>215</v>
      </c>
      <c r="Q38" s="85" t="str">
        <f>IF($P38="Main",J38,BX38)</f>
        <v>in Māori men age 25-44 yrs</v>
      </c>
      <c r="R38" s="85" t="str">
        <f>IF($P38="Main",CONCATENATE(J38,": ",G38),BY38)</f>
        <v>in Māori men age 25-44 yrs</v>
      </c>
      <c r="S38" s="85" t="s">
        <v>241</v>
      </c>
      <c r="T38" s="85" t="s">
        <v>235</v>
      </c>
      <c r="U38" s="85" t="s">
        <v>259</v>
      </c>
      <c r="V38" s="88"/>
      <c r="W38" s="88">
        <v>14</v>
      </c>
      <c r="X38" s="88" t="s">
        <v>199</v>
      </c>
      <c r="Y38" s="85"/>
      <c r="Z38" s="85"/>
      <c r="AA38" s="85"/>
      <c r="AB38" s="85"/>
      <c r="AC38" s="89"/>
      <c r="AD38" s="83"/>
      <c r="AE38" s="83"/>
      <c r="AF38" s="83"/>
      <c r="AG38" s="90">
        <v>2730</v>
      </c>
      <c r="AH38" s="90"/>
      <c r="AI38" s="90"/>
      <c r="AJ38" s="91">
        <v>78600</v>
      </c>
      <c r="AK38" s="92">
        <f t="shared" si="2"/>
        <v>34.732824427480914</v>
      </c>
      <c r="AL38" s="92"/>
      <c r="AM38" s="92"/>
      <c r="AN38" s="93"/>
      <c r="AO38" s="94"/>
      <c r="AP38" s="94"/>
      <c r="AQ38" s="94"/>
      <c r="AR38" s="95">
        <v>-52300000</v>
      </c>
      <c r="AS38" s="95"/>
      <c r="AT38" s="95"/>
      <c r="AU38" s="95">
        <f t="shared" si="6"/>
        <v>-665394.40203562344</v>
      </c>
      <c r="AV38" s="95"/>
      <c r="AW38" s="95"/>
      <c r="AX38" s="95"/>
      <c r="AY38" s="95"/>
      <c r="AZ38" s="95"/>
      <c r="BA38" s="96"/>
      <c r="BB38" s="96"/>
      <c r="BC38" s="96"/>
      <c r="BD38" s="95"/>
      <c r="BE38" s="95"/>
      <c r="BF38" s="96"/>
      <c r="BG38" s="95"/>
      <c r="BH38" s="95"/>
      <c r="BI38" s="96"/>
      <c r="BJ38" s="97" t="s">
        <v>182</v>
      </c>
      <c r="BK38" s="98" t="str">
        <f t="shared" si="7"/>
        <v>Cost-saving</v>
      </c>
      <c r="BL38" s="98">
        <f t="shared" si="7"/>
        <v>0</v>
      </c>
      <c r="BM38" s="98">
        <f t="shared" si="7"/>
        <v>0</v>
      </c>
      <c r="BN38" s="99" t="s">
        <v>183</v>
      </c>
      <c r="BO38" s="100"/>
      <c r="BP38" s="100"/>
      <c r="BQ38" s="99" t="s">
        <v>183</v>
      </c>
      <c r="BR38" s="100"/>
      <c r="BS38" s="100"/>
      <c r="BT38" s="99" t="s">
        <v>183</v>
      </c>
      <c r="BU38" s="100"/>
      <c r="BV38" s="100"/>
      <c r="BW38" s="109" t="s">
        <v>211</v>
      </c>
      <c r="BX38" s="85" t="s">
        <v>262</v>
      </c>
      <c r="BY38" s="83" t="s">
        <v>262</v>
      </c>
      <c r="BZ38" s="102">
        <v>2018</v>
      </c>
      <c r="CA38" s="98"/>
      <c r="CB38" s="98"/>
      <c r="CC38" s="103">
        <f t="shared" si="4"/>
        <v>123</v>
      </c>
      <c r="CD38" s="98" t="s">
        <v>213</v>
      </c>
      <c r="CE38" s="98" t="s">
        <v>214</v>
      </c>
      <c r="CF38" s="98"/>
      <c r="CG38" s="105">
        <v>1</v>
      </c>
      <c r="CH38" s="105" t="str">
        <f>IF(CK38=0,"",IF(V38="Persistent",5,IF(V38="Once",1,IF(V38="One-off",1,"manual overwrite"))))</f>
        <v/>
      </c>
      <c r="CI38" s="105"/>
      <c r="CJ38" s="98">
        <f t="shared" si="5"/>
        <v>0</v>
      </c>
      <c r="CK38" s="98">
        <f>IF(CA38="C",0,IF(P38="Het",0,IF(SUM(AG38,AO38)=0,0,1)))</f>
        <v>0</v>
      </c>
      <c r="CL38" s="106" t="e">
        <f>IF(G38="AUS",VLOOKUP(H38,$CU$5:$CW$23,2),IF(G38="NZ",VLOOKUP(H38,$CU$5:$CW$23,3),"error"))*AU38</f>
        <v>#N/A</v>
      </c>
      <c r="CM38" s="107" t="e">
        <f>IF(G38="AUS",VLOOKUP(H38,$CU$5:$CW$23,2),IF(G38="NZ",VLOOKUP(H38,$CU$5:$CW$23,3),"error"))*AX38</f>
        <v>#N/A</v>
      </c>
      <c r="CN38" s="106" t="e">
        <f>IF(G38="AUS",VLOOKUP(H38,$CU$5:$CW$23,2),IF(G38="NZ",VLOOKUP(H38,$CU$5:$CW$23,3),"error"))*BK38</f>
        <v>#N/A</v>
      </c>
    </row>
    <row r="39" spans="1:92" s="108" customFormat="1" ht="290.25">
      <c r="A39" s="83" t="str">
        <f t="shared" si="0"/>
        <v>Tobacco</v>
      </c>
      <c r="B39" s="84" t="s">
        <v>170</v>
      </c>
      <c r="C39" s="85"/>
      <c r="D39" s="86"/>
      <c r="E39" s="85" t="s">
        <v>172</v>
      </c>
      <c r="F39" s="85" t="str">
        <f t="shared" si="1"/>
        <v xml:space="preserve">Tobacco; ; Prevention ; </v>
      </c>
      <c r="G39" s="85" t="s">
        <v>205</v>
      </c>
      <c r="H39" s="85">
        <v>2011</v>
      </c>
      <c r="I39" s="85" t="str">
        <f>CONCATENATE(A39,", ",G39,": ",J39)</f>
        <v>Tobacco, NZ: Combined tobacco endgame strategy (tobacco-free generation + tobacco tax increases + substantive outlet reduction strategy)</v>
      </c>
      <c r="J39" s="87" t="s">
        <v>206</v>
      </c>
      <c r="K39" s="87" t="s">
        <v>230</v>
      </c>
      <c r="L39" s="87" t="s">
        <v>231</v>
      </c>
      <c r="M39" s="87" t="s">
        <v>263</v>
      </c>
      <c r="N39" s="87" t="s">
        <v>233</v>
      </c>
      <c r="O39" s="87" t="s">
        <v>233</v>
      </c>
      <c r="P39" s="85" t="s">
        <v>215</v>
      </c>
      <c r="Q39" s="85" t="str">
        <f>IF($P39="Main",J39,BX39)</f>
        <v>in Māori men age 45-64 yrs</v>
      </c>
      <c r="R39" s="85" t="str">
        <f>IF($P39="Main",CONCATENATE(J39,": ",G39),BY39)</f>
        <v>in Māori men age 45-64 yrs</v>
      </c>
      <c r="S39" s="85" t="s">
        <v>244</v>
      </c>
      <c r="T39" s="85" t="s">
        <v>235</v>
      </c>
      <c r="U39" s="85" t="s">
        <v>259</v>
      </c>
      <c r="V39" s="88"/>
      <c r="W39" s="88">
        <v>14</v>
      </c>
      <c r="X39" s="88" t="s">
        <v>199</v>
      </c>
      <c r="Y39" s="85"/>
      <c r="Z39" s="85"/>
      <c r="AA39" s="85"/>
      <c r="AB39" s="85"/>
      <c r="AC39" s="89"/>
      <c r="AD39" s="83"/>
      <c r="AE39" s="83"/>
      <c r="AF39" s="83"/>
      <c r="AG39" s="90">
        <v>870</v>
      </c>
      <c r="AH39" s="90"/>
      <c r="AI39" s="90"/>
      <c r="AJ39" s="91">
        <v>54800</v>
      </c>
      <c r="AK39" s="92">
        <f t="shared" si="2"/>
        <v>15.875912408759122</v>
      </c>
      <c r="AL39" s="92"/>
      <c r="AM39" s="92"/>
      <c r="AN39" s="93"/>
      <c r="AO39" s="94"/>
      <c r="AP39" s="94"/>
      <c r="AQ39" s="94"/>
      <c r="AR39" s="95">
        <v>-12060000</v>
      </c>
      <c r="AS39" s="95"/>
      <c r="AT39" s="95"/>
      <c r="AU39" s="95">
        <f t="shared" si="6"/>
        <v>-220072.99270072993</v>
      </c>
      <c r="AV39" s="95"/>
      <c r="AW39" s="95"/>
      <c r="AX39" s="95"/>
      <c r="AY39" s="95"/>
      <c r="AZ39" s="95"/>
      <c r="BA39" s="96"/>
      <c r="BB39" s="96"/>
      <c r="BC39" s="96"/>
      <c r="BD39" s="95"/>
      <c r="BE39" s="95"/>
      <c r="BF39" s="96"/>
      <c r="BG39" s="95"/>
      <c r="BH39" s="95"/>
      <c r="BI39" s="96"/>
      <c r="BJ39" s="97" t="s">
        <v>182</v>
      </c>
      <c r="BK39" s="98" t="str">
        <f t="shared" si="7"/>
        <v>Cost-saving</v>
      </c>
      <c r="BL39" s="98">
        <f t="shared" si="7"/>
        <v>0</v>
      </c>
      <c r="BM39" s="98">
        <f t="shared" si="7"/>
        <v>0</v>
      </c>
      <c r="BN39" s="99" t="s">
        <v>183</v>
      </c>
      <c r="BO39" s="100"/>
      <c r="BP39" s="100"/>
      <c r="BQ39" s="99" t="s">
        <v>183</v>
      </c>
      <c r="BR39" s="100"/>
      <c r="BS39" s="100"/>
      <c r="BT39" s="99" t="s">
        <v>183</v>
      </c>
      <c r="BU39" s="100"/>
      <c r="BV39" s="100"/>
      <c r="BW39" s="109" t="s">
        <v>211</v>
      </c>
      <c r="BX39" s="85" t="s">
        <v>264</v>
      </c>
      <c r="BY39" s="83" t="s">
        <v>264</v>
      </c>
      <c r="BZ39" s="102">
        <v>2018</v>
      </c>
      <c r="CA39" s="98"/>
      <c r="CB39" s="98"/>
      <c r="CC39" s="103">
        <f t="shared" si="4"/>
        <v>123</v>
      </c>
      <c r="CD39" s="98" t="s">
        <v>213</v>
      </c>
      <c r="CE39" s="98" t="s">
        <v>214</v>
      </c>
      <c r="CF39" s="98"/>
      <c r="CG39" s="105">
        <v>1</v>
      </c>
      <c r="CH39" s="105" t="str">
        <f>IF(CK39=0,"",IF(V39="Persistent",5,IF(V39="Once",1,IF(V39="One-off",1,"manual overwrite"))))</f>
        <v/>
      </c>
      <c r="CI39" s="105"/>
      <c r="CJ39" s="98">
        <f t="shared" si="5"/>
        <v>0</v>
      </c>
      <c r="CK39" s="98">
        <f>IF(CA39="C",0,IF(P39="Het",0,IF(SUM(AG39,AO39)=0,0,1)))</f>
        <v>0</v>
      </c>
      <c r="CL39" s="106" t="e">
        <f>IF(G39="AUS",VLOOKUP(H39,$CU$5:$CW$23,2),IF(G39="NZ",VLOOKUP(H39,$CU$5:$CW$23,3),"error"))*AU39</f>
        <v>#N/A</v>
      </c>
      <c r="CM39" s="107" t="e">
        <f>IF(G39="AUS",VLOOKUP(H39,$CU$5:$CW$23,2),IF(G39="NZ",VLOOKUP(H39,$CU$5:$CW$23,3),"error"))*AX39</f>
        <v>#N/A</v>
      </c>
      <c r="CN39" s="106" t="e">
        <f>IF(G39="AUS",VLOOKUP(H39,$CU$5:$CW$23,2),IF(G39="NZ",VLOOKUP(H39,$CU$5:$CW$23,3),"error"))*BK39</f>
        <v>#N/A</v>
      </c>
    </row>
    <row r="40" spans="1:92" s="108" customFormat="1" ht="290.25">
      <c r="A40" s="83" t="str">
        <f t="shared" si="0"/>
        <v>Tobacco</v>
      </c>
      <c r="B40" s="84" t="s">
        <v>170</v>
      </c>
      <c r="C40" s="85"/>
      <c r="D40" s="86"/>
      <c r="E40" s="85" t="s">
        <v>172</v>
      </c>
      <c r="F40" s="85" t="str">
        <f t="shared" si="1"/>
        <v xml:space="preserve">Tobacco; ; Prevention ; </v>
      </c>
      <c r="G40" s="85" t="s">
        <v>205</v>
      </c>
      <c r="H40" s="85">
        <v>2011</v>
      </c>
      <c r="I40" s="85" t="str">
        <f>CONCATENATE(A40,", ",G40,": ",J40)</f>
        <v>Tobacco, NZ: Combined tobacco endgame strategy (tobacco-free generation + tobacco tax increases + substantive outlet reduction strategy)</v>
      </c>
      <c r="J40" s="87" t="s">
        <v>206</v>
      </c>
      <c r="K40" s="87" t="s">
        <v>230</v>
      </c>
      <c r="L40" s="87" t="s">
        <v>231</v>
      </c>
      <c r="M40" s="87" t="s">
        <v>243</v>
      </c>
      <c r="N40" s="87" t="s">
        <v>233</v>
      </c>
      <c r="O40" s="87" t="s">
        <v>233</v>
      </c>
      <c r="P40" s="85" t="s">
        <v>215</v>
      </c>
      <c r="Q40" s="85" t="str">
        <f>IF($P40="Main",J40,BX40)</f>
        <v>in Māori men age 65+ yrs</v>
      </c>
      <c r="R40" s="85" t="str">
        <f>IF($P40="Main",CONCATENATE(J40,": ",G40),BY40)</f>
        <v>in Māori men age 65+ yrs</v>
      </c>
      <c r="S40" s="85" t="s">
        <v>247</v>
      </c>
      <c r="T40" s="85" t="s">
        <v>235</v>
      </c>
      <c r="U40" s="85" t="s">
        <v>259</v>
      </c>
      <c r="V40" s="88"/>
      <c r="W40" s="88">
        <v>14</v>
      </c>
      <c r="X40" s="88" t="s">
        <v>199</v>
      </c>
      <c r="Y40" s="85"/>
      <c r="Z40" s="85"/>
      <c r="AA40" s="85"/>
      <c r="AB40" s="85"/>
      <c r="AC40" s="89"/>
      <c r="AD40" s="83"/>
      <c r="AE40" s="83"/>
      <c r="AF40" s="83"/>
      <c r="AG40" s="90">
        <v>25</v>
      </c>
      <c r="AH40" s="90"/>
      <c r="AI40" s="90"/>
      <c r="AJ40" s="91">
        <v>14600</v>
      </c>
      <c r="AK40" s="92">
        <f t="shared" si="2"/>
        <v>1.7123287671232876</v>
      </c>
      <c r="AL40" s="92"/>
      <c r="AM40" s="92"/>
      <c r="AN40" s="93"/>
      <c r="AO40" s="94"/>
      <c r="AP40" s="94"/>
      <c r="AQ40" s="94"/>
      <c r="AR40" s="95">
        <v>-220000</v>
      </c>
      <c r="AS40" s="95"/>
      <c r="AT40" s="95"/>
      <c r="AU40" s="95">
        <f t="shared" si="6"/>
        <v>-15068.493150684932</v>
      </c>
      <c r="AV40" s="95"/>
      <c r="AW40" s="95"/>
      <c r="AX40" s="95"/>
      <c r="AY40" s="95"/>
      <c r="AZ40" s="95"/>
      <c r="BA40" s="96"/>
      <c r="BB40" s="96"/>
      <c r="BC40" s="96"/>
      <c r="BD40" s="95"/>
      <c r="BE40" s="95"/>
      <c r="BF40" s="96"/>
      <c r="BG40" s="95"/>
      <c r="BH40" s="95"/>
      <c r="BI40" s="96"/>
      <c r="BJ40" s="97" t="s">
        <v>182</v>
      </c>
      <c r="BK40" s="98" t="str">
        <f t="shared" si="7"/>
        <v>Cost-saving</v>
      </c>
      <c r="BL40" s="98">
        <f t="shared" si="7"/>
        <v>0</v>
      </c>
      <c r="BM40" s="98">
        <f t="shared" si="7"/>
        <v>0</v>
      </c>
      <c r="BN40" s="99" t="s">
        <v>183</v>
      </c>
      <c r="BO40" s="100"/>
      <c r="BP40" s="100"/>
      <c r="BQ40" s="99" t="s">
        <v>183</v>
      </c>
      <c r="BR40" s="100"/>
      <c r="BS40" s="100"/>
      <c r="BT40" s="99" t="s">
        <v>183</v>
      </c>
      <c r="BU40" s="100"/>
      <c r="BV40" s="100"/>
      <c r="BW40" s="109" t="s">
        <v>211</v>
      </c>
      <c r="BX40" s="85" t="s">
        <v>265</v>
      </c>
      <c r="BY40" s="83" t="s">
        <v>265</v>
      </c>
      <c r="BZ40" s="102">
        <v>2018</v>
      </c>
      <c r="CA40" s="98"/>
      <c r="CB40" s="98"/>
      <c r="CC40" s="103">
        <f t="shared" si="4"/>
        <v>123</v>
      </c>
      <c r="CD40" s="98" t="s">
        <v>213</v>
      </c>
      <c r="CE40" s="98" t="s">
        <v>214</v>
      </c>
      <c r="CF40" s="98"/>
      <c r="CG40" s="105">
        <v>1</v>
      </c>
      <c r="CH40" s="105" t="str">
        <f>IF(CK40=0,"",IF(V40="Persistent",5,IF(V40="Once",1,IF(V40="One-off",1,"manual overwrite"))))</f>
        <v/>
      </c>
      <c r="CI40" s="105"/>
      <c r="CJ40" s="98">
        <f t="shared" si="5"/>
        <v>0</v>
      </c>
      <c r="CK40" s="98">
        <f>IF(CA40="C",0,IF(P40="Het",0,IF(SUM(AG40,AO40)=0,0,1)))</f>
        <v>0</v>
      </c>
      <c r="CL40" s="106" t="e">
        <f>IF(G40="AUS",VLOOKUP(H40,$CU$5:$CW$23,2),IF(G40="NZ",VLOOKUP(H40,$CU$5:$CW$23,3),"error"))*AU40</f>
        <v>#N/A</v>
      </c>
      <c r="CM40" s="107" t="e">
        <f>IF(G40="AUS",VLOOKUP(H40,$CU$5:$CW$23,2),IF(G40="NZ",VLOOKUP(H40,$CU$5:$CW$23,3),"error"))*AX40</f>
        <v>#N/A</v>
      </c>
      <c r="CN40" s="106" t="e">
        <f>IF(G40="AUS",VLOOKUP(H40,$CU$5:$CW$23,2),IF(G40="NZ",VLOOKUP(H40,$CU$5:$CW$23,3),"error"))*BK40</f>
        <v>#N/A</v>
      </c>
    </row>
    <row r="41" spans="1:92" s="108" customFormat="1" ht="290.25" hidden="1">
      <c r="A41" s="83" t="str">
        <f t="shared" si="0"/>
        <v>Tobacco</v>
      </c>
      <c r="B41" s="84" t="s">
        <v>170</v>
      </c>
      <c r="C41" s="85"/>
      <c r="D41" s="86"/>
      <c r="E41" s="85" t="s">
        <v>172</v>
      </c>
      <c r="F41" s="85" t="str">
        <f t="shared" si="1"/>
        <v xml:space="preserve">Tobacco; ; Prevention ; </v>
      </c>
      <c r="G41" s="85" t="s">
        <v>205</v>
      </c>
      <c r="H41" s="85">
        <v>2011</v>
      </c>
      <c r="I41" s="85" t="str">
        <f>CONCATENATE(A41,", ",G41,": ",J41)</f>
        <v>Tobacco, NZ: Combined tobacco endgame strategy (tobacco-free generation + tobacco tax increases + substantive outlet reduction strategy)</v>
      </c>
      <c r="J41" s="87" t="s">
        <v>206</v>
      </c>
      <c r="K41" s="87"/>
      <c r="L41" s="87"/>
      <c r="M41" s="87"/>
      <c r="N41" s="87"/>
      <c r="O41" s="87"/>
      <c r="P41" s="85" t="s">
        <v>215</v>
      </c>
      <c r="Q41" s="85" t="str">
        <f>IF($P41="Main",J41,BX41)</f>
        <v xml:space="preserve">in Māori women </v>
      </c>
      <c r="R41" s="85" t="str">
        <f>IF($P41="Main",CONCATENATE(J41,": ",G41),BY41)</f>
        <v xml:space="preserve">in Māori women </v>
      </c>
      <c r="S41" s="85"/>
      <c r="T41" s="85"/>
      <c r="U41" s="85"/>
      <c r="V41" s="88"/>
      <c r="W41" s="88"/>
      <c r="X41" s="88"/>
      <c r="Y41" s="85"/>
      <c r="Z41" s="85"/>
      <c r="AA41" s="85"/>
      <c r="AB41" s="85"/>
      <c r="AC41" s="89"/>
      <c r="AD41" s="83"/>
      <c r="AE41" s="83"/>
      <c r="AF41" s="83"/>
      <c r="AG41" s="90">
        <v>32200</v>
      </c>
      <c r="AH41" s="90"/>
      <c r="AI41" s="90"/>
      <c r="AJ41" s="91">
        <v>343300</v>
      </c>
      <c r="AK41" s="92">
        <f t="shared" si="2"/>
        <v>93.795514127585207</v>
      </c>
      <c r="AL41" s="92"/>
      <c r="AM41" s="92"/>
      <c r="AN41" s="93"/>
      <c r="AO41" s="94"/>
      <c r="AP41" s="94"/>
      <c r="AQ41" s="94"/>
      <c r="AR41" s="95">
        <v>-402000000</v>
      </c>
      <c r="AS41" s="95"/>
      <c r="AT41" s="95"/>
      <c r="AU41" s="95">
        <f t="shared" si="6"/>
        <v>-1170987.4745120886</v>
      </c>
      <c r="AV41" s="95"/>
      <c r="AW41" s="95"/>
      <c r="AX41" s="95"/>
      <c r="AY41" s="95"/>
      <c r="AZ41" s="95"/>
      <c r="BA41" s="96"/>
      <c r="BB41" s="96"/>
      <c r="BC41" s="96"/>
      <c r="BD41" s="95"/>
      <c r="BE41" s="95"/>
      <c r="BF41" s="96"/>
      <c r="BG41" s="95"/>
      <c r="BH41" s="95"/>
      <c r="BI41" s="96"/>
      <c r="BJ41" s="97" t="s">
        <v>182</v>
      </c>
      <c r="BK41" s="98" t="str">
        <f t="shared" si="7"/>
        <v>Cost-saving</v>
      </c>
      <c r="BL41" s="98">
        <f t="shared" si="7"/>
        <v>0</v>
      </c>
      <c r="BM41" s="98">
        <f t="shared" si="7"/>
        <v>0</v>
      </c>
      <c r="BN41" s="99" t="s">
        <v>183</v>
      </c>
      <c r="BO41" s="100"/>
      <c r="BP41" s="100"/>
      <c r="BQ41" s="99" t="s">
        <v>183</v>
      </c>
      <c r="BR41" s="100"/>
      <c r="BS41" s="100"/>
      <c r="BT41" s="99" t="s">
        <v>183</v>
      </c>
      <c r="BU41" s="100"/>
      <c r="BV41" s="100"/>
      <c r="BW41" s="109" t="s">
        <v>211</v>
      </c>
      <c r="BX41" s="85" t="s">
        <v>266</v>
      </c>
      <c r="BY41" s="83" t="s">
        <v>266</v>
      </c>
      <c r="BZ41" s="102">
        <v>2018</v>
      </c>
      <c r="CA41" s="98"/>
      <c r="CB41" s="98"/>
      <c r="CC41" s="103">
        <f t="shared" si="4"/>
        <v>123</v>
      </c>
      <c r="CD41" s="98" t="s">
        <v>213</v>
      </c>
      <c r="CE41" s="98" t="s">
        <v>214</v>
      </c>
      <c r="CF41" s="98"/>
      <c r="CG41" s="105">
        <v>1</v>
      </c>
      <c r="CH41" s="105" t="str">
        <f>IF(CK41=0,"",IF(V41="Persistent",5,IF(V41="Once",1,IF(V41="One-off",1,"manual overwrite"))))</f>
        <v/>
      </c>
      <c r="CI41" s="105"/>
      <c r="CJ41" s="98">
        <f t="shared" si="5"/>
        <v>0</v>
      </c>
      <c r="CK41" s="98">
        <f>IF(CA41="C",0,IF(P41="Het",0,IF(SUM(AG41,AO41)=0,0,1)))</f>
        <v>0</v>
      </c>
      <c r="CL41" s="106" t="e">
        <f>IF(G41="AUS",VLOOKUP(H41,$CU$5:$CW$23,2),IF(G41="NZ",VLOOKUP(H41,$CU$5:$CW$23,3),"error"))*AU41</f>
        <v>#N/A</v>
      </c>
      <c r="CM41" s="107" t="e">
        <f>IF(G41="AUS",VLOOKUP(H41,$CU$5:$CW$23,2),IF(G41="NZ",VLOOKUP(H41,$CU$5:$CW$23,3),"error"))*AX41</f>
        <v>#N/A</v>
      </c>
      <c r="CN41" s="106" t="e">
        <f>IF(G41="AUS",VLOOKUP(H41,$CU$5:$CW$23,2),IF(G41="NZ",VLOOKUP(H41,$CU$5:$CW$23,3),"error"))*BK41</f>
        <v>#N/A</v>
      </c>
    </row>
    <row r="42" spans="1:92" s="108" customFormat="1" ht="290.25">
      <c r="A42" s="83" t="str">
        <f t="shared" si="0"/>
        <v>Tobacco</v>
      </c>
      <c r="B42" s="84" t="s">
        <v>170</v>
      </c>
      <c r="C42" s="85"/>
      <c r="D42" s="86"/>
      <c r="E42" s="85" t="s">
        <v>172</v>
      </c>
      <c r="F42" s="85" t="str">
        <f t="shared" si="1"/>
        <v xml:space="preserve">Tobacco; ; Prevention ; </v>
      </c>
      <c r="G42" s="85" t="s">
        <v>205</v>
      </c>
      <c r="H42" s="85">
        <v>2011</v>
      </c>
      <c r="I42" s="85" t="str">
        <f>CONCATENATE(A42,", ",G42,": ",J42)</f>
        <v>Tobacco, NZ: Combined tobacco endgame strategy (tobacco-free generation + tobacco tax increases + substantive outlet reduction strategy)</v>
      </c>
      <c r="J42" s="87" t="s">
        <v>206</v>
      </c>
      <c r="K42" s="87" t="s">
        <v>230</v>
      </c>
      <c r="L42" s="87" t="s">
        <v>231</v>
      </c>
      <c r="M42" s="87" t="s">
        <v>258</v>
      </c>
      <c r="N42" s="87" t="s">
        <v>233</v>
      </c>
      <c r="O42" s="87" t="s">
        <v>233</v>
      </c>
      <c r="P42" s="85" t="s">
        <v>215</v>
      </c>
      <c r="Q42" s="85" t="str">
        <f>IF($P42="Main",J42,BX42)</f>
        <v xml:space="preserve">in Māori women age 0-14 yrs </v>
      </c>
      <c r="R42" s="85" t="str">
        <f>IF($P42="Main",CONCATENATE(J42,": ",G42),BY42)</f>
        <v xml:space="preserve">in Māori women age 0-14 yrs </v>
      </c>
      <c r="S42" s="85" t="s">
        <v>234</v>
      </c>
      <c r="T42" s="85" t="s">
        <v>250</v>
      </c>
      <c r="U42" s="85" t="s">
        <v>259</v>
      </c>
      <c r="V42" s="88"/>
      <c r="W42" s="88">
        <v>14</v>
      </c>
      <c r="X42" s="88" t="s">
        <v>199</v>
      </c>
      <c r="Y42" s="85"/>
      <c r="Z42" s="85"/>
      <c r="AA42" s="85"/>
      <c r="AB42" s="85"/>
      <c r="AC42" s="89"/>
      <c r="AD42" s="83"/>
      <c r="AE42" s="83"/>
      <c r="AF42" s="83"/>
      <c r="AG42" s="90">
        <v>16600</v>
      </c>
      <c r="AH42" s="90"/>
      <c r="AI42" s="90"/>
      <c r="AJ42" s="91">
        <v>112600</v>
      </c>
      <c r="AK42" s="92">
        <f t="shared" si="2"/>
        <v>147.42451154529306</v>
      </c>
      <c r="AL42" s="92"/>
      <c r="AM42" s="92"/>
      <c r="AN42" s="93"/>
      <c r="AO42" s="94"/>
      <c r="AP42" s="94"/>
      <c r="AQ42" s="94"/>
      <c r="AR42" s="95">
        <v>-222000000</v>
      </c>
      <c r="AS42" s="95"/>
      <c r="AT42" s="95"/>
      <c r="AU42" s="95">
        <f t="shared" si="6"/>
        <v>-1971580.8170515099</v>
      </c>
      <c r="AV42" s="95"/>
      <c r="AW42" s="95"/>
      <c r="AX42" s="95"/>
      <c r="AY42" s="95"/>
      <c r="AZ42" s="95"/>
      <c r="BA42" s="96"/>
      <c r="BB42" s="96"/>
      <c r="BC42" s="96"/>
      <c r="BD42" s="95"/>
      <c r="BE42" s="95"/>
      <c r="BF42" s="96"/>
      <c r="BG42" s="95"/>
      <c r="BH42" s="95"/>
      <c r="BI42" s="96"/>
      <c r="BJ42" s="97" t="s">
        <v>182</v>
      </c>
      <c r="BK42" s="98" t="str">
        <f t="shared" si="7"/>
        <v>Cost-saving</v>
      </c>
      <c r="BL42" s="98">
        <f t="shared" si="7"/>
        <v>0</v>
      </c>
      <c r="BM42" s="98">
        <f t="shared" si="7"/>
        <v>0</v>
      </c>
      <c r="BN42" s="99" t="s">
        <v>183</v>
      </c>
      <c r="BO42" s="100"/>
      <c r="BP42" s="100"/>
      <c r="BQ42" s="99" t="s">
        <v>183</v>
      </c>
      <c r="BR42" s="100"/>
      <c r="BS42" s="100"/>
      <c r="BT42" s="99" t="s">
        <v>183</v>
      </c>
      <c r="BU42" s="100"/>
      <c r="BV42" s="100"/>
      <c r="BW42" s="109" t="s">
        <v>211</v>
      </c>
      <c r="BX42" s="85" t="s">
        <v>267</v>
      </c>
      <c r="BY42" s="83" t="s">
        <v>267</v>
      </c>
      <c r="BZ42" s="102">
        <v>2018</v>
      </c>
      <c r="CA42" s="98"/>
      <c r="CB42" s="98"/>
      <c r="CC42" s="103">
        <f t="shared" si="4"/>
        <v>123</v>
      </c>
      <c r="CD42" s="98" t="s">
        <v>213</v>
      </c>
      <c r="CE42" s="98" t="s">
        <v>214</v>
      </c>
      <c r="CF42" s="98"/>
      <c r="CG42" s="105">
        <v>1</v>
      </c>
      <c r="CH42" s="105" t="str">
        <f>IF(CK42=0,"",IF(V42="Persistent",5,IF(V42="Once",1,IF(V42="One-off",1,"manual overwrite"))))</f>
        <v/>
      </c>
      <c r="CI42" s="105"/>
      <c r="CJ42" s="98">
        <f t="shared" si="5"/>
        <v>0</v>
      </c>
      <c r="CK42" s="98">
        <f>IF(CA42="C",0,IF(P42="Het",0,IF(SUM(AG42,AO42)=0,0,1)))</f>
        <v>0</v>
      </c>
      <c r="CL42" s="106" t="e">
        <f>IF(G42="AUS",VLOOKUP(H42,$CU$5:$CW$23,2),IF(G42="NZ",VLOOKUP(H42,$CU$5:$CW$23,3),"error"))*AU42</f>
        <v>#N/A</v>
      </c>
      <c r="CM42" s="107" t="e">
        <f>IF(G42="AUS",VLOOKUP(H42,$CU$5:$CW$23,2),IF(G42="NZ",VLOOKUP(H42,$CU$5:$CW$23,3),"error"))*AX42</f>
        <v>#N/A</v>
      </c>
      <c r="CN42" s="106" t="e">
        <f>IF(G42="AUS",VLOOKUP(H42,$CU$5:$CW$23,2),IF(G42="NZ",VLOOKUP(H42,$CU$5:$CW$23,3),"error"))*BK42</f>
        <v>#N/A</v>
      </c>
    </row>
    <row r="43" spans="1:92" s="108" customFormat="1" ht="290.25">
      <c r="A43" s="83" t="str">
        <f t="shared" si="0"/>
        <v>Tobacco</v>
      </c>
      <c r="B43" s="84" t="s">
        <v>170</v>
      </c>
      <c r="C43" s="85"/>
      <c r="D43" s="86"/>
      <c r="E43" s="85" t="s">
        <v>172</v>
      </c>
      <c r="F43" s="85" t="str">
        <f t="shared" si="1"/>
        <v xml:space="preserve">Tobacco; ; Prevention ; </v>
      </c>
      <c r="G43" s="85" t="s">
        <v>205</v>
      </c>
      <c r="H43" s="85">
        <v>2011</v>
      </c>
      <c r="I43" s="85" t="str">
        <f>CONCATENATE(A43,", ",G43,": ",J43)</f>
        <v>Tobacco, NZ: Combined tobacco endgame strategy (tobacco-free generation + tobacco tax increases + substantive outlet reduction strategy)</v>
      </c>
      <c r="J43" s="87" t="s">
        <v>206</v>
      </c>
      <c r="K43" s="87" t="s">
        <v>230</v>
      </c>
      <c r="L43" s="87" t="s">
        <v>231</v>
      </c>
      <c r="M43" s="87" t="s">
        <v>258</v>
      </c>
      <c r="N43" s="87" t="s">
        <v>233</v>
      </c>
      <c r="O43" s="87" t="s">
        <v>233</v>
      </c>
      <c r="P43" s="85" t="s">
        <v>215</v>
      </c>
      <c r="Q43" s="85" t="str">
        <f>IF($P43="Main",J43,BX43)</f>
        <v xml:space="preserve">in Māori women age 15-24 yrs </v>
      </c>
      <c r="R43" s="85" t="str">
        <f>IF($P43="Main",CONCATENATE(J43,": ",G43),BY43)</f>
        <v xml:space="preserve">in Māori women age 15-24 yrs </v>
      </c>
      <c r="S43" s="85" t="s">
        <v>239</v>
      </c>
      <c r="T43" s="85" t="s">
        <v>250</v>
      </c>
      <c r="U43" s="85" t="s">
        <v>259</v>
      </c>
      <c r="V43" s="88"/>
      <c r="W43" s="88">
        <v>14</v>
      </c>
      <c r="X43" s="88" t="s">
        <v>199</v>
      </c>
      <c r="Y43" s="85"/>
      <c r="Z43" s="85"/>
      <c r="AA43" s="85"/>
      <c r="AB43" s="85"/>
      <c r="AC43" s="89"/>
      <c r="AD43" s="83"/>
      <c r="AE43" s="83"/>
      <c r="AF43" s="83"/>
      <c r="AG43" s="90">
        <v>9730</v>
      </c>
      <c r="AH43" s="90"/>
      <c r="AI43" s="90"/>
      <c r="AJ43" s="91">
        <v>62700</v>
      </c>
      <c r="AK43" s="92">
        <f t="shared" si="2"/>
        <v>155.18341307814993</v>
      </c>
      <c r="AL43" s="92"/>
      <c r="AM43" s="92"/>
      <c r="AN43" s="93"/>
      <c r="AO43" s="94"/>
      <c r="AP43" s="94"/>
      <c r="AQ43" s="94"/>
      <c r="AR43" s="95">
        <v>-125000000</v>
      </c>
      <c r="AS43" s="95"/>
      <c r="AT43" s="95"/>
      <c r="AU43" s="95">
        <f t="shared" si="6"/>
        <v>-1993620.4146730462</v>
      </c>
      <c r="AV43" s="95"/>
      <c r="AW43" s="95"/>
      <c r="AX43" s="95"/>
      <c r="AY43" s="95"/>
      <c r="AZ43" s="95"/>
      <c r="BA43" s="96"/>
      <c r="BB43" s="96"/>
      <c r="BC43" s="96"/>
      <c r="BD43" s="95"/>
      <c r="BE43" s="95"/>
      <c r="BF43" s="96"/>
      <c r="BG43" s="95"/>
      <c r="BH43" s="95"/>
      <c r="BI43" s="96"/>
      <c r="BJ43" s="97" t="s">
        <v>182</v>
      </c>
      <c r="BK43" s="98" t="str">
        <f t="shared" si="7"/>
        <v>Cost-saving</v>
      </c>
      <c r="BL43" s="98">
        <f t="shared" si="7"/>
        <v>0</v>
      </c>
      <c r="BM43" s="98">
        <f t="shared" si="7"/>
        <v>0</v>
      </c>
      <c r="BN43" s="99" t="s">
        <v>183</v>
      </c>
      <c r="BO43" s="100"/>
      <c r="BP43" s="100"/>
      <c r="BQ43" s="99" t="s">
        <v>183</v>
      </c>
      <c r="BR43" s="100"/>
      <c r="BS43" s="100"/>
      <c r="BT43" s="99" t="s">
        <v>183</v>
      </c>
      <c r="BU43" s="100"/>
      <c r="BV43" s="100"/>
      <c r="BW43" s="109" t="s">
        <v>211</v>
      </c>
      <c r="BX43" s="85" t="s">
        <v>268</v>
      </c>
      <c r="BY43" s="83" t="s">
        <v>268</v>
      </c>
      <c r="BZ43" s="102">
        <v>2018</v>
      </c>
      <c r="CA43" s="98"/>
      <c r="CB43" s="98"/>
      <c r="CC43" s="103">
        <f t="shared" si="4"/>
        <v>123</v>
      </c>
      <c r="CD43" s="98" t="s">
        <v>213</v>
      </c>
      <c r="CE43" s="98" t="s">
        <v>214</v>
      </c>
      <c r="CF43" s="98"/>
      <c r="CG43" s="105">
        <v>1</v>
      </c>
      <c r="CH43" s="105" t="str">
        <f>IF(CK43=0,"",IF(V43="Persistent",5,IF(V43="Once",1,IF(V43="One-off",1,"manual overwrite"))))</f>
        <v/>
      </c>
      <c r="CI43" s="105"/>
      <c r="CJ43" s="98">
        <f t="shared" si="5"/>
        <v>0</v>
      </c>
      <c r="CK43" s="98">
        <f>IF(CA43="C",0,IF(P43="Het",0,IF(SUM(AG43,AO43)=0,0,1)))</f>
        <v>0</v>
      </c>
      <c r="CL43" s="106" t="e">
        <f>IF(G43="AUS",VLOOKUP(H43,$CU$5:$CW$23,2),IF(G43="NZ",VLOOKUP(H43,$CU$5:$CW$23,3),"error"))*AU43</f>
        <v>#N/A</v>
      </c>
      <c r="CM43" s="107" t="e">
        <f>IF(G43="AUS",VLOOKUP(H43,$CU$5:$CW$23,2),IF(G43="NZ",VLOOKUP(H43,$CU$5:$CW$23,3),"error"))*AX43</f>
        <v>#N/A</v>
      </c>
      <c r="CN43" s="106" t="e">
        <f>IF(G43="AUS",VLOOKUP(H43,$CU$5:$CW$23,2),IF(G43="NZ",VLOOKUP(H43,$CU$5:$CW$23,3),"error"))*BK43</f>
        <v>#N/A</v>
      </c>
    </row>
    <row r="44" spans="1:92" s="108" customFormat="1" ht="290.25">
      <c r="A44" s="83" t="str">
        <f t="shared" si="0"/>
        <v>Tobacco</v>
      </c>
      <c r="B44" s="84" t="s">
        <v>170</v>
      </c>
      <c r="C44" s="85"/>
      <c r="D44" s="86"/>
      <c r="E44" s="85" t="s">
        <v>172</v>
      </c>
      <c r="F44" s="85" t="str">
        <f t="shared" si="1"/>
        <v xml:space="preserve">Tobacco; ; Prevention ; </v>
      </c>
      <c r="G44" s="85" t="s">
        <v>205</v>
      </c>
      <c r="H44" s="85">
        <v>2011</v>
      </c>
      <c r="I44" s="85" t="str">
        <f>CONCATENATE(A44,", ",G44,": ",J44)</f>
        <v>Tobacco, NZ: Combined tobacco endgame strategy (tobacco-free generation + tobacco tax increases + substantive outlet reduction strategy)</v>
      </c>
      <c r="J44" s="87" t="s">
        <v>206</v>
      </c>
      <c r="K44" s="87" t="s">
        <v>230</v>
      </c>
      <c r="L44" s="87" t="s">
        <v>231</v>
      </c>
      <c r="M44" s="87" t="s">
        <v>258</v>
      </c>
      <c r="N44" s="87" t="s">
        <v>233</v>
      </c>
      <c r="O44" s="87" t="s">
        <v>233</v>
      </c>
      <c r="P44" s="85" t="s">
        <v>215</v>
      </c>
      <c r="Q44" s="85" t="str">
        <f>IF($P44="Main",J44,BX44)</f>
        <v xml:space="preserve">in Māori women age 25-44 yrs </v>
      </c>
      <c r="R44" s="85" t="str">
        <f>IF($P44="Main",CONCATENATE(J44,": ",G44),BY44)</f>
        <v xml:space="preserve">in Māori women age 25-44 yrs </v>
      </c>
      <c r="S44" s="85" t="s">
        <v>241</v>
      </c>
      <c r="T44" s="85" t="s">
        <v>250</v>
      </c>
      <c r="U44" s="85" t="s">
        <v>259</v>
      </c>
      <c r="V44" s="88"/>
      <c r="W44" s="88">
        <v>14</v>
      </c>
      <c r="X44" s="88" t="s">
        <v>199</v>
      </c>
      <c r="Y44" s="85"/>
      <c r="Z44" s="85"/>
      <c r="AA44" s="85"/>
      <c r="AB44" s="85"/>
      <c r="AC44" s="89"/>
      <c r="AD44" s="83"/>
      <c r="AE44" s="83"/>
      <c r="AF44" s="83"/>
      <c r="AG44" s="90">
        <v>4330</v>
      </c>
      <c r="AH44" s="90"/>
      <c r="AI44" s="90"/>
      <c r="AJ44" s="91">
        <v>89100</v>
      </c>
      <c r="AK44" s="92">
        <f t="shared" si="2"/>
        <v>48.597081930415264</v>
      </c>
      <c r="AL44" s="92"/>
      <c r="AM44" s="92"/>
      <c r="AN44" s="93"/>
      <c r="AO44" s="94"/>
      <c r="AP44" s="94"/>
      <c r="AQ44" s="94"/>
      <c r="AR44" s="95">
        <v>-44100000</v>
      </c>
      <c r="AS44" s="95"/>
      <c r="AT44" s="95"/>
      <c r="AU44" s="95">
        <f t="shared" si="6"/>
        <v>-494949.49494949495</v>
      </c>
      <c r="AV44" s="95"/>
      <c r="AW44" s="95"/>
      <c r="AX44" s="95"/>
      <c r="AY44" s="95"/>
      <c r="AZ44" s="95"/>
      <c r="BA44" s="96"/>
      <c r="BB44" s="96"/>
      <c r="BC44" s="96"/>
      <c r="BD44" s="95"/>
      <c r="BE44" s="95"/>
      <c r="BF44" s="96"/>
      <c r="BG44" s="95"/>
      <c r="BH44" s="95"/>
      <c r="BI44" s="96"/>
      <c r="BJ44" s="97" t="s">
        <v>182</v>
      </c>
      <c r="BK44" s="98" t="str">
        <f t="shared" si="7"/>
        <v>Cost-saving</v>
      </c>
      <c r="BL44" s="98">
        <f t="shared" si="7"/>
        <v>0</v>
      </c>
      <c r="BM44" s="98">
        <f t="shared" si="7"/>
        <v>0</v>
      </c>
      <c r="BN44" s="99" t="s">
        <v>183</v>
      </c>
      <c r="BO44" s="100"/>
      <c r="BP44" s="100"/>
      <c r="BQ44" s="99" t="s">
        <v>183</v>
      </c>
      <c r="BR44" s="100"/>
      <c r="BS44" s="100"/>
      <c r="BT44" s="99" t="s">
        <v>183</v>
      </c>
      <c r="BU44" s="100"/>
      <c r="BV44" s="100"/>
      <c r="BW44" s="109" t="s">
        <v>211</v>
      </c>
      <c r="BX44" s="85" t="s">
        <v>269</v>
      </c>
      <c r="BY44" s="83" t="s">
        <v>269</v>
      </c>
      <c r="BZ44" s="102">
        <v>2018</v>
      </c>
      <c r="CA44" s="98"/>
      <c r="CB44" s="98"/>
      <c r="CC44" s="103">
        <f t="shared" si="4"/>
        <v>123</v>
      </c>
      <c r="CD44" s="98" t="s">
        <v>213</v>
      </c>
      <c r="CE44" s="98" t="s">
        <v>214</v>
      </c>
      <c r="CF44" s="98"/>
      <c r="CG44" s="105">
        <v>1</v>
      </c>
      <c r="CH44" s="105" t="str">
        <f>IF(CK44=0,"",IF(V44="Persistent",5,IF(V44="Once",1,IF(V44="One-off",1,"manual overwrite"))))</f>
        <v/>
      </c>
      <c r="CI44" s="105"/>
      <c r="CJ44" s="98">
        <f t="shared" si="5"/>
        <v>0</v>
      </c>
      <c r="CK44" s="98">
        <f>IF(CA44="C",0,IF(P44="Het",0,IF(SUM(AG44,AO44)=0,0,1)))</f>
        <v>0</v>
      </c>
      <c r="CL44" s="106" t="e">
        <f>IF(G44="AUS",VLOOKUP(H44,$CU$5:$CW$23,2),IF(G44="NZ",VLOOKUP(H44,$CU$5:$CW$23,3),"error"))*AU44</f>
        <v>#N/A</v>
      </c>
      <c r="CM44" s="107" t="e">
        <f>IF(G44="AUS",VLOOKUP(H44,$CU$5:$CW$23,2),IF(G44="NZ",VLOOKUP(H44,$CU$5:$CW$23,3),"error"))*AX44</f>
        <v>#N/A</v>
      </c>
      <c r="CN44" s="106" t="e">
        <f>IF(G44="AUS",VLOOKUP(H44,$CU$5:$CW$23,2),IF(G44="NZ",VLOOKUP(H44,$CU$5:$CW$23,3),"error"))*BK44</f>
        <v>#N/A</v>
      </c>
    </row>
    <row r="45" spans="1:92" s="108" customFormat="1" ht="290.25">
      <c r="A45" s="83" t="str">
        <f t="shared" si="0"/>
        <v>Tobacco</v>
      </c>
      <c r="B45" s="84" t="s">
        <v>170</v>
      </c>
      <c r="C45" s="85"/>
      <c r="D45" s="86"/>
      <c r="E45" s="85" t="s">
        <v>172</v>
      </c>
      <c r="F45" s="85" t="str">
        <f t="shared" si="1"/>
        <v xml:space="preserve">Tobacco; ; Prevention ; </v>
      </c>
      <c r="G45" s="85" t="s">
        <v>205</v>
      </c>
      <c r="H45" s="85">
        <v>2011</v>
      </c>
      <c r="I45" s="85" t="str">
        <f>CONCATENATE(A45,", ",G45,": ",J45)</f>
        <v>Tobacco, NZ: Combined tobacco endgame strategy (tobacco-free generation + tobacco tax increases + substantive outlet reduction strategy)</v>
      </c>
      <c r="J45" s="87" t="s">
        <v>206</v>
      </c>
      <c r="K45" s="87" t="s">
        <v>230</v>
      </c>
      <c r="L45" s="87" t="s">
        <v>231</v>
      </c>
      <c r="M45" s="87" t="s">
        <v>263</v>
      </c>
      <c r="N45" s="87" t="s">
        <v>233</v>
      </c>
      <c r="O45" s="87" t="s">
        <v>233</v>
      </c>
      <c r="P45" s="85" t="s">
        <v>215</v>
      </c>
      <c r="Q45" s="85" t="str">
        <f>IF($P45="Main",J45,BX45)</f>
        <v xml:space="preserve">in Māori women age 45-64 yrs </v>
      </c>
      <c r="R45" s="85" t="str">
        <f>IF($P45="Main",CONCATENATE(J45,": ",G45),BY45)</f>
        <v xml:space="preserve">in Māori women age 45-64 yrs </v>
      </c>
      <c r="S45" s="85" t="s">
        <v>244</v>
      </c>
      <c r="T45" s="85" t="s">
        <v>250</v>
      </c>
      <c r="U45" s="85" t="s">
        <v>259</v>
      </c>
      <c r="V45" s="88"/>
      <c r="W45" s="88">
        <v>14</v>
      </c>
      <c r="X45" s="88" t="s">
        <v>199</v>
      </c>
      <c r="Y45" s="85"/>
      <c r="Z45" s="85"/>
      <c r="AA45" s="85"/>
      <c r="AB45" s="85"/>
      <c r="AC45" s="89"/>
      <c r="AD45" s="83"/>
      <c r="AE45" s="83"/>
      <c r="AF45" s="83"/>
      <c r="AG45" s="90">
        <v>1480</v>
      </c>
      <c r="AH45" s="90"/>
      <c r="AI45" s="90"/>
      <c r="AJ45" s="91">
        <v>61400</v>
      </c>
      <c r="AK45" s="92">
        <f t="shared" si="2"/>
        <v>24.104234527687296</v>
      </c>
      <c r="AL45" s="92"/>
      <c r="AM45" s="92"/>
      <c r="AN45" s="93"/>
      <c r="AO45" s="94"/>
      <c r="AP45" s="94"/>
      <c r="AQ45" s="94"/>
      <c r="AR45" s="95">
        <v>-10630000</v>
      </c>
      <c r="AS45" s="95"/>
      <c r="AT45" s="95"/>
      <c r="AU45" s="95">
        <f t="shared" si="6"/>
        <v>-173127.0358306189</v>
      </c>
      <c r="AV45" s="95"/>
      <c r="AW45" s="95"/>
      <c r="AX45" s="95"/>
      <c r="AY45" s="95"/>
      <c r="AZ45" s="95"/>
      <c r="BA45" s="96"/>
      <c r="BB45" s="96"/>
      <c r="BC45" s="96"/>
      <c r="BD45" s="95"/>
      <c r="BE45" s="95"/>
      <c r="BF45" s="96"/>
      <c r="BG45" s="95"/>
      <c r="BH45" s="95"/>
      <c r="BI45" s="96"/>
      <c r="BJ45" s="97" t="s">
        <v>182</v>
      </c>
      <c r="BK45" s="98" t="str">
        <f t="shared" si="7"/>
        <v>Cost-saving</v>
      </c>
      <c r="BL45" s="98">
        <f t="shared" si="7"/>
        <v>0</v>
      </c>
      <c r="BM45" s="98">
        <f t="shared" si="7"/>
        <v>0</v>
      </c>
      <c r="BN45" s="99" t="s">
        <v>183</v>
      </c>
      <c r="BO45" s="100"/>
      <c r="BP45" s="100"/>
      <c r="BQ45" s="99" t="s">
        <v>183</v>
      </c>
      <c r="BR45" s="100"/>
      <c r="BS45" s="100"/>
      <c r="BT45" s="99" t="s">
        <v>183</v>
      </c>
      <c r="BU45" s="100"/>
      <c r="BV45" s="100"/>
      <c r="BW45" s="109" t="s">
        <v>211</v>
      </c>
      <c r="BX45" s="85" t="s">
        <v>270</v>
      </c>
      <c r="BY45" s="83" t="s">
        <v>270</v>
      </c>
      <c r="BZ45" s="102">
        <v>2018</v>
      </c>
      <c r="CA45" s="98"/>
      <c r="CB45" s="98"/>
      <c r="CC45" s="103">
        <f t="shared" si="4"/>
        <v>123</v>
      </c>
      <c r="CD45" s="98" t="s">
        <v>213</v>
      </c>
      <c r="CE45" s="98" t="s">
        <v>214</v>
      </c>
      <c r="CF45" s="98"/>
      <c r="CG45" s="105">
        <v>1</v>
      </c>
      <c r="CH45" s="105" t="str">
        <f>IF(CK45=0,"",IF(V45="Persistent",5,IF(V45="Once",1,IF(V45="One-off",1,"manual overwrite"))))</f>
        <v/>
      </c>
      <c r="CI45" s="105"/>
      <c r="CJ45" s="98">
        <f t="shared" si="5"/>
        <v>0</v>
      </c>
      <c r="CK45" s="98">
        <f>IF(CA45="C",0,IF(P45="Het",0,IF(SUM(AG45,AO45)=0,0,1)))</f>
        <v>0</v>
      </c>
      <c r="CL45" s="106" t="e">
        <f>IF(G45="AUS",VLOOKUP(H45,$CU$5:$CW$23,2),IF(G45="NZ",VLOOKUP(H45,$CU$5:$CW$23,3),"error"))*AU45</f>
        <v>#N/A</v>
      </c>
      <c r="CM45" s="107" t="e">
        <f>IF(G45="AUS",VLOOKUP(H45,$CU$5:$CW$23,2),IF(G45="NZ",VLOOKUP(H45,$CU$5:$CW$23,3),"error"))*AX45</f>
        <v>#N/A</v>
      </c>
      <c r="CN45" s="106" t="e">
        <f>IF(G45="AUS",VLOOKUP(H45,$CU$5:$CW$23,2),IF(G45="NZ",VLOOKUP(H45,$CU$5:$CW$23,3),"error"))*BK45</f>
        <v>#N/A</v>
      </c>
    </row>
    <row r="46" spans="1:92" s="108" customFormat="1" ht="290.25">
      <c r="A46" s="83" t="str">
        <f t="shared" si="0"/>
        <v>Tobacco</v>
      </c>
      <c r="B46" s="84" t="s">
        <v>170</v>
      </c>
      <c r="C46" s="85"/>
      <c r="D46" s="86"/>
      <c r="E46" s="85" t="s">
        <v>172</v>
      </c>
      <c r="F46" s="85" t="str">
        <f t="shared" si="1"/>
        <v xml:space="preserve">Tobacco; ; Prevention ; </v>
      </c>
      <c r="G46" s="85" t="s">
        <v>205</v>
      </c>
      <c r="H46" s="85">
        <v>2011</v>
      </c>
      <c r="I46" s="85" t="str">
        <f>CONCATENATE(A46,", ",G46,": ",J46)</f>
        <v>Tobacco, NZ: Combined tobacco endgame strategy (tobacco-free generation + tobacco tax increases + substantive outlet reduction strategy)</v>
      </c>
      <c r="J46" s="87" t="s">
        <v>206</v>
      </c>
      <c r="K46" s="87" t="s">
        <v>230</v>
      </c>
      <c r="L46" s="87" t="s">
        <v>231</v>
      </c>
      <c r="M46" s="87" t="s">
        <v>243</v>
      </c>
      <c r="N46" s="87" t="s">
        <v>233</v>
      </c>
      <c r="O46" s="87" t="s">
        <v>233</v>
      </c>
      <c r="P46" s="85" t="s">
        <v>215</v>
      </c>
      <c r="Q46" s="85" t="str">
        <f>IF($P46="Main",J46,BX46)</f>
        <v xml:space="preserve">in Māori women age 65+ yrs </v>
      </c>
      <c r="R46" s="85" t="str">
        <f>IF($P46="Main",CONCATENATE(J46,": ",G46),BY46)</f>
        <v xml:space="preserve">in Māori women age 65+ yrs </v>
      </c>
      <c r="S46" s="85" t="s">
        <v>247</v>
      </c>
      <c r="T46" s="85" t="s">
        <v>250</v>
      </c>
      <c r="U46" s="85" t="s">
        <v>259</v>
      </c>
      <c r="V46" s="88"/>
      <c r="W46" s="88">
        <v>14</v>
      </c>
      <c r="X46" s="88" t="s">
        <v>199</v>
      </c>
      <c r="Y46" s="85"/>
      <c r="Z46" s="85"/>
      <c r="AA46" s="85"/>
      <c r="AB46" s="85"/>
      <c r="AC46" s="89"/>
      <c r="AD46" s="83"/>
      <c r="AE46" s="83"/>
      <c r="AF46" s="83"/>
      <c r="AG46" s="90">
        <v>55</v>
      </c>
      <c r="AH46" s="90"/>
      <c r="AI46" s="90"/>
      <c r="AJ46" s="91">
        <v>17500</v>
      </c>
      <c r="AK46" s="92">
        <f t="shared" si="2"/>
        <v>3.1428571428571428</v>
      </c>
      <c r="AL46" s="92"/>
      <c r="AM46" s="92"/>
      <c r="AN46" s="93"/>
      <c r="AO46" s="94"/>
      <c r="AP46" s="94"/>
      <c r="AQ46" s="94"/>
      <c r="AR46" s="95">
        <v>-230000</v>
      </c>
      <c r="AS46" s="95"/>
      <c r="AT46" s="95"/>
      <c r="AU46" s="95">
        <f t="shared" si="6"/>
        <v>-13142.857142857143</v>
      </c>
      <c r="AV46" s="95"/>
      <c r="AW46" s="95"/>
      <c r="AX46" s="95"/>
      <c r="AY46" s="95"/>
      <c r="AZ46" s="95"/>
      <c r="BA46" s="96"/>
      <c r="BB46" s="96"/>
      <c r="BC46" s="96"/>
      <c r="BD46" s="95"/>
      <c r="BE46" s="95"/>
      <c r="BF46" s="96"/>
      <c r="BG46" s="95"/>
      <c r="BH46" s="95"/>
      <c r="BI46" s="96"/>
      <c r="BJ46" s="97" t="s">
        <v>182</v>
      </c>
      <c r="BK46" s="98" t="str">
        <f t="shared" si="7"/>
        <v>Cost-saving</v>
      </c>
      <c r="BL46" s="98">
        <f t="shared" si="7"/>
        <v>0</v>
      </c>
      <c r="BM46" s="98">
        <f t="shared" si="7"/>
        <v>0</v>
      </c>
      <c r="BN46" s="99" t="s">
        <v>183</v>
      </c>
      <c r="BO46" s="100"/>
      <c r="BP46" s="100"/>
      <c r="BQ46" s="99" t="s">
        <v>183</v>
      </c>
      <c r="BR46" s="100"/>
      <c r="BS46" s="100"/>
      <c r="BT46" s="99" t="s">
        <v>183</v>
      </c>
      <c r="BU46" s="100"/>
      <c r="BV46" s="100"/>
      <c r="BW46" s="109" t="s">
        <v>211</v>
      </c>
      <c r="BX46" s="85" t="s">
        <v>271</v>
      </c>
      <c r="BY46" s="83" t="s">
        <v>271</v>
      </c>
      <c r="BZ46" s="102">
        <v>2018</v>
      </c>
      <c r="CA46" s="98"/>
      <c r="CB46" s="98"/>
      <c r="CC46" s="103">
        <f t="shared" si="4"/>
        <v>123</v>
      </c>
      <c r="CD46" s="98" t="s">
        <v>213</v>
      </c>
      <c r="CE46" s="98" t="s">
        <v>214</v>
      </c>
      <c r="CF46" s="98"/>
      <c r="CG46" s="105">
        <v>1</v>
      </c>
      <c r="CH46" s="105" t="str">
        <f>IF(CK46=0,"",IF(V46="Persistent",5,IF(V46="Once",1,IF(V46="One-off",1,"manual overwrite"))))</f>
        <v/>
      </c>
      <c r="CI46" s="105"/>
      <c r="CJ46" s="98">
        <f t="shared" si="5"/>
        <v>0</v>
      </c>
      <c r="CK46" s="98">
        <f>IF(CA46="C",0,IF(P46="Het",0,IF(SUM(AG46,AO46)=0,0,1)))</f>
        <v>0</v>
      </c>
      <c r="CL46" s="106" t="e">
        <f>IF(G46="AUS",VLOOKUP(H46,$CU$5:$CW$23,2),IF(G46="NZ",VLOOKUP(H46,$CU$5:$CW$23,3),"error"))*AU46</f>
        <v>#N/A</v>
      </c>
      <c r="CM46" s="107" t="e">
        <f>IF(G46="AUS",VLOOKUP(H46,$CU$5:$CW$23,2),IF(G46="NZ",VLOOKUP(H46,$CU$5:$CW$23,3),"error"))*AX46</f>
        <v>#N/A</v>
      </c>
      <c r="CN46" s="106" t="e">
        <f>IF(G46="AUS",VLOOKUP(H46,$CU$5:$CW$23,2),IF(G46="NZ",VLOOKUP(H46,$CU$5:$CW$23,3),"error"))*BK46</f>
        <v>#N/A</v>
      </c>
    </row>
    <row r="47" spans="1:92" s="108" customFormat="1" ht="183">
      <c r="A47" s="83" t="str">
        <f t="shared" si="0"/>
        <v>Tobacco</v>
      </c>
      <c r="B47" s="85" t="s">
        <v>170</v>
      </c>
      <c r="C47" s="85"/>
      <c r="D47" s="86"/>
      <c r="E47" s="85" t="s">
        <v>172</v>
      </c>
      <c r="F47" s="85" t="str">
        <f t="shared" si="1"/>
        <v xml:space="preserve">Tobacco; ; Prevention ; </v>
      </c>
      <c r="G47" s="85" t="s">
        <v>205</v>
      </c>
      <c r="H47" s="85">
        <v>2011</v>
      </c>
      <c r="I47" s="85" t="str">
        <f>CONCATENATE(A47,", ",G47,": ",J47)</f>
        <v>Tobacco, NZ: Eliminating tobacco sales from outlets within 1 km of schools by law</v>
      </c>
      <c r="J47" s="87" t="s">
        <v>272</v>
      </c>
      <c r="K47" s="87" t="s">
        <v>233</v>
      </c>
      <c r="L47" s="87" t="s">
        <v>273</v>
      </c>
      <c r="M47" s="87" t="s">
        <v>274</v>
      </c>
      <c r="N47" s="87" t="s">
        <v>233</v>
      </c>
      <c r="O47" s="87" t="s">
        <v>275</v>
      </c>
      <c r="P47" s="85" t="s">
        <v>175</v>
      </c>
      <c r="Q47" s="85" t="str">
        <f>IF($P47="Main",J47,BX47)</f>
        <v>Eliminating tobacco sales from outlets within 1 km of schools by law</v>
      </c>
      <c r="R47" s="85" t="str">
        <f>IF($P47="Main",CONCATENATE(J47,": ",G47),BY47)</f>
        <v>Eliminating tobacco sales from outlets within 1 km of schools by law: NZ</v>
      </c>
      <c r="S47" s="85" t="s">
        <v>276</v>
      </c>
      <c r="T47" s="85" t="s">
        <v>276</v>
      </c>
      <c r="U47" s="85" t="s">
        <v>276</v>
      </c>
      <c r="V47" s="88" t="s">
        <v>277</v>
      </c>
      <c r="W47" s="88">
        <v>10</v>
      </c>
      <c r="X47" s="88" t="s">
        <v>199</v>
      </c>
      <c r="Y47" s="85" t="s">
        <v>208</v>
      </c>
      <c r="Z47" s="85" t="s">
        <v>209</v>
      </c>
      <c r="AA47" s="85" t="s">
        <v>179</v>
      </c>
      <c r="AB47" s="85" t="s">
        <v>180</v>
      </c>
      <c r="AC47" s="110">
        <v>0.03</v>
      </c>
      <c r="AD47" s="111"/>
      <c r="AE47" s="83" t="s">
        <v>278</v>
      </c>
      <c r="AF47" s="83"/>
      <c r="AG47" s="112">
        <v>6590</v>
      </c>
      <c r="AH47" s="112">
        <v>3740</v>
      </c>
      <c r="AI47" s="90">
        <v>11000</v>
      </c>
      <c r="AJ47" s="91">
        <v>4410000</v>
      </c>
      <c r="AK47" s="92">
        <f t="shared" si="2"/>
        <v>1.4943310657596371</v>
      </c>
      <c r="AL47" s="92">
        <f t="shared" si="2"/>
        <v>0.84807256235827666</v>
      </c>
      <c r="AM47" s="92">
        <f t="shared" si="2"/>
        <v>2.4943310657596371</v>
      </c>
      <c r="AN47" s="93"/>
      <c r="AO47" s="94"/>
      <c r="AP47" s="94"/>
      <c r="AQ47" s="94"/>
      <c r="AR47" s="95">
        <v>-131000000</v>
      </c>
      <c r="AS47" s="95">
        <v>-73100000</v>
      </c>
      <c r="AT47" s="95">
        <v>-220000000</v>
      </c>
      <c r="AU47" s="95">
        <f t="shared" si="6"/>
        <v>-29705.215419501135</v>
      </c>
      <c r="AV47" s="95">
        <f>1000*AS47/$AJ47</f>
        <v>-16575.963718820862</v>
      </c>
      <c r="AW47" s="95">
        <f>1000*AT47/$AJ47</f>
        <v>-49886.621315192744</v>
      </c>
      <c r="AX47" s="95"/>
      <c r="AY47" s="95"/>
      <c r="AZ47" s="95"/>
      <c r="BA47" s="96"/>
      <c r="BB47" s="96"/>
      <c r="BC47" s="96"/>
      <c r="BD47" s="95"/>
      <c r="BE47" s="95"/>
      <c r="BF47" s="96"/>
      <c r="BG47" s="95"/>
      <c r="BH47" s="95"/>
      <c r="BI47" s="96"/>
      <c r="BJ47" s="97" t="s">
        <v>182</v>
      </c>
      <c r="BK47" s="98" t="str">
        <f t="shared" si="7"/>
        <v>Cost-saving</v>
      </c>
      <c r="BL47" s="98">
        <f t="shared" si="7"/>
        <v>0</v>
      </c>
      <c r="BM47" s="98">
        <f t="shared" si="7"/>
        <v>0</v>
      </c>
      <c r="BN47" s="99" t="s">
        <v>183</v>
      </c>
      <c r="BO47" s="100"/>
      <c r="BP47" s="100"/>
      <c r="BQ47" s="99" t="s">
        <v>183</v>
      </c>
      <c r="BR47" s="100"/>
      <c r="BS47" s="100"/>
      <c r="BT47" s="99" t="s">
        <v>183</v>
      </c>
      <c r="BU47" s="100"/>
      <c r="BV47" s="100"/>
      <c r="BW47" s="113" t="s">
        <v>279</v>
      </c>
      <c r="BX47" s="85" t="s">
        <v>272</v>
      </c>
      <c r="BY47" s="83" t="s">
        <v>280</v>
      </c>
      <c r="BZ47" s="102">
        <v>2016</v>
      </c>
      <c r="CA47" s="98"/>
      <c r="CB47" s="98"/>
      <c r="CC47" s="103">
        <f t="shared" si="4"/>
        <v>68</v>
      </c>
      <c r="CD47" s="98" t="s">
        <v>281</v>
      </c>
      <c r="CE47" s="98" t="s">
        <v>282</v>
      </c>
      <c r="CF47" s="98"/>
      <c r="CG47" s="105">
        <v>1</v>
      </c>
      <c r="CH47" s="105">
        <v>5</v>
      </c>
      <c r="CI47" s="105">
        <f>IF(AA47="Lifetime",2,IF(CJ47=1,2,"manual entry"))</f>
        <v>2</v>
      </c>
      <c r="CJ47" s="98">
        <f t="shared" si="5"/>
        <v>0</v>
      </c>
      <c r="CK47" s="98">
        <f>IF(CA47="C",0,IF(P47="Het",0,IF(SUM(AG47,AO47)=0,0,1)))</f>
        <v>1</v>
      </c>
      <c r="CL47" s="106" t="e">
        <f>IF(G47="AUS",VLOOKUP(H47,$CU$5:$CW$23,2),IF(G47="NZ",VLOOKUP(H47,$CU$5:$CW$23,3),"error"))*AU47</f>
        <v>#N/A</v>
      </c>
      <c r="CM47" s="107" t="e">
        <f>IF(G47="AUS",VLOOKUP(H47,$CU$5:$CW$23,2),IF(G47="NZ",VLOOKUP(H47,$CU$5:$CW$23,3),"error"))*AX47</f>
        <v>#N/A</v>
      </c>
      <c r="CN47" s="106" t="e">
        <f>IF(G47="AUS",VLOOKUP(H47,$CU$5:$CW$23,2),IF(G47="NZ",VLOOKUP(H47,$CU$5:$CW$23,3),"error"))*BK47</f>
        <v>#N/A</v>
      </c>
    </row>
    <row r="48" spans="1:92" s="108" customFormat="1" ht="183">
      <c r="A48" s="83" t="str">
        <f t="shared" si="0"/>
        <v>Tobacco</v>
      </c>
      <c r="B48" s="85" t="s">
        <v>170</v>
      </c>
      <c r="C48" s="85"/>
      <c r="D48" s="86"/>
      <c r="E48" s="85" t="s">
        <v>172</v>
      </c>
      <c r="F48" s="85" t="str">
        <f t="shared" si="1"/>
        <v xml:space="preserve">Tobacco; ; Prevention ; </v>
      </c>
      <c r="G48" s="85" t="s">
        <v>205</v>
      </c>
      <c r="H48" s="85">
        <v>2011</v>
      </c>
      <c r="I48" s="85" t="str">
        <f>CONCATENATE(A48,", ",G48,": ",J48)</f>
        <v>Tobacco, NZ: Eliminating tobacco sales from outlets within 2 km of schools by law</v>
      </c>
      <c r="J48" s="87" t="s">
        <v>283</v>
      </c>
      <c r="K48" s="87" t="s">
        <v>233</v>
      </c>
      <c r="L48" s="87" t="s">
        <v>284</v>
      </c>
      <c r="M48" s="87" t="s">
        <v>285</v>
      </c>
      <c r="N48" s="87" t="s">
        <v>233</v>
      </c>
      <c r="O48" s="87" t="s">
        <v>275</v>
      </c>
      <c r="P48" s="85" t="s">
        <v>175</v>
      </c>
      <c r="Q48" s="85" t="str">
        <f>IF($P48="Main",J48,BX48)</f>
        <v>Eliminating tobacco sales from outlets within 2 km of schools by law</v>
      </c>
      <c r="R48" s="85" t="str">
        <f>IF($P48="Main",CONCATENATE(J48,": ",G48),BY48)</f>
        <v>Eliminating tobacco sales from outlets within 2 km of schools by law: NZ</v>
      </c>
      <c r="S48" s="85" t="s">
        <v>276</v>
      </c>
      <c r="T48" s="85" t="s">
        <v>276</v>
      </c>
      <c r="U48" s="85" t="s">
        <v>276</v>
      </c>
      <c r="V48" s="88" t="s">
        <v>277</v>
      </c>
      <c r="W48" s="88">
        <v>10</v>
      </c>
      <c r="X48" s="88" t="s">
        <v>199</v>
      </c>
      <c r="Y48" s="85" t="s">
        <v>208</v>
      </c>
      <c r="Z48" s="85" t="s">
        <v>209</v>
      </c>
      <c r="AA48" s="85" t="s">
        <v>179</v>
      </c>
      <c r="AB48" s="85" t="s">
        <v>180</v>
      </c>
      <c r="AC48" s="110">
        <v>0.03</v>
      </c>
      <c r="AD48" s="111"/>
      <c r="AE48" s="83" t="s">
        <v>278</v>
      </c>
      <c r="AF48" s="83"/>
      <c r="AG48" s="112">
        <v>18000</v>
      </c>
      <c r="AH48" s="90">
        <v>10200</v>
      </c>
      <c r="AI48" s="90">
        <v>29300</v>
      </c>
      <c r="AJ48" s="91">
        <v>4410000</v>
      </c>
      <c r="AK48" s="92">
        <f t="shared" si="2"/>
        <v>4.0816326530612246</v>
      </c>
      <c r="AL48" s="92">
        <f t="shared" si="2"/>
        <v>2.3129251700680271</v>
      </c>
      <c r="AM48" s="92">
        <f t="shared" si="2"/>
        <v>6.6439909297052155</v>
      </c>
      <c r="AN48" s="93"/>
      <c r="AO48" s="94"/>
      <c r="AP48" s="94"/>
      <c r="AQ48" s="94"/>
      <c r="AR48" s="95">
        <v>-357000000</v>
      </c>
      <c r="AS48" s="95">
        <v>-199000000</v>
      </c>
      <c r="AT48" s="95">
        <v>-593000000</v>
      </c>
      <c r="AU48" s="95">
        <f t="shared" si="6"/>
        <v>-80952.380952380947</v>
      </c>
      <c r="AV48" s="95">
        <f>1000*AS48/$AJ48</f>
        <v>-45124.716553287981</v>
      </c>
      <c r="AW48" s="95">
        <f>1000*AT48/$AJ48</f>
        <v>-134467.12018140589</v>
      </c>
      <c r="AX48" s="95"/>
      <c r="AY48" s="95"/>
      <c r="AZ48" s="95"/>
      <c r="BA48" s="96"/>
      <c r="BB48" s="96"/>
      <c r="BC48" s="96"/>
      <c r="BD48" s="95"/>
      <c r="BE48" s="95"/>
      <c r="BF48" s="96"/>
      <c r="BG48" s="95"/>
      <c r="BH48" s="95"/>
      <c r="BI48" s="96"/>
      <c r="BJ48" s="97" t="s">
        <v>182</v>
      </c>
      <c r="BK48" s="98" t="str">
        <f t="shared" si="7"/>
        <v>Cost-saving</v>
      </c>
      <c r="BL48" s="98">
        <f t="shared" si="7"/>
        <v>0</v>
      </c>
      <c r="BM48" s="98">
        <f t="shared" si="7"/>
        <v>0</v>
      </c>
      <c r="BN48" s="99" t="s">
        <v>183</v>
      </c>
      <c r="BO48" s="100"/>
      <c r="BP48" s="100"/>
      <c r="BQ48" s="99" t="s">
        <v>183</v>
      </c>
      <c r="BR48" s="100"/>
      <c r="BS48" s="100"/>
      <c r="BT48" s="99" t="s">
        <v>183</v>
      </c>
      <c r="BU48" s="100"/>
      <c r="BV48" s="100"/>
      <c r="BW48" s="114" t="s">
        <v>279</v>
      </c>
      <c r="BX48" s="85" t="s">
        <v>283</v>
      </c>
      <c r="BY48" s="83" t="s">
        <v>286</v>
      </c>
      <c r="BZ48" s="102">
        <v>2016</v>
      </c>
      <c r="CA48" s="98"/>
      <c r="CB48" s="98"/>
      <c r="CC48" s="103">
        <f t="shared" si="4"/>
        <v>68</v>
      </c>
      <c r="CD48" s="98" t="s">
        <v>281</v>
      </c>
      <c r="CE48" s="98" t="s">
        <v>282</v>
      </c>
      <c r="CF48" s="98"/>
      <c r="CG48" s="105">
        <v>1</v>
      </c>
      <c r="CH48" s="105">
        <v>5</v>
      </c>
      <c r="CI48" s="105">
        <f>IF(AA48="Lifetime",2,IF(CJ48=1,2,"manual entry"))</f>
        <v>2</v>
      </c>
      <c r="CJ48" s="98">
        <f t="shared" si="5"/>
        <v>0</v>
      </c>
      <c r="CK48" s="98">
        <f>IF(CA48="C",0,IF(P48="Het",0,IF(SUM(AG48,AO48)=0,0,1)))</f>
        <v>1</v>
      </c>
      <c r="CL48" s="106" t="e">
        <f>IF(G48="AUS",VLOOKUP(H48,$CU$5:$CW$23,2),IF(G48="NZ",VLOOKUP(H48,$CU$5:$CW$23,3),"error"))*AU48</f>
        <v>#N/A</v>
      </c>
      <c r="CM48" s="107" t="e">
        <f>IF(G48="AUS",VLOOKUP(H48,$CU$5:$CW$23,2),IF(G48="NZ",VLOOKUP(H48,$CU$5:$CW$23,3),"error"))*AX48</f>
        <v>#N/A</v>
      </c>
      <c r="CN48" s="106" t="e">
        <f>IF(G48="AUS",VLOOKUP(H48,$CU$5:$CW$23,2),IF(G48="NZ",VLOOKUP(H48,$CU$5:$CW$23,3),"error"))*BK48</f>
        <v>#N/A</v>
      </c>
    </row>
    <row r="49" spans="1:92" s="5" customFormat="1" ht="130.5" hidden="1">
      <c r="A49" s="133" t="s">
        <v>170</v>
      </c>
      <c r="B49" s="30" t="s">
        <v>170</v>
      </c>
      <c r="C49" s="30"/>
      <c r="D49" s="30"/>
      <c r="E49" s="30" t="s">
        <v>188</v>
      </c>
      <c r="F49" s="66" t="str">
        <f t="shared" si="1"/>
        <v xml:space="preserve">Tobacco; ; Prevention; </v>
      </c>
      <c r="G49" s="30" t="s">
        <v>205</v>
      </c>
      <c r="H49" s="30">
        <v>2011</v>
      </c>
      <c r="I49" s="30" t="str">
        <f>CONCATENATE(A49,", ",G49,": ",J49)</f>
        <v>Tobacco, NZ: Legalising domestic sale of vaporised nicotine products</v>
      </c>
      <c r="J49" s="134" t="s">
        <v>287</v>
      </c>
      <c r="K49" s="134">
        <v>0</v>
      </c>
      <c r="L49" s="134">
        <v>0</v>
      </c>
      <c r="M49" s="134"/>
      <c r="N49" s="134"/>
      <c r="O49" s="134"/>
      <c r="P49" s="30" t="s">
        <v>175</v>
      </c>
      <c r="Q49" s="66" t="str">
        <f>IF($P49="Main",J49,BX49)</f>
        <v>Legalising domestic sale of vaporised nicotine products</v>
      </c>
      <c r="R49" s="66" t="str">
        <f>IF($P49="Main",CONCATENATE(J49,": ",G49),BY49)</f>
        <v>Legalising domestic sale of vaporised nicotine products: NZ</v>
      </c>
      <c r="S49" s="66"/>
      <c r="T49" s="66"/>
      <c r="U49" s="66"/>
      <c r="V49" s="135" t="s">
        <v>288</v>
      </c>
      <c r="W49" s="135">
        <v>0</v>
      </c>
      <c r="X49" s="135" t="s">
        <v>199</v>
      </c>
      <c r="Y49" s="30" t="s">
        <v>208</v>
      </c>
      <c r="Z49" s="30" t="s">
        <v>289</v>
      </c>
      <c r="AA49" s="30" t="s">
        <v>179</v>
      </c>
      <c r="AB49" s="30" t="s">
        <v>180</v>
      </c>
      <c r="AC49" s="136">
        <v>0.03</v>
      </c>
      <c r="AD49" s="133" t="s">
        <v>181</v>
      </c>
      <c r="AE49" s="133"/>
      <c r="AF49" s="133" t="s">
        <v>290</v>
      </c>
      <c r="AG49" s="137">
        <v>62000</v>
      </c>
      <c r="AH49" s="138">
        <v>11000</v>
      </c>
      <c r="AI49" s="138">
        <v>105000</v>
      </c>
      <c r="AJ49" s="133">
        <v>4410000</v>
      </c>
      <c r="AK49" s="133">
        <f t="shared" si="2"/>
        <v>14.058956916099774</v>
      </c>
      <c r="AL49" s="133">
        <f t="shared" si="2"/>
        <v>2.4943310657596371</v>
      </c>
      <c r="AM49" s="133">
        <f t="shared" si="2"/>
        <v>23.809523809523807</v>
      </c>
      <c r="AN49" s="133"/>
      <c r="AO49" s="133"/>
      <c r="AP49" s="133"/>
      <c r="AQ49" s="133"/>
      <c r="AR49" s="139">
        <v>-1260000000</v>
      </c>
      <c r="AS49" s="139">
        <v>-2170000000</v>
      </c>
      <c r="AT49" s="139">
        <v>-280000000</v>
      </c>
      <c r="AU49" s="139"/>
      <c r="AV49" s="139"/>
      <c r="AW49" s="139"/>
      <c r="AX49" s="139"/>
      <c r="AY49" s="139"/>
      <c r="AZ49" s="139"/>
      <c r="BA49" s="139"/>
      <c r="BB49" s="139"/>
      <c r="BC49" s="139"/>
      <c r="BD49" s="139"/>
      <c r="BE49" s="139"/>
      <c r="BF49" s="139"/>
      <c r="BG49" s="139"/>
      <c r="BH49" s="139"/>
      <c r="BI49" s="139"/>
      <c r="BJ49" s="133" t="s">
        <v>291</v>
      </c>
      <c r="BK49" s="140" t="str">
        <f t="shared" si="7"/>
        <v>Cost-saving</v>
      </c>
      <c r="BL49" s="140" t="str">
        <f t="shared" si="7"/>
        <v>Cost-saving</v>
      </c>
      <c r="BM49" s="140" t="str">
        <f t="shared" si="7"/>
        <v>Cost-saving</v>
      </c>
      <c r="BN49" s="139" t="s">
        <v>183</v>
      </c>
      <c r="BO49" s="139" t="s">
        <v>183</v>
      </c>
      <c r="BP49" s="139" t="s">
        <v>183</v>
      </c>
      <c r="BQ49" s="139"/>
      <c r="BR49" s="139"/>
      <c r="BS49" s="139"/>
      <c r="BT49" s="139"/>
      <c r="BU49" s="139"/>
      <c r="BV49" s="139"/>
      <c r="BW49" s="141" t="s">
        <v>292</v>
      </c>
      <c r="BX49" s="134" t="s">
        <v>287</v>
      </c>
      <c r="BY49" s="134" t="s">
        <v>287</v>
      </c>
      <c r="BZ49" s="133">
        <v>2019</v>
      </c>
      <c r="CA49" s="142"/>
      <c r="CB49" s="142"/>
      <c r="CC49" s="143">
        <f t="shared" si="4"/>
        <v>55</v>
      </c>
      <c r="CD49" s="140" t="s">
        <v>293</v>
      </c>
      <c r="CE49" s="140" t="s">
        <v>294</v>
      </c>
      <c r="CF49" s="140"/>
      <c r="CG49" s="144">
        <v>1</v>
      </c>
      <c r="CH49" s="144">
        <v>5</v>
      </c>
      <c r="CI49" s="144">
        <f>IF(AA49="Lifetime",2,IF(CJ49=1,2,"manual entry"))</f>
        <v>2</v>
      </c>
      <c r="CJ49" s="133">
        <f>IF(CD49="Vos, Carter, Barendregt, Mihalopoulos, Veerman, Magnus, Cobiac, Bertram,
Wallace &amp; ACE-Prevention Team",1,0)</f>
        <v>0</v>
      </c>
      <c r="CK49" s="133">
        <f>IF(CA49="C",0,IF(P49="Het",0,IF(SUM(AG49,AO49)=0,0,1)))</f>
        <v>1</v>
      </c>
      <c r="CL49" s="145" t="e">
        <f>IF(G49="AUS",VLOOKUP(H49,$CU$5:$CW$23,2),IF(G49="NZ",VLOOKUP(H49,$CU$5:$CW$23,3),"error"))*AU49</f>
        <v>#N/A</v>
      </c>
      <c r="CM49" s="140" t="e">
        <f>IF(G49="AUS",VLOOKUP(H49,$CU$5:$CW$23,2),IF(G49="NZ",VLOOKUP(H49,$CU$5:$CW$23,3),"error"))*AX49</f>
        <v>#N/A</v>
      </c>
      <c r="CN49" s="140" t="e">
        <f>IF(G49="AUS",VLOOKUP(H49,$CU$5:$CW$23,2),IF(G49="NZ",VLOOKUP(H49,$CU$5:$CW$23,3),"error"))*BK49</f>
        <v>#N/A</v>
      </c>
    </row>
    <row r="50" spans="1:92" s="5" customFormat="1" ht="130.5" hidden="1">
      <c r="A50" s="133" t="s">
        <v>170</v>
      </c>
      <c r="B50" s="30" t="s">
        <v>170</v>
      </c>
      <c r="C50" s="30"/>
      <c r="D50" s="30"/>
      <c r="E50" s="30" t="s">
        <v>188</v>
      </c>
      <c r="F50" s="66" t="str">
        <f t="shared" si="1"/>
        <v xml:space="preserve">Tobacco; ; Prevention; </v>
      </c>
      <c r="G50" s="30" t="s">
        <v>205</v>
      </c>
      <c r="H50" s="30">
        <v>2011</v>
      </c>
      <c r="I50" s="30" t="str">
        <f>CONCATENATE(A50,", ",G50,": ",J50)</f>
        <v>Tobacco, NZ: Legalising domestic sale of vaporised nicotine products</v>
      </c>
      <c r="J50" s="134" t="s">
        <v>287</v>
      </c>
      <c r="K50" s="134">
        <v>0</v>
      </c>
      <c r="L50" s="134">
        <v>0</v>
      </c>
      <c r="M50" s="134"/>
      <c r="N50" s="134">
        <v>0</v>
      </c>
      <c r="O50" s="134"/>
      <c r="P50" s="30" t="s">
        <v>295</v>
      </c>
      <c r="Q50" s="66" t="str">
        <f>IF($P50="Main",J50,BX50)</f>
        <v>0-14 yr olds</v>
      </c>
      <c r="R50" s="66" t="str">
        <f>IF($P50="Main",P50,BY50)</f>
        <v>0-14 yr olds</v>
      </c>
      <c r="S50" s="66" t="s">
        <v>234</v>
      </c>
      <c r="T50" s="66" t="s">
        <v>276</v>
      </c>
      <c r="U50" s="66" t="s">
        <v>276</v>
      </c>
      <c r="V50" s="135" t="s">
        <v>296</v>
      </c>
      <c r="W50" s="135">
        <v>0</v>
      </c>
      <c r="X50" s="135" t="s">
        <v>199</v>
      </c>
      <c r="Y50" s="30" t="s">
        <v>208</v>
      </c>
      <c r="Z50" s="30" t="s">
        <v>289</v>
      </c>
      <c r="AA50" s="30" t="s">
        <v>179</v>
      </c>
      <c r="AB50" s="30" t="s">
        <v>180</v>
      </c>
      <c r="AC50" s="136">
        <v>0.03</v>
      </c>
      <c r="AD50" s="133" t="s">
        <v>181</v>
      </c>
      <c r="AE50" s="133"/>
      <c r="AF50" s="133"/>
      <c r="AG50" s="137">
        <v>10600</v>
      </c>
      <c r="AH50" s="138">
        <v>-1500</v>
      </c>
      <c r="AI50" s="138">
        <v>26000</v>
      </c>
      <c r="AJ50" s="146">
        <v>894620</v>
      </c>
      <c r="AK50" s="133">
        <f t="shared" si="2"/>
        <v>11.848606112092284</v>
      </c>
      <c r="AL50" s="133">
        <f t="shared" si="2"/>
        <v>-1.6766895441640026</v>
      </c>
      <c r="AM50" s="133">
        <f t="shared" si="2"/>
        <v>29.062618765509381</v>
      </c>
      <c r="AN50" s="133"/>
      <c r="AO50" s="133"/>
      <c r="AP50" s="133"/>
      <c r="AQ50" s="133"/>
      <c r="AR50" s="139">
        <v>-230000000</v>
      </c>
      <c r="AS50" s="139">
        <v>-610000000</v>
      </c>
      <c r="AT50" s="139">
        <v>60000000</v>
      </c>
      <c r="AU50" s="139"/>
      <c r="AV50" s="139"/>
      <c r="AW50" s="139"/>
      <c r="AX50" s="139"/>
      <c r="AY50" s="139"/>
      <c r="AZ50" s="139"/>
      <c r="BA50" s="139"/>
      <c r="BB50" s="139"/>
      <c r="BC50" s="139"/>
      <c r="BD50" s="139"/>
      <c r="BE50" s="139"/>
      <c r="BF50" s="139"/>
      <c r="BG50" s="139"/>
      <c r="BH50" s="139"/>
      <c r="BI50" s="139"/>
      <c r="BJ50" s="133" t="s">
        <v>291</v>
      </c>
      <c r="BK50" s="140" t="str">
        <f t="shared" si="7"/>
        <v>Cost-saving</v>
      </c>
      <c r="BL50" s="140" t="str">
        <f t="shared" si="7"/>
        <v>dominated</v>
      </c>
      <c r="BM50" s="140">
        <f t="shared" si="7"/>
        <v>2307.6923076923076</v>
      </c>
      <c r="BN50" s="139" t="s">
        <v>183</v>
      </c>
      <c r="BO50" s="139" t="s">
        <v>297</v>
      </c>
      <c r="BP50" s="139">
        <f>AT50/AI50</f>
        <v>2307.6923076923076</v>
      </c>
      <c r="BQ50" s="139"/>
      <c r="BR50" s="139"/>
      <c r="BS50" s="139"/>
      <c r="BT50" s="139"/>
      <c r="BU50" s="139"/>
      <c r="BV50" s="139"/>
      <c r="BW50" s="147" t="s">
        <v>292</v>
      </c>
      <c r="BX50" s="30" t="s">
        <v>298</v>
      </c>
      <c r="BY50" s="133" t="s">
        <v>298</v>
      </c>
      <c r="BZ50" s="133">
        <v>2019</v>
      </c>
      <c r="CA50" s="142"/>
      <c r="CB50" s="142"/>
      <c r="CC50" s="143">
        <f t="shared" si="4"/>
        <v>55</v>
      </c>
      <c r="CD50" s="140" t="s">
        <v>293</v>
      </c>
      <c r="CE50" s="140" t="s">
        <v>294</v>
      </c>
      <c r="CF50" s="140"/>
      <c r="CG50" s="144">
        <v>1</v>
      </c>
      <c r="CH50" s="133"/>
      <c r="CI50" s="133"/>
      <c r="CJ50" s="133"/>
      <c r="CK50" s="133">
        <f>IF(CA50="C",0,IF(P50="Het",0,IF(SUM(AG50,AO50)=0,0,1)))</f>
        <v>0</v>
      </c>
      <c r="CL50" s="133"/>
      <c r="CM50" s="133"/>
      <c r="CN50" s="133"/>
    </row>
    <row r="51" spans="1:92" s="5" customFormat="1" ht="130.5" hidden="1">
      <c r="A51" s="133" t="s">
        <v>170</v>
      </c>
      <c r="B51" s="30" t="s">
        <v>170</v>
      </c>
      <c r="C51" s="30"/>
      <c r="D51" s="30"/>
      <c r="E51" s="30" t="s">
        <v>188</v>
      </c>
      <c r="F51" s="66" t="str">
        <f t="shared" si="1"/>
        <v xml:space="preserve">Tobacco; ; Prevention; </v>
      </c>
      <c r="G51" s="30" t="s">
        <v>205</v>
      </c>
      <c r="H51" s="30">
        <v>2011</v>
      </c>
      <c r="I51" s="30" t="str">
        <f>CONCATENATE(A51,", ",G51,": ",J51)</f>
        <v>Tobacco, NZ: Legalising domestic sale of vaporised nicotine products</v>
      </c>
      <c r="J51" s="134" t="s">
        <v>287</v>
      </c>
      <c r="K51" s="134">
        <v>0</v>
      </c>
      <c r="L51" s="134">
        <v>0</v>
      </c>
      <c r="M51" s="134"/>
      <c r="N51" s="134">
        <v>0</v>
      </c>
      <c r="O51" s="134"/>
      <c r="P51" s="30" t="s">
        <v>295</v>
      </c>
      <c r="Q51" s="66" t="str">
        <f>IF($P51="Main",J51,BX51)</f>
        <v>15-24 yr olds</v>
      </c>
      <c r="R51" s="66" t="str">
        <f>IF($P51="Main",P51,BY51)</f>
        <v>15-24 yr olds</v>
      </c>
      <c r="S51" s="66" t="s">
        <v>239</v>
      </c>
      <c r="T51" s="66" t="s">
        <v>276</v>
      </c>
      <c r="U51" s="66" t="s">
        <v>276</v>
      </c>
      <c r="V51" s="135" t="s">
        <v>296</v>
      </c>
      <c r="W51" s="135">
        <v>0</v>
      </c>
      <c r="X51" s="135" t="s">
        <v>199</v>
      </c>
      <c r="Y51" s="30" t="s">
        <v>208</v>
      </c>
      <c r="Z51" s="30" t="s">
        <v>289</v>
      </c>
      <c r="AA51" s="30" t="s">
        <v>179</v>
      </c>
      <c r="AB51" s="30" t="s">
        <v>180</v>
      </c>
      <c r="AC51" s="136">
        <v>0.03</v>
      </c>
      <c r="AD51" s="133" t="s">
        <v>181</v>
      </c>
      <c r="AE51" s="133"/>
      <c r="AF51" s="133"/>
      <c r="AG51" s="137">
        <v>12400</v>
      </c>
      <c r="AH51" s="138">
        <v>3800</v>
      </c>
      <c r="AI51" s="138">
        <v>22500</v>
      </c>
      <c r="AJ51" s="146">
        <v>642430</v>
      </c>
      <c r="AK51" s="133">
        <f t="shared" si="2"/>
        <v>19.301713805395142</v>
      </c>
      <c r="AL51" s="133">
        <f t="shared" si="2"/>
        <v>5.915041327459801</v>
      </c>
      <c r="AM51" s="133">
        <f t="shared" si="2"/>
        <v>35.023271017854086</v>
      </c>
      <c r="AN51" s="133"/>
      <c r="AO51" s="133"/>
      <c r="AP51" s="133"/>
      <c r="AQ51" s="133"/>
      <c r="AR51" s="139">
        <v>-283000000</v>
      </c>
      <c r="AS51" s="139">
        <v>-520000000</v>
      </c>
      <c r="AT51" s="139">
        <v>-91000000</v>
      </c>
      <c r="AU51" s="139"/>
      <c r="AV51" s="139"/>
      <c r="AW51" s="139"/>
      <c r="AX51" s="139"/>
      <c r="AY51" s="139"/>
      <c r="AZ51" s="139"/>
      <c r="BA51" s="139"/>
      <c r="BB51" s="139"/>
      <c r="BC51" s="139"/>
      <c r="BD51" s="139"/>
      <c r="BE51" s="139"/>
      <c r="BF51" s="139"/>
      <c r="BG51" s="139"/>
      <c r="BH51" s="139"/>
      <c r="BI51" s="139"/>
      <c r="BJ51" s="133" t="s">
        <v>291</v>
      </c>
      <c r="BK51" s="140" t="str">
        <f t="shared" si="7"/>
        <v>Cost-saving</v>
      </c>
      <c r="BL51" s="140" t="str">
        <f t="shared" si="7"/>
        <v>Cost-saving</v>
      </c>
      <c r="BM51" s="140" t="str">
        <f t="shared" si="7"/>
        <v>Cost-saving</v>
      </c>
      <c r="BN51" s="139" t="s">
        <v>183</v>
      </c>
      <c r="BO51" s="139" t="s">
        <v>183</v>
      </c>
      <c r="BP51" s="139" t="s">
        <v>183</v>
      </c>
      <c r="BQ51" s="139"/>
      <c r="BR51" s="139"/>
      <c r="BS51" s="139"/>
      <c r="BT51" s="139"/>
      <c r="BU51" s="139"/>
      <c r="BV51" s="139"/>
      <c r="BW51" s="141" t="s">
        <v>292</v>
      </c>
      <c r="BX51" s="30" t="s">
        <v>299</v>
      </c>
      <c r="BY51" s="133" t="s">
        <v>299</v>
      </c>
      <c r="BZ51" s="133">
        <v>2019</v>
      </c>
      <c r="CA51" s="142"/>
      <c r="CB51" s="142"/>
      <c r="CC51" s="143">
        <f t="shared" si="4"/>
        <v>55</v>
      </c>
      <c r="CD51" s="140" t="s">
        <v>293</v>
      </c>
      <c r="CE51" s="140" t="s">
        <v>294</v>
      </c>
      <c r="CF51" s="140"/>
      <c r="CG51" s="144">
        <v>1</v>
      </c>
      <c r="CH51" s="133"/>
      <c r="CI51" s="133"/>
      <c r="CJ51" s="133"/>
      <c r="CK51" s="133">
        <f>IF(CA51="C",0,IF(P51="Het",0,IF(SUM(AG51,AO51)=0,0,1)))</f>
        <v>0</v>
      </c>
      <c r="CL51" s="133"/>
      <c r="CM51" s="133"/>
      <c r="CN51" s="133"/>
    </row>
    <row r="52" spans="1:92" s="5" customFormat="1" ht="130.5" hidden="1">
      <c r="A52" s="133" t="s">
        <v>170</v>
      </c>
      <c r="B52" s="30" t="s">
        <v>170</v>
      </c>
      <c r="C52" s="30"/>
      <c r="D52" s="30"/>
      <c r="E52" s="30" t="s">
        <v>188</v>
      </c>
      <c r="F52" s="66" t="str">
        <f t="shared" si="1"/>
        <v xml:space="preserve">Tobacco; ; Prevention; </v>
      </c>
      <c r="G52" s="30" t="s">
        <v>205</v>
      </c>
      <c r="H52" s="30">
        <v>2011</v>
      </c>
      <c r="I52" s="30" t="str">
        <f>CONCATENATE(A52,", ",G52,": ",J52)</f>
        <v>Tobacco, NZ: Legalising domestic sale of vaporised nicotine products</v>
      </c>
      <c r="J52" s="134" t="s">
        <v>287</v>
      </c>
      <c r="K52" s="134">
        <v>0</v>
      </c>
      <c r="L52" s="134">
        <v>0</v>
      </c>
      <c r="M52" s="134"/>
      <c r="N52" s="134">
        <v>0</v>
      </c>
      <c r="O52" s="134"/>
      <c r="P52" s="30" t="s">
        <v>295</v>
      </c>
      <c r="Q52" s="66" t="str">
        <f>IF($P52="Main",J52,BX52)</f>
        <v>25-44 yr olds</v>
      </c>
      <c r="R52" s="66" t="str">
        <f>IF($P52="Main",P52,BY52)</f>
        <v>25-44 yr olds</v>
      </c>
      <c r="S52" s="66" t="s">
        <v>241</v>
      </c>
      <c r="T52" s="66" t="s">
        <v>276</v>
      </c>
      <c r="U52" s="66" t="s">
        <v>276</v>
      </c>
      <c r="V52" s="135" t="s">
        <v>296</v>
      </c>
      <c r="W52" s="135">
        <v>0</v>
      </c>
      <c r="X52" s="135" t="s">
        <v>199</v>
      </c>
      <c r="Y52" s="30" t="s">
        <v>208</v>
      </c>
      <c r="Z52" s="30" t="s">
        <v>289</v>
      </c>
      <c r="AA52" s="30" t="s">
        <v>179</v>
      </c>
      <c r="AB52" s="30" t="s">
        <v>180</v>
      </c>
      <c r="AC52" s="136">
        <v>0.03</v>
      </c>
      <c r="AD52" s="133" t="s">
        <v>181</v>
      </c>
      <c r="AE52" s="133"/>
      <c r="AF52" s="133"/>
      <c r="AG52" s="137">
        <v>22100</v>
      </c>
      <c r="AH52" s="138">
        <v>4600</v>
      </c>
      <c r="AI52" s="138">
        <v>36300</v>
      </c>
      <c r="AJ52" s="146">
        <v>1169340</v>
      </c>
      <c r="AK52" s="133">
        <f t="shared" si="2"/>
        <v>18.899550173602204</v>
      </c>
      <c r="AL52" s="133">
        <f t="shared" si="2"/>
        <v>3.9338430225597345</v>
      </c>
      <c r="AM52" s="133">
        <f t="shared" si="2"/>
        <v>31.04315254759095</v>
      </c>
      <c r="AN52" s="133"/>
      <c r="AO52" s="133"/>
      <c r="AP52" s="133"/>
      <c r="AQ52" s="133"/>
      <c r="AR52" s="139">
        <v>-480000000</v>
      </c>
      <c r="AS52" s="139">
        <v>-790000000</v>
      </c>
      <c r="AT52" s="139">
        <v>-125000000</v>
      </c>
      <c r="AU52" s="139"/>
      <c r="AV52" s="139"/>
      <c r="AW52" s="139"/>
      <c r="AX52" s="139"/>
      <c r="AY52" s="139"/>
      <c r="AZ52" s="139"/>
      <c r="BA52" s="139"/>
      <c r="BB52" s="139"/>
      <c r="BC52" s="139"/>
      <c r="BD52" s="139"/>
      <c r="BE52" s="139"/>
      <c r="BF52" s="139"/>
      <c r="BG52" s="139"/>
      <c r="BH52" s="139"/>
      <c r="BI52" s="139"/>
      <c r="BJ52" s="133" t="s">
        <v>291</v>
      </c>
      <c r="BK52" s="140" t="str">
        <f t="shared" si="7"/>
        <v>Cost-saving</v>
      </c>
      <c r="BL52" s="140" t="str">
        <f t="shared" si="7"/>
        <v>Cost-saving</v>
      </c>
      <c r="BM52" s="140" t="str">
        <f t="shared" si="7"/>
        <v>Cost-saving</v>
      </c>
      <c r="BN52" s="139" t="s">
        <v>183</v>
      </c>
      <c r="BO52" s="139" t="s">
        <v>183</v>
      </c>
      <c r="BP52" s="139" t="s">
        <v>183</v>
      </c>
      <c r="BQ52" s="139"/>
      <c r="BR52" s="139"/>
      <c r="BS52" s="139"/>
      <c r="BT52" s="139"/>
      <c r="BU52" s="139"/>
      <c r="BV52" s="139"/>
      <c r="BW52" s="141" t="s">
        <v>292</v>
      </c>
      <c r="BX52" s="30" t="s">
        <v>300</v>
      </c>
      <c r="BY52" s="133" t="s">
        <v>300</v>
      </c>
      <c r="BZ52" s="133">
        <v>2019</v>
      </c>
      <c r="CA52" s="142"/>
      <c r="CB52" s="142"/>
      <c r="CC52" s="143">
        <f t="shared" si="4"/>
        <v>55</v>
      </c>
      <c r="CD52" s="140" t="s">
        <v>293</v>
      </c>
      <c r="CE52" s="140" t="s">
        <v>294</v>
      </c>
      <c r="CF52" s="140"/>
      <c r="CG52" s="144">
        <v>1</v>
      </c>
      <c r="CH52" s="133"/>
      <c r="CI52" s="133"/>
      <c r="CJ52" s="133"/>
      <c r="CK52" s="133">
        <f>IF(CA52="C",0,IF(P52="Het",0,IF(SUM(AG52,AO52)=0,0,1)))</f>
        <v>0</v>
      </c>
      <c r="CL52" s="133"/>
      <c r="CM52" s="133"/>
      <c r="CN52" s="133"/>
    </row>
    <row r="53" spans="1:92" s="5" customFormat="1" ht="130.5" hidden="1">
      <c r="A53" s="133" t="s">
        <v>170</v>
      </c>
      <c r="B53" s="30" t="s">
        <v>170</v>
      </c>
      <c r="C53" s="30"/>
      <c r="D53" s="30"/>
      <c r="E53" s="30" t="s">
        <v>188</v>
      </c>
      <c r="F53" s="66" t="str">
        <f t="shared" si="1"/>
        <v xml:space="preserve">Tobacco; ; Prevention; </v>
      </c>
      <c r="G53" s="30" t="s">
        <v>205</v>
      </c>
      <c r="H53" s="30">
        <v>2011</v>
      </c>
      <c r="I53" s="30" t="str">
        <f>CONCATENATE(A53,", ",G53,": ",J53)</f>
        <v>Tobacco, NZ: Legalising domestic sale of vaporised nicotine products</v>
      </c>
      <c r="J53" s="134" t="s">
        <v>287</v>
      </c>
      <c r="K53" s="134">
        <v>0</v>
      </c>
      <c r="L53" s="134">
        <v>0</v>
      </c>
      <c r="M53" s="134"/>
      <c r="N53" s="134">
        <v>0</v>
      </c>
      <c r="O53" s="134"/>
      <c r="P53" s="30" t="s">
        <v>295</v>
      </c>
      <c r="Q53" s="66" t="str">
        <f>IF($P53="Main",J53,BX53)</f>
        <v>45-64 yr olds</v>
      </c>
      <c r="R53" s="66" t="str">
        <f>IF($P53="Main",P53,BY53)</f>
        <v>45-64 yr olds</v>
      </c>
      <c r="S53" s="66" t="s">
        <v>244</v>
      </c>
      <c r="T53" s="66" t="s">
        <v>276</v>
      </c>
      <c r="U53" s="66" t="s">
        <v>276</v>
      </c>
      <c r="V53" s="135" t="s">
        <v>296</v>
      </c>
      <c r="W53" s="135">
        <v>0</v>
      </c>
      <c r="X53" s="135" t="s">
        <v>199</v>
      </c>
      <c r="Y53" s="30" t="s">
        <v>208</v>
      </c>
      <c r="Z53" s="30" t="s">
        <v>289</v>
      </c>
      <c r="AA53" s="30" t="s">
        <v>179</v>
      </c>
      <c r="AB53" s="30" t="s">
        <v>180</v>
      </c>
      <c r="AC53" s="136">
        <v>0.03</v>
      </c>
      <c r="AD53" s="133" t="s">
        <v>181</v>
      </c>
      <c r="AE53" s="133"/>
      <c r="AF53" s="133"/>
      <c r="AG53" s="137">
        <v>15800</v>
      </c>
      <c r="AH53" s="138">
        <v>-1100</v>
      </c>
      <c r="AI53" s="138">
        <v>26600</v>
      </c>
      <c r="AJ53" s="146">
        <v>1111900</v>
      </c>
      <c r="AK53" s="133">
        <f t="shared" si="2"/>
        <v>14.209910963216117</v>
      </c>
      <c r="AL53" s="133">
        <f t="shared" si="2"/>
        <v>-0.98929759870491951</v>
      </c>
      <c r="AM53" s="133">
        <f t="shared" si="2"/>
        <v>23.92301465959169</v>
      </c>
      <c r="AN53" s="133"/>
      <c r="AO53" s="133"/>
      <c r="AP53" s="133"/>
      <c r="AQ53" s="133"/>
      <c r="AR53" s="139">
        <v>-263000000</v>
      </c>
      <c r="AS53" s="139">
        <v>-451000000</v>
      </c>
      <c r="AT53" s="139">
        <v>12000000</v>
      </c>
      <c r="AU53" s="139"/>
      <c r="AV53" s="139"/>
      <c r="AW53" s="139"/>
      <c r="AX53" s="139"/>
      <c r="AY53" s="139"/>
      <c r="AZ53" s="139"/>
      <c r="BA53" s="139"/>
      <c r="BB53" s="139"/>
      <c r="BC53" s="139"/>
      <c r="BD53" s="139"/>
      <c r="BE53" s="139"/>
      <c r="BF53" s="139"/>
      <c r="BG53" s="139"/>
      <c r="BH53" s="139"/>
      <c r="BI53" s="139"/>
      <c r="BJ53" s="133" t="s">
        <v>291</v>
      </c>
      <c r="BK53" s="140" t="str">
        <f t="shared" si="7"/>
        <v>Cost-saving</v>
      </c>
      <c r="BL53" s="140" t="str">
        <f t="shared" si="7"/>
        <v>Cost-saving</v>
      </c>
      <c r="BM53" s="140">
        <f t="shared" si="7"/>
        <v>451.1278195488722</v>
      </c>
      <c r="BN53" s="139" t="s">
        <v>183</v>
      </c>
      <c r="BO53" s="139" t="s">
        <v>183</v>
      </c>
      <c r="BP53" s="139">
        <f>AT53/AI53</f>
        <v>451.1278195488722</v>
      </c>
      <c r="BQ53" s="139"/>
      <c r="BR53" s="139"/>
      <c r="BS53" s="139"/>
      <c r="BT53" s="139"/>
      <c r="BU53" s="139"/>
      <c r="BV53" s="139"/>
      <c r="BW53" s="141" t="s">
        <v>292</v>
      </c>
      <c r="BX53" s="30" t="s">
        <v>301</v>
      </c>
      <c r="BY53" s="133" t="s">
        <v>301</v>
      </c>
      <c r="BZ53" s="133">
        <v>2019</v>
      </c>
      <c r="CA53" s="142"/>
      <c r="CB53" s="142"/>
      <c r="CC53" s="143">
        <f t="shared" si="4"/>
        <v>55</v>
      </c>
      <c r="CD53" s="140" t="s">
        <v>293</v>
      </c>
      <c r="CE53" s="140" t="s">
        <v>294</v>
      </c>
      <c r="CF53" s="140"/>
      <c r="CG53" s="144">
        <v>1</v>
      </c>
      <c r="CH53" s="133"/>
      <c r="CI53" s="133"/>
      <c r="CJ53" s="133"/>
      <c r="CK53" s="133">
        <f>IF(CA53="C",0,IF(P53="Het",0,IF(SUM(AG53,AO53)=0,0,1)))</f>
        <v>0</v>
      </c>
      <c r="CL53" s="133"/>
      <c r="CM53" s="133"/>
      <c r="CN53" s="133"/>
    </row>
    <row r="54" spans="1:92" s="5" customFormat="1" ht="130.5" hidden="1">
      <c r="A54" s="133" t="s">
        <v>170</v>
      </c>
      <c r="B54" s="30" t="s">
        <v>170</v>
      </c>
      <c r="C54" s="30"/>
      <c r="D54" s="30"/>
      <c r="E54" s="30" t="s">
        <v>188</v>
      </c>
      <c r="F54" s="66" t="str">
        <f t="shared" si="1"/>
        <v xml:space="preserve">Tobacco; ; Prevention; </v>
      </c>
      <c r="G54" s="30" t="s">
        <v>205</v>
      </c>
      <c r="H54" s="30">
        <v>2011</v>
      </c>
      <c r="I54" s="30" t="str">
        <f>CONCATENATE(A54,", ",G54,": ",J54)</f>
        <v>Tobacco, NZ: Legalising domestic sale of vaporised nicotine products</v>
      </c>
      <c r="J54" s="134" t="s">
        <v>287</v>
      </c>
      <c r="K54" s="134">
        <v>0</v>
      </c>
      <c r="L54" s="134">
        <v>0</v>
      </c>
      <c r="M54" s="134"/>
      <c r="N54" s="134">
        <v>0</v>
      </c>
      <c r="O54" s="134"/>
      <c r="P54" s="30" t="s">
        <v>295</v>
      </c>
      <c r="Q54" s="66" t="str">
        <f>IF($P54="Main",J54,BX54)</f>
        <v>65+ yr olds</v>
      </c>
      <c r="R54" s="66" t="str">
        <f>IF($P54="Main",P54,BY54)</f>
        <v>65+ yr olds</v>
      </c>
      <c r="S54" s="66" t="s">
        <v>247</v>
      </c>
      <c r="T54" s="66" t="s">
        <v>276</v>
      </c>
      <c r="U54" s="66" t="s">
        <v>276</v>
      </c>
      <c r="V54" s="135" t="s">
        <v>296</v>
      </c>
      <c r="W54" s="135">
        <v>0</v>
      </c>
      <c r="X54" s="135" t="s">
        <v>199</v>
      </c>
      <c r="Y54" s="30" t="s">
        <v>208</v>
      </c>
      <c r="Z54" s="30" t="s">
        <v>289</v>
      </c>
      <c r="AA54" s="30" t="s">
        <v>179</v>
      </c>
      <c r="AB54" s="30" t="s">
        <v>180</v>
      </c>
      <c r="AC54" s="136">
        <v>0.03</v>
      </c>
      <c r="AD54" s="133" t="s">
        <v>181</v>
      </c>
      <c r="AE54" s="133"/>
      <c r="AF54" s="133"/>
      <c r="AG54" s="137">
        <v>1020</v>
      </c>
      <c r="AH54" s="138">
        <v>-2407</v>
      </c>
      <c r="AI54" s="138">
        <v>2460</v>
      </c>
      <c r="AJ54" s="146">
        <v>586980</v>
      </c>
      <c r="AK54" s="133">
        <f t="shared" si="2"/>
        <v>1.7377082694470001</v>
      </c>
      <c r="AL54" s="133">
        <f t="shared" si="2"/>
        <v>-4.1006507887832635</v>
      </c>
      <c r="AM54" s="133">
        <f t="shared" si="2"/>
        <v>4.1909434733721769</v>
      </c>
      <c r="AN54" s="133"/>
      <c r="AO54" s="133"/>
      <c r="AP54" s="133"/>
      <c r="AQ54" s="133"/>
      <c r="AR54" s="139">
        <v>-10000000</v>
      </c>
      <c r="AS54" s="139">
        <v>-24000000</v>
      </c>
      <c r="AT54" s="139">
        <v>23000000</v>
      </c>
      <c r="AU54" s="139"/>
      <c r="AV54" s="139"/>
      <c r="AW54" s="139"/>
      <c r="AX54" s="139"/>
      <c r="AY54" s="139"/>
      <c r="AZ54" s="139"/>
      <c r="BA54" s="139"/>
      <c r="BB54" s="139"/>
      <c r="BC54" s="139"/>
      <c r="BD54" s="139"/>
      <c r="BE54" s="139"/>
      <c r="BF54" s="139"/>
      <c r="BG54" s="139"/>
      <c r="BH54" s="139"/>
      <c r="BI54" s="139"/>
      <c r="BJ54" s="133" t="s">
        <v>291</v>
      </c>
      <c r="BK54" s="140" t="str">
        <f t="shared" si="7"/>
        <v>Cost-saving</v>
      </c>
      <c r="BL54" s="140" t="str">
        <f t="shared" si="7"/>
        <v>Cost-saving</v>
      </c>
      <c r="BM54" s="140">
        <f t="shared" si="7"/>
        <v>9349.5934959349597</v>
      </c>
      <c r="BN54" s="139" t="s">
        <v>183</v>
      </c>
      <c r="BO54" s="139" t="s">
        <v>183</v>
      </c>
      <c r="BP54" s="139">
        <f>AT54/AI54</f>
        <v>9349.5934959349597</v>
      </c>
      <c r="BQ54" s="139"/>
      <c r="BR54" s="139"/>
      <c r="BS54" s="139"/>
      <c r="BT54" s="139"/>
      <c r="BU54" s="139"/>
      <c r="BV54" s="139"/>
      <c r="BW54" s="141" t="s">
        <v>292</v>
      </c>
      <c r="BX54" s="30" t="s">
        <v>302</v>
      </c>
      <c r="BY54" s="133" t="s">
        <v>302</v>
      </c>
      <c r="BZ54" s="133">
        <v>2019</v>
      </c>
      <c r="CA54" s="142"/>
      <c r="CB54" s="142"/>
      <c r="CC54" s="143">
        <f t="shared" si="4"/>
        <v>55</v>
      </c>
      <c r="CD54" s="140" t="s">
        <v>293</v>
      </c>
      <c r="CE54" s="140" t="s">
        <v>294</v>
      </c>
      <c r="CF54" s="140"/>
      <c r="CG54" s="144">
        <v>1</v>
      </c>
      <c r="CH54" s="133"/>
      <c r="CI54" s="133"/>
      <c r="CJ54" s="133"/>
      <c r="CK54" s="133">
        <f>IF(CA54="C",0,IF(P54="Het",0,IF(SUM(AG54,AO54)=0,0,1)))</f>
        <v>0</v>
      </c>
      <c r="CL54" s="133"/>
      <c r="CM54" s="133"/>
      <c r="CN54" s="133"/>
    </row>
    <row r="55" spans="1:92" s="5" customFormat="1" ht="162" hidden="1">
      <c r="A55" s="133" t="s">
        <v>170</v>
      </c>
      <c r="B55" s="30" t="s">
        <v>170</v>
      </c>
      <c r="C55" s="30"/>
      <c r="D55" s="30"/>
      <c r="E55" s="30" t="s">
        <v>188</v>
      </c>
      <c r="F55" s="66" t="str">
        <f t="shared" si="1"/>
        <v xml:space="preserve">Tobacco; ; Prevention; </v>
      </c>
      <c r="G55" s="30" t="s">
        <v>205</v>
      </c>
      <c r="H55" s="30">
        <v>2011</v>
      </c>
      <c r="I55" s="30" t="str">
        <f>CONCATENATE(A55,", ",G55,": ",J55)</f>
        <v>Tobacco, NZ: Mass media promotion of a smartphone app for smoking cessation</v>
      </c>
      <c r="J55" s="134" t="s">
        <v>303</v>
      </c>
      <c r="K55" s="134"/>
      <c r="L55" s="134"/>
      <c r="M55" s="134"/>
      <c r="N55" s="134"/>
      <c r="O55" s="134"/>
      <c r="P55" s="30" t="s">
        <v>175</v>
      </c>
      <c r="Q55" s="66" t="str">
        <f>IF($P55="Main",J55,BX55)</f>
        <v>Mass media promotion of a smartphone app for smoking cessation</v>
      </c>
      <c r="R55" s="66" t="str">
        <f>IF($P55="Main",CONCATENATE(J55,": ",G55),BY55)</f>
        <v>Mass media promotion of a smartphone app for smoking cessation: NZ</v>
      </c>
      <c r="S55" s="66"/>
      <c r="T55" s="66"/>
      <c r="U55" s="66"/>
      <c r="V55" s="135" t="s">
        <v>304</v>
      </c>
      <c r="W55" s="135">
        <v>0</v>
      </c>
      <c r="X55" s="135">
        <v>5</v>
      </c>
      <c r="Y55" s="30" t="s">
        <v>208</v>
      </c>
      <c r="Z55" s="30" t="s">
        <v>289</v>
      </c>
      <c r="AA55" s="30" t="s">
        <v>179</v>
      </c>
      <c r="AB55" s="30"/>
      <c r="AC55" s="136">
        <v>0.03</v>
      </c>
      <c r="AD55" s="133" t="s">
        <v>181</v>
      </c>
      <c r="AE55" s="133"/>
      <c r="AF55" s="133" t="s">
        <v>290</v>
      </c>
      <c r="AG55" s="137">
        <v>6760</v>
      </c>
      <c r="AH55" s="138">
        <v>5420</v>
      </c>
      <c r="AI55" s="138">
        <v>8420</v>
      </c>
      <c r="AJ55" s="146">
        <v>4410000</v>
      </c>
      <c r="AK55" s="133">
        <f t="shared" si="2"/>
        <v>1.5328798185941044</v>
      </c>
      <c r="AL55" s="133">
        <f t="shared" si="2"/>
        <v>1.2290249433106577</v>
      </c>
      <c r="AM55" s="133">
        <f t="shared" si="2"/>
        <v>1.909297052154195</v>
      </c>
      <c r="AN55" s="133"/>
      <c r="AO55" s="133"/>
      <c r="AP55" s="133"/>
      <c r="AQ55" s="133"/>
      <c r="AR55" s="139">
        <v>-115000000</v>
      </c>
      <c r="AS55" s="139">
        <v>72500000</v>
      </c>
      <c r="AT55" s="139">
        <v>171000000</v>
      </c>
      <c r="AU55" s="148">
        <f>(AR55/$AJ55)*1000</f>
        <v>-26077.097505668935</v>
      </c>
      <c r="AV55" s="148">
        <f>(AS55/$AJ55)*1000</f>
        <v>16439.909297052152</v>
      </c>
      <c r="AW55" s="148">
        <f>(AT55/$AJ55)*1000</f>
        <v>38775.510204081635</v>
      </c>
      <c r="AX55" s="139"/>
      <c r="AY55" s="139"/>
      <c r="AZ55" s="139"/>
      <c r="BA55" s="139"/>
      <c r="BB55" s="139"/>
      <c r="BC55" s="139"/>
      <c r="BD55" s="139"/>
      <c r="BE55" s="139"/>
      <c r="BF55" s="139"/>
      <c r="BG55" s="139"/>
      <c r="BH55" s="139"/>
      <c r="BI55" s="139"/>
      <c r="BJ55" s="133" t="s">
        <v>291</v>
      </c>
      <c r="BK55" s="140" t="str">
        <f t="shared" si="7"/>
        <v>Cost-saving</v>
      </c>
      <c r="BL55" s="140" t="str">
        <f t="shared" si="7"/>
        <v>Cost-saving</v>
      </c>
      <c r="BM55" s="140" t="str">
        <f t="shared" si="7"/>
        <v>Cost-saving</v>
      </c>
      <c r="BN55" s="139" t="s">
        <v>183</v>
      </c>
      <c r="BO55" s="139" t="s">
        <v>183</v>
      </c>
      <c r="BP55" s="139" t="s">
        <v>183</v>
      </c>
      <c r="BQ55" s="139"/>
      <c r="BR55" s="139"/>
      <c r="BS55" s="139"/>
      <c r="BT55" s="139"/>
      <c r="BU55" s="139"/>
      <c r="BV55" s="139"/>
      <c r="BW55" s="147" t="s">
        <v>305</v>
      </c>
      <c r="BX55" s="134" t="s">
        <v>303</v>
      </c>
      <c r="BY55" s="134" t="s">
        <v>303</v>
      </c>
      <c r="BZ55" s="133">
        <v>2018</v>
      </c>
      <c r="CA55" s="142"/>
      <c r="CB55" s="142"/>
      <c r="CC55" s="143">
        <f t="shared" si="4"/>
        <v>62</v>
      </c>
      <c r="CD55" s="133" t="s">
        <v>306</v>
      </c>
      <c r="CE55" s="133" t="s">
        <v>307</v>
      </c>
      <c r="CF55" s="133"/>
      <c r="CG55" s="144">
        <v>1</v>
      </c>
      <c r="CH55" s="144">
        <v>2</v>
      </c>
      <c r="CI55" s="144">
        <f>IF(AA55="Lifetime",2,IF(CJ55=1,2,"manual entry"))</f>
        <v>2</v>
      </c>
      <c r="CJ55" s="133">
        <f>IF(CD55="Vos, Carter, Barendregt, Mihalopoulos, Veerman, Magnus, Cobiac, Bertram,
Wallace &amp; ACE-Prevention Team",1,0)</f>
        <v>0</v>
      </c>
      <c r="CK55" s="133">
        <f>IF(CA55="C",0,IF(P55="Het",0,IF(SUM(AG55,AO55)=0,0,1)))</f>
        <v>1</v>
      </c>
      <c r="CL55" s="145" t="e">
        <f>IF(G55="AUS",VLOOKUP(H55,$CU$5:$CW$23,2),IF(G55="NZ",VLOOKUP(H55,$CU$5:$CW$23,3),"error"))*AU55</f>
        <v>#N/A</v>
      </c>
      <c r="CM55" s="140" t="e">
        <f>IF(G55="AUS",VLOOKUP(H55,$CU$5:$CW$23,2),IF(G55="NZ",VLOOKUP(H55,$CU$5:$CW$23,3),"error"))*AX55</f>
        <v>#N/A</v>
      </c>
      <c r="CN55" s="140" t="e">
        <f>IF(G55="AUS",VLOOKUP(H55,$CU$5:$CW$23,2),IF(G55="NZ",VLOOKUP(H55,$CU$5:$CW$23,3),"error"))*BK55</f>
        <v>#N/A</v>
      </c>
    </row>
    <row r="56" spans="1:92" s="5" customFormat="1" ht="144.75" hidden="1">
      <c r="A56" s="133" t="s">
        <v>170</v>
      </c>
      <c r="B56" s="30" t="s">
        <v>170</v>
      </c>
      <c r="C56" s="30"/>
      <c r="D56" s="30"/>
      <c r="E56" s="30" t="s">
        <v>188</v>
      </c>
      <c r="F56" s="66" t="str">
        <f t="shared" si="1"/>
        <v xml:space="preserve">Tobacco; ; Prevention; </v>
      </c>
      <c r="G56" s="30" t="s">
        <v>205</v>
      </c>
      <c r="H56" s="30">
        <v>2011</v>
      </c>
      <c r="I56" s="30" t="str">
        <f>CONCATENATE(A56,", ",G56,": ",J56)</f>
        <v>Tobacco, NZ: Mass media promotion of a smartphone app for smoking cessation</v>
      </c>
      <c r="J56" s="134" t="s">
        <v>303</v>
      </c>
      <c r="K56" s="134">
        <v>0</v>
      </c>
      <c r="L56" s="134">
        <v>0</v>
      </c>
      <c r="M56" s="134"/>
      <c r="N56" s="134">
        <v>0</v>
      </c>
      <c r="O56" s="134"/>
      <c r="P56" s="30" t="s">
        <v>215</v>
      </c>
      <c r="Q56" s="135" t="s">
        <v>308</v>
      </c>
      <c r="R56" s="135" t="s">
        <v>308</v>
      </c>
      <c r="S56" s="135" t="s">
        <v>276</v>
      </c>
      <c r="T56" s="135" t="s">
        <v>276</v>
      </c>
      <c r="U56" s="135" t="s">
        <v>236</v>
      </c>
      <c r="V56" s="135" t="s">
        <v>304</v>
      </c>
      <c r="W56" s="135">
        <v>0</v>
      </c>
      <c r="X56" s="135">
        <v>5</v>
      </c>
      <c r="Y56" s="30" t="s">
        <v>208</v>
      </c>
      <c r="Z56" s="30" t="s">
        <v>289</v>
      </c>
      <c r="AA56" s="30" t="s">
        <v>179</v>
      </c>
      <c r="AB56" s="30"/>
      <c r="AC56" s="136">
        <v>0.03</v>
      </c>
      <c r="AD56" s="133" t="s">
        <v>181</v>
      </c>
      <c r="AE56" s="133"/>
      <c r="AF56" s="133"/>
      <c r="AG56" s="137">
        <v>4650</v>
      </c>
      <c r="AH56" s="138">
        <v>3540</v>
      </c>
      <c r="AI56" s="138">
        <v>5910</v>
      </c>
      <c r="AJ56" s="146">
        <v>3731070</v>
      </c>
      <c r="AK56" s="133">
        <f t="shared" si="2"/>
        <v>1.2462912783732281</v>
      </c>
      <c r="AL56" s="133">
        <f t="shared" si="2"/>
        <v>0.94878948934219942</v>
      </c>
      <c r="AM56" s="133">
        <f t="shared" si="2"/>
        <v>1.5839960118679093</v>
      </c>
      <c r="AN56" s="133"/>
      <c r="AO56" s="133"/>
      <c r="AP56" s="133"/>
      <c r="AQ56" s="133"/>
      <c r="AR56" s="139"/>
      <c r="AS56" s="139"/>
      <c r="AT56" s="139"/>
      <c r="AU56" s="148"/>
      <c r="AV56" s="148"/>
      <c r="AW56" s="148"/>
      <c r="AX56" s="139"/>
      <c r="AY56" s="139"/>
      <c r="AZ56" s="139"/>
      <c r="BA56" s="139"/>
      <c r="BB56" s="139"/>
      <c r="BC56" s="139"/>
      <c r="BD56" s="139"/>
      <c r="BE56" s="139"/>
      <c r="BF56" s="139"/>
      <c r="BG56" s="139"/>
      <c r="BH56" s="139"/>
      <c r="BI56" s="139"/>
      <c r="BJ56" s="133" t="s">
        <v>309</v>
      </c>
      <c r="BK56" s="140" t="str">
        <f t="shared" si="7"/>
        <v/>
      </c>
      <c r="BL56" s="140" t="str">
        <f t="shared" si="7"/>
        <v/>
      </c>
      <c r="BM56" s="140" t="str">
        <f t="shared" si="7"/>
        <v/>
      </c>
      <c r="BN56" s="139"/>
      <c r="BO56" s="139"/>
      <c r="BP56" s="139"/>
      <c r="BQ56" s="139"/>
      <c r="BR56" s="139"/>
      <c r="BS56" s="139"/>
      <c r="BT56" s="139"/>
      <c r="BU56" s="139"/>
      <c r="BV56" s="139"/>
      <c r="BW56" s="147" t="s">
        <v>305</v>
      </c>
      <c r="BX56" s="135" t="s">
        <v>308</v>
      </c>
      <c r="BY56" s="133"/>
      <c r="BZ56" s="133">
        <v>2018</v>
      </c>
      <c r="CA56" s="142"/>
      <c r="CB56" s="142"/>
      <c r="CC56" s="143">
        <f t="shared" si="4"/>
        <v>62</v>
      </c>
      <c r="CD56" s="133" t="s">
        <v>306</v>
      </c>
      <c r="CE56" s="133" t="s">
        <v>307</v>
      </c>
      <c r="CF56" s="133"/>
      <c r="CG56" s="144">
        <v>1</v>
      </c>
      <c r="CH56" s="144" t="str">
        <f>IF(CK56=0,"",IF(V56="Persistent",5,IF(V56="Once",1,IF(V56="One-off",1,"manual overwrite"))))</f>
        <v/>
      </c>
      <c r="CI56" s="144"/>
      <c r="CJ56" s="133"/>
      <c r="CK56" s="133">
        <f>IF(CA56="C",0,IF(P56="Het",0,IF(SUM(AG56,AO56)=0,0,1)))</f>
        <v>0</v>
      </c>
      <c r="CL56" s="133"/>
      <c r="CM56" s="133"/>
      <c r="CN56" s="133"/>
    </row>
    <row r="57" spans="1:92" s="5" customFormat="1" ht="144.75" hidden="1">
      <c r="A57" s="133" t="s">
        <v>170</v>
      </c>
      <c r="B57" s="30" t="s">
        <v>170</v>
      </c>
      <c r="C57" s="30"/>
      <c r="D57" s="30"/>
      <c r="E57" s="30" t="s">
        <v>188</v>
      </c>
      <c r="F57" s="66" t="str">
        <f t="shared" si="1"/>
        <v xml:space="preserve">Tobacco; ; Prevention; </v>
      </c>
      <c r="G57" s="30" t="s">
        <v>205</v>
      </c>
      <c r="H57" s="30">
        <v>2011</v>
      </c>
      <c r="I57" s="30" t="str">
        <f>CONCATENATE(A57,", ",G57,": ",J57)</f>
        <v>Tobacco, NZ: Mass media promotion of a smartphone app for smoking cessation</v>
      </c>
      <c r="J57" s="134" t="s">
        <v>303</v>
      </c>
      <c r="K57" s="134">
        <v>0</v>
      </c>
      <c r="L57" s="134">
        <v>0</v>
      </c>
      <c r="M57" s="134"/>
      <c r="N57" s="134">
        <v>0</v>
      </c>
      <c r="O57" s="134"/>
      <c r="P57" s="30" t="s">
        <v>215</v>
      </c>
      <c r="Q57" s="66" t="s">
        <v>259</v>
      </c>
      <c r="R57" s="66" t="s">
        <v>259</v>
      </c>
      <c r="S57" s="66" t="s">
        <v>276</v>
      </c>
      <c r="T57" s="66" t="s">
        <v>276</v>
      </c>
      <c r="U57" s="66" t="s">
        <v>259</v>
      </c>
      <c r="V57" s="135" t="s">
        <v>304</v>
      </c>
      <c r="W57" s="135">
        <v>0</v>
      </c>
      <c r="X57" s="135">
        <v>5</v>
      </c>
      <c r="Y57" s="30" t="s">
        <v>208</v>
      </c>
      <c r="Z57" s="30" t="s">
        <v>289</v>
      </c>
      <c r="AA57" s="30" t="s">
        <v>179</v>
      </c>
      <c r="AB57" s="30"/>
      <c r="AC57" s="136">
        <v>0.03</v>
      </c>
      <c r="AD57" s="133" t="s">
        <v>181</v>
      </c>
      <c r="AE57" s="133"/>
      <c r="AF57" s="133"/>
      <c r="AG57" s="137">
        <v>2120</v>
      </c>
      <c r="AH57" s="138">
        <v>1590</v>
      </c>
      <c r="AI57" s="138">
        <v>2720</v>
      </c>
      <c r="AJ57" s="146">
        <v>674200</v>
      </c>
      <c r="AK57" s="133">
        <f t="shared" si="2"/>
        <v>3.1444675170572531</v>
      </c>
      <c r="AL57" s="133">
        <f t="shared" si="2"/>
        <v>2.35835063779294</v>
      </c>
      <c r="AM57" s="133">
        <f t="shared" si="2"/>
        <v>4.0344111539602494</v>
      </c>
      <c r="AN57" s="149"/>
      <c r="AO57" s="133"/>
      <c r="AP57" s="133"/>
      <c r="AQ57" s="133"/>
      <c r="AR57" s="139"/>
      <c r="AS57" s="139"/>
      <c r="AT57" s="139"/>
      <c r="AU57" s="148"/>
      <c r="AV57" s="148"/>
      <c r="AW57" s="148"/>
      <c r="AX57" s="139"/>
      <c r="AY57" s="139"/>
      <c r="AZ57" s="139"/>
      <c r="BA57" s="139"/>
      <c r="BB57" s="139"/>
      <c r="BC57" s="139"/>
      <c r="BD57" s="139"/>
      <c r="BE57" s="139"/>
      <c r="BF57" s="139"/>
      <c r="BG57" s="139"/>
      <c r="BH57" s="139"/>
      <c r="BI57" s="139"/>
      <c r="BJ57" s="133" t="s">
        <v>309</v>
      </c>
      <c r="BK57" s="140" t="str">
        <f t="shared" si="7"/>
        <v/>
      </c>
      <c r="BL57" s="140" t="str">
        <f t="shared" si="7"/>
        <v/>
      </c>
      <c r="BM57" s="140" t="str">
        <f t="shared" si="7"/>
        <v/>
      </c>
      <c r="BN57" s="139"/>
      <c r="BO57" s="139"/>
      <c r="BP57" s="139"/>
      <c r="BQ57" s="139"/>
      <c r="BR57" s="139"/>
      <c r="BS57" s="139"/>
      <c r="BT57" s="139"/>
      <c r="BU57" s="139"/>
      <c r="BV57" s="139"/>
      <c r="BW57" s="141" t="s">
        <v>305</v>
      </c>
      <c r="BX57" s="66" t="s">
        <v>259</v>
      </c>
      <c r="BY57" s="133"/>
      <c r="BZ57" s="133">
        <v>2018</v>
      </c>
      <c r="CA57" s="142"/>
      <c r="CB57" s="142"/>
      <c r="CC57" s="143">
        <f t="shared" si="4"/>
        <v>62</v>
      </c>
      <c r="CD57" s="133" t="s">
        <v>306</v>
      </c>
      <c r="CE57" s="133" t="s">
        <v>307</v>
      </c>
      <c r="CF57" s="133"/>
      <c r="CG57" s="144">
        <v>1</v>
      </c>
      <c r="CH57" s="144" t="str">
        <f>IF(CK57=0,"",IF(V57="Persistent",5,IF(V57="Once",1,IF(V57="One-off",1,"manual overwrite"))))</f>
        <v/>
      </c>
      <c r="CI57" s="144"/>
      <c r="CJ57" s="133"/>
      <c r="CK57" s="133">
        <f>IF(CA57="C",0,IF(P57="Het",0,IF(SUM(AG57,AO57)=0,0,1)))</f>
        <v>0</v>
      </c>
      <c r="CL57" s="133"/>
      <c r="CM57" s="133"/>
      <c r="CN57" s="133"/>
    </row>
    <row r="58" spans="1:92" s="5" customFormat="1" ht="144.75" hidden="1">
      <c r="A58" s="133" t="s">
        <v>170</v>
      </c>
      <c r="B58" s="30" t="s">
        <v>170</v>
      </c>
      <c r="C58" s="30"/>
      <c r="D58" s="30"/>
      <c r="E58" s="30" t="s">
        <v>188</v>
      </c>
      <c r="F58" s="66" t="str">
        <f t="shared" si="1"/>
        <v xml:space="preserve">Tobacco; ; Prevention; </v>
      </c>
      <c r="G58" s="30" t="s">
        <v>205</v>
      </c>
      <c r="H58" s="30">
        <v>2012</v>
      </c>
      <c r="I58" s="30" t="str">
        <f>CONCATENATE(A58,", ",G58,": ",J58)</f>
        <v>Tobacco, NZ: Mass media promotion of a smartphone app for smoking cessation</v>
      </c>
      <c r="J58" s="134" t="s">
        <v>303</v>
      </c>
      <c r="K58" s="134">
        <v>0</v>
      </c>
      <c r="L58" s="134">
        <v>0</v>
      </c>
      <c r="M58" s="134"/>
      <c r="N58" s="134">
        <v>0</v>
      </c>
      <c r="O58" s="134"/>
      <c r="P58" s="30" t="s">
        <v>215</v>
      </c>
      <c r="Q58" s="66" t="str">
        <f>IF($P58="Main",J58,BX58)</f>
        <v>15-24 yr olds</v>
      </c>
      <c r="R58" s="66" t="str">
        <f>IF($P58="Main",CONCATENATE(J58,": ",G58),BY58)</f>
        <v>15-24 yr olds</v>
      </c>
      <c r="S58" s="66" t="s">
        <v>239</v>
      </c>
      <c r="T58" s="66" t="s">
        <v>276</v>
      </c>
      <c r="U58" s="66" t="s">
        <v>276</v>
      </c>
      <c r="V58" s="135" t="s">
        <v>304</v>
      </c>
      <c r="W58" s="135">
        <v>0</v>
      </c>
      <c r="X58" s="135">
        <v>5</v>
      </c>
      <c r="Y58" s="30" t="s">
        <v>208</v>
      </c>
      <c r="Z58" s="30" t="s">
        <v>289</v>
      </c>
      <c r="AA58" s="30" t="s">
        <v>179</v>
      </c>
      <c r="AB58" s="30"/>
      <c r="AC58" s="136">
        <v>0.03</v>
      </c>
      <c r="AD58" s="133"/>
      <c r="AE58" s="133"/>
      <c r="AF58" s="133"/>
      <c r="AG58" s="137">
        <v>1254</v>
      </c>
      <c r="AH58" s="138">
        <v>784</v>
      </c>
      <c r="AI58" s="138">
        <v>1855</v>
      </c>
      <c r="AJ58" s="146">
        <v>642430</v>
      </c>
      <c r="AK58" s="133">
        <f t="shared" si="2"/>
        <v>1.9519636380617345</v>
      </c>
      <c r="AL58" s="133">
        <f t="shared" si="2"/>
        <v>1.2203664212443379</v>
      </c>
      <c r="AM58" s="133">
        <f t="shared" si="2"/>
        <v>2.8874741216941922</v>
      </c>
      <c r="AN58" s="133"/>
      <c r="AO58" s="133"/>
      <c r="AP58" s="133"/>
      <c r="AQ58" s="133"/>
      <c r="AR58" s="139">
        <v>-28600000</v>
      </c>
      <c r="AS58" s="139">
        <v>-14300000</v>
      </c>
      <c r="AT58" s="139">
        <v>-49000000</v>
      </c>
      <c r="AU58" s="148">
        <f t="shared" ref="AU58:AW61" si="8">(AR58/$AJ58)*1000</f>
        <v>-44518.46893825008</v>
      </c>
      <c r="AV58" s="148">
        <f t="shared" si="8"/>
        <v>-22259.23446912504</v>
      </c>
      <c r="AW58" s="148">
        <f t="shared" si="8"/>
        <v>-76272.90132777112</v>
      </c>
      <c r="AX58" s="139"/>
      <c r="AY58" s="139"/>
      <c r="AZ58" s="139"/>
      <c r="BA58" s="139"/>
      <c r="BB58" s="139"/>
      <c r="BC58" s="139"/>
      <c r="BD58" s="139"/>
      <c r="BE58" s="139"/>
      <c r="BF58" s="139"/>
      <c r="BG58" s="139"/>
      <c r="BH58" s="139"/>
      <c r="BI58" s="139"/>
      <c r="BJ58" s="133" t="s">
        <v>291</v>
      </c>
      <c r="BK58" s="140" t="str">
        <f t="shared" si="7"/>
        <v>Cost-saving</v>
      </c>
      <c r="BL58" s="140">
        <f t="shared" si="7"/>
        <v>0</v>
      </c>
      <c r="BM58" s="140">
        <f t="shared" si="7"/>
        <v>0</v>
      </c>
      <c r="BN58" s="139" t="s">
        <v>183</v>
      </c>
      <c r="BO58" s="139"/>
      <c r="BP58" s="139"/>
      <c r="BQ58" s="139"/>
      <c r="BR58" s="139"/>
      <c r="BS58" s="139"/>
      <c r="BT58" s="139"/>
      <c r="BU58" s="139"/>
      <c r="BV58" s="139"/>
      <c r="BW58" s="141" t="s">
        <v>305</v>
      </c>
      <c r="BX58" s="30" t="s">
        <v>299</v>
      </c>
      <c r="BY58" s="133" t="s">
        <v>299</v>
      </c>
      <c r="BZ58" s="133">
        <v>2018</v>
      </c>
      <c r="CA58" s="142"/>
      <c r="CB58" s="142"/>
      <c r="CC58" s="143">
        <f t="shared" si="4"/>
        <v>62</v>
      </c>
      <c r="CD58" s="133" t="s">
        <v>306</v>
      </c>
      <c r="CE58" s="133" t="s">
        <v>307</v>
      </c>
      <c r="CF58" s="133"/>
      <c r="CG58" s="144">
        <v>1</v>
      </c>
      <c r="CH58" s="144" t="str">
        <f>IF(CK58=0,"",IF(V58="Persistent",5,IF(V58="Once",1,IF(V58="One-off",1,"manual overwrite"))))</f>
        <v/>
      </c>
      <c r="CI58" s="144"/>
      <c r="CJ58" s="133"/>
      <c r="CK58" s="133">
        <f>IF(CA58="C",0,IF(P58="Het",0,IF(SUM(AG58,AO58)=0,0,1)))</f>
        <v>0</v>
      </c>
      <c r="CL58" s="133"/>
      <c r="CM58" s="133"/>
      <c r="CN58" s="133"/>
    </row>
    <row r="59" spans="1:92" s="5" customFormat="1" ht="144.75" hidden="1">
      <c r="A59" s="133" t="s">
        <v>170</v>
      </c>
      <c r="B59" s="30" t="s">
        <v>170</v>
      </c>
      <c r="C59" s="30"/>
      <c r="D59" s="30"/>
      <c r="E59" s="30" t="s">
        <v>188</v>
      </c>
      <c r="F59" s="66" t="str">
        <f t="shared" si="1"/>
        <v xml:space="preserve">Tobacco; ; Prevention; </v>
      </c>
      <c r="G59" s="30" t="s">
        <v>205</v>
      </c>
      <c r="H59" s="30">
        <v>2013</v>
      </c>
      <c r="I59" s="30" t="str">
        <f>CONCATENATE(A59,", ",G59,": ",J59)</f>
        <v>Tobacco, NZ: Mass media promotion of a smartphone app for smoking cessation</v>
      </c>
      <c r="J59" s="134" t="s">
        <v>303</v>
      </c>
      <c r="K59" s="134">
        <v>0</v>
      </c>
      <c r="L59" s="134">
        <v>0</v>
      </c>
      <c r="M59" s="134"/>
      <c r="N59" s="134">
        <v>0</v>
      </c>
      <c r="O59" s="134"/>
      <c r="P59" s="30" t="s">
        <v>215</v>
      </c>
      <c r="Q59" s="66" t="str">
        <f>IF($P59="Main",J59,BX59)</f>
        <v>25-44 yr olds</v>
      </c>
      <c r="R59" s="66" t="str">
        <f>IF($P59="Main",CONCATENATE(J59,": ",G59),BY59)</f>
        <v>25-44 yr olds</v>
      </c>
      <c r="S59" s="66" t="s">
        <v>241</v>
      </c>
      <c r="T59" s="66" t="s">
        <v>276</v>
      </c>
      <c r="U59" s="66" t="s">
        <v>276</v>
      </c>
      <c r="V59" s="135" t="s">
        <v>304</v>
      </c>
      <c r="W59" s="135">
        <v>0</v>
      </c>
      <c r="X59" s="135">
        <v>5</v>
      </c>
      <c r="Y59" s="30" t="s">
        <v>208</v>
      </c>
      <c r="Z59" s="30" t="s">
        <v>289</v>
      </c>
      <c r="AA59" s="30" t="s">
        <v>179</v>
      </c>
      <c r="AB59" s="30"/>
      <c r="AC59" s="136">
        <v>0.03</v>
      </c>
      <c r="AD59" s="133"/>
      <c r="AE59" s="133"/>
      <c r="AF59" s="133"/>
      <c r="AG59" s="137">
        <v>3700</v>
      </c>
      <c r="AH59" s="138">
        <v>2720</v>
      </c>
      <c r="AI59" s="138">
        <v>4870</v>
      </c>
      <c r="AJ59" s="146">
        <v>1169340</v>
      </c>
      <c r="AK59" s="133">
        <f t="shared" si="2"/>
        <v>3.1641780833632649</v>
      </c>
      <c r="AL59" s="133">
        <f t="shared" si="2"/>
        <v>2.3260984829048867</v>
      </c>
      <c r="AM59" s="133">
        <f t="shared" si="2"/>
        <v>4.1647425043186752</v>
      </c>
      <c r="AN59" s="133"/>
      <c r="AO59" s="133"/>
      <c r="AP59" s="133"/>
      <c r="AQ59" s="133"/>
      <c r="AR59" s="139">
        <v>-79000000</v>
      </c>
      <c r="AS59" s="139">
        <v>-50000000</v>
      </c>
      <c r="AT59" s="139">
        <v>-116500000</v>
      </c>
      <c r="AU59" s="148">
        <f t="shared" si="8"/>
        <v>-67559.477996134578</v>
      </c>
      <c r="AV59" s="148">
        <f t="shared" si="8"/>
        <v>-42759.163288692769</v>
      </c>
      <c r="AW59" s="148">
        <f t="shared" si="8"/>
        <v>-99628.85046265414</v>
      </c>
      <c r="AX59" s="139"/>
      <c r="AY59" s="139"/>
      <c r="AZ59" s="139"/>
      <c r="BA59" s="139"/>
      <c r="BB59" s="139"/>
      <c r="BC59" s="139"/>
      <c r="BD59" s="139"/>
      <c r="BE59" s="139"/>
      <c r="BF59" s="139"/>
      <c r="BG59" s="139"/>
      <c r="BH59" s="139"/>
      <c r="BI59" s="139"/>
      <c r="BJ59" s="133" t="s">
        <v>291</v>
      </c>
      <c r="BK59" s="140" t="str">
        <f t="shared" si="7"/>
        <v>Cost-saving</v>
      </c>
      <c r="BL59" s="140">
        <f t="shared" si="7"/>
        <v>0</v>
      </c>
      <c r="BM59" s="140">
        <f t="shared" si="7"/>
        <v>0</v>
      </c>
      <c r="BN59" s="139" t="s">
        <v>183</v>
      </c>
      <c r="BO59" s="139"/>
      <c r="BP59" s="139"/>
      <c r="BQ59" s="139"/>
      <c r="BR59" s="139"/>
      <c r="BS59" s="139"/>
      <c r="BT59" s="139"/>
      <c r="BU59" s="139"/>
      <c r="BV59" s="139"/>
      <c r="BW59" s="141" t="s">
        <v>305</v>
      </c>
      <c r="BX59" s="30" t="s">
        <v>300</v>
      </c>
      <c r="BY59" s="133" t="s">
        <v>300</v>
      </c>
      <c r="BZ59" s="133">
        <v>2018</v>
      </c>
      <c r="CA59" s="142"/>
      <c r="CB59" s="142"/>
      <c r="CC59" s="143">
        <f t="shared" si="4"/>
        <v>62</v>
      </c>
      <c r="CD59" s="133" t="s">
        <v>306</v>
      </c>
      <c r="CE59" s="133" t="s">
        <v>307</v>
      </c>
      <c r="CF59" s="133"/>
      <c r="CG59" s="144">
        <v>1</v>
      </c>
      <c r="CH59" s="144" t="str">
        <f>IF(CK59=0,"",IF(V59="Persistent",5,IF(V59="Once",1,IF(V59="One-off",1,"manual overwrite"))))</f>
        <v/>
      </c>
      <c r="CI59" s="144"/>
      <c r="CJ59" s="133"/>
      <c r="CK59" s="133">
        <f>IF(CA59="C",0,IF(P59="Het",0,IF(SUM(AG59,AO59)=0,0,1)))</f>
        <v>0</v>
      </c>
      <c r="CL59" s="133"/>
      <c r="CM59" s="133"/>
      <c r="CN59" s="133"/>
    </row>
    <row r="60" spans="1:92" s="5" customFormat="1" ht="144.75" hidden="1">
      <c r="A60" s="133" t="s">
        <v>170</v>
      </c>
      <c r="B60" s="30" t="s">
        <v>170</v>
      </c>
      <c r="C60" s="30"/>
      <c r="D60" s="30"/>
      <c r="E60" s="30" t="s">
        <v>188</v>
      </c>
      <c r="F60" s="66" t="str">
        <f t="shared" si="1"/>
        <v xml:space="preserve">Tobacco; ; Prevention; </v>
      </c>
      <c r="G60" s="30" t="s">
        <v>205</v>
      </c>
      <c r="H60" s="30">
        <v>2014</v>
      </c>
      <c r="I60" s="30" t="str">
        <f>CONCATENATE(A60,", ",G60,": ",J60)</f>
        <v>Tobacco, NZ: Mass media promotion of a smartphone app for smoking cessation</v>
      </c>
      <c r="J60" s="134" t="s">
        <v>303</v>
      </c>
      <c r="K60" s="134">
        <v>0</v>
      </c>
      <c r="L60" s="134">
        <v>0</v>
      </c>
      <c r="M60" s="134"/>
      <c r="N60" s="134">
        <v>0</v>
      </c>
      <c r="O60" s="134"/>
      <c r="P60" s="30" t="s">
        <v>215</v>
      </c>
      <c r="Q60" s="66" t="str">
        <f>IF($P60="Main",J60,BX60)</f>
        <v>45-64 yr olds</v>
      </c>
      <c r="R60" s="66" t="str">
        <f>IF($P60="Main",CONCATENATE(J60,": ",G60),BY60)</f>
        <v>45-64 yr olds</v>
      </c>
      <c r="S60" s="66" t="s">
        <v>244</v>
      </c>
      <c r="T60" s="66" t="s">
        <v>276</v>
      </c>
      <c r="U60" s="66" t="s">
        <v>276</v>
      </c>
      <c r="V60" s="135" t="s">
        <v>304</v>
      </c>
      <c r="W60" s="135">
        <v>0</v>
      </c>
      <c r="X60" s="135">
        <v>5</v>
      </c>
      <c r="Y60" s="30" t="s">
        <v>208</v>
      </c>
      <c r="Z60" s="30" t="s">
        <v>289</v>
      </c>
      <c r="AA60" s="30" t="s">
        <v>179</v>
      </c>
      <c r="AB60" s="30"/>
      <c r="AC60" s="136">
        <v>0.03</v>
      </c>
      <c r="AD60" s="133"/>
      <c r="AE60" s="133"/>
      <c r="AF60" s="133"/>
      <c r="AG60" s="137">
        <v>1720</v>
      </c>
      <c r="AH60" s="138">
        <v>1208</v>
      </c>
      <c r="AI60" s="138">
        <v>2350</v>
      </c>
      <c r="AJ60" s="146">
        <v>1111900</v>
      </c>
      <c r="AK60" s="133">
        <f t="shared" si="2"/>
        <v>1.5469016997931468</v>
      </c>
      <c r="AL60" s="133">
        <f t="shared" si="2"/>
        <v>1.0864286356686752</v>
      </c>
      <c r="AM60" s="133">
        <f t="shared" si="2"/>
        <v>2.1134994154150553</v>
      </c>
      <c r="AN60" s="133"/>
      <c r="AO60" s="133"/>
      <c r="AP60" s="133"/>
      <c r="AQ60" s="133"/>
      <c r="AR60" s="139">
        <v>-21100000</v>
      </c>
      <c r="AS60" s="139">
        <v>-9430000</v>
      </c>
      <c r="AT60" s="139">
        <v>-36200000</v>
      </c>
      <c r="AU60" s="148">
        <f t="shared" si="8"/>
        <v>-18976.52666606709</v>
      </c>
      <c r="AV60" s="148">
        <f t="shared" si="8"/>
        <v>-8480.9785052612642</v>
      </c>
      <c r="AW60" s="148">
        <f t="shared" si="8"/>
        <v>-32556.884611925532</v>
      </c>
      <c r="AX60" s="139"/>
      <c r="AY60" s="139"/>
      <c r="AZ60" s="139"/>
      <c r="BA60" s="139"/>
      <c r="BB60" s="139"/>
      <c r="BC60" s="139"/>
      <c r="BD60" s="139"/>
      <c r="BE60" s="139"/>
      <c r="BF60" s="139"/>
      <c r="BG60" s="139"/>
      <c r="BH60" s="139"/>
      <c r="BI60" s="139"/>
      <c r="BJ60" s="133" t="s">
        <v>291</v>
      </c>
      <c r="BK60" s="140" t="str">
        <f t="shared" si="7"/>
        <v>Cost-saving</v>
      </c>
      <c r="BL60" s="140">
        <f t="shared" si="7"/>
        <v>0</v>
      </c>
      <c r="BM60" s="140">
        <f t="shared" si="7"/>
        <v>0</v>
      </c>
      <c r="BN60" s="139" t="s">
        <v>183</v>
      </c>
      <c r="BO60" s="139"/>
      <c r="BP60" s="139"/>
      <c r="BQ60" s="139"/>
      <c r="BR60" s="139"/>
      <c r="BS60" s="139"/>
      <c r="BT60" s="139"/>
      <c r="BU60" s="139"/>
      <c r="BV60" s="139"/>
      <c r="BW60" s="141" t="s">
        <v>305</v>
      </c>
      <c r="BX60" s="30" t="s">
        <v>301</v>
      </c>
      <c r="BY60" s="133" t="s">
        <v>301</v>
      </c>
      <c r="BZ60" s="133">
        <v>2018</v>
      </c>
      <c r="CA60" s="142"/>
      <c r="CB60" s="142"/>
      <c r="CC60" s="143">
        <f t="shared" si="4"/>
        <v>62</v>
      </c>
      <c r="CD60" s="133" t="s">
        <v>306</v>
      </c>
      <c r="CE60" s="133" t="s">
        <v>307</v>
      </c>
      <c r="CF60" s="133"/>
      <c r="CG60" s="144">
        <v>1</v>
      </c>
      <c r="CH60" s="144" t="str">
        <f>IF(CK60=0,"",IF(V60="Persistent",5,IF(V60="Once",1,IF(V60="One-off",1,"manual overwrite"))))</f>
        <v/>
      </c>
      <c r="CI60" s="144"/>
      <c r="CJ60" s="133"/>
      <c r="CK60" s="133">
        <f>IF(CA60="C",0,IF(P60="Het",0,IF(SUM(AG60,AO60)=0,0,1)))</f>
        <v>0</v>
      </c>
      <c r="CL60" s="133"/>
      <c r="CM60" s="133"/>
      <c r="CN60" s="133"/>
    </row>
    <row r="61" spans="1:92" s="5" customFormat="1" ht="144.75" hidden="1">
      <c r="A61" s="133" t="s">
        <v>170</v>
      </c>
      <c r="B61" s="30" t="s">
        <v>170</v>
      </c>
      <c r="C61" s="30"/>
      <c r="D61" s="30"/>
      <c r="E61" s="30" t="s">
        <v>188</v>
      </c>
      <c r="F61" s="66" t="str">
        <f t="shared" si="1"/>
        <v xml:space="preserve">Tobacco; ; Prevention; </v>
      </c>
      <c r="G61" s="30" t="s">
        <v>205</v>
      </c>
      <c r="H61" s="30">
        <v>2015</v>
      </c>
      <c r="I61" s="30" t="str">
        <f>CONCATENATE(A61,", ",G61,": ",J61)</f>
        <v>Tobacco, NZ: Mass media promotion of a smartphone app for smoking cessation</v>
      </c>
      <c r="J61" s="134" t="s">
        <v>303</v>
      </c>
      <c r="K61" s="134">
        <v>0</v>
      </c>
      <c r="L61" s="134">
        <v>0</v>
      </c>
      <c r="M61" s="134"/>
      <c r="N61" s="134">
        <v>0</v>
      </c>
      <c r="O61" s="134"/>
      <c r="P61" s="30" t="s">
        <v>215</v>
      </c>
      <c r="Q61" s="66" t="str">
        <f>IF($P61="Main",J61,BX61)</f>
        <v>65+ yr olds</v>
      </c>
      <c r="R61" s="66" t="str">
        <f>IF($P61="Main",CONCATENATE(J61,": ",G61),BY61)</f>
        <v>65+ yr olds</v>
      </c>
      <c r="S61" s="66" t="s">
        <v>247</v>
      </c>
      <c r="T61" s="66" t="s">
        <v>276</v>
      </c>
      <c r="U61" s="66" t="s">
        <v>276</v>
      </c>
      <c r="V61" s="135" t="s">
        <v>304</v>
      </c>
      <c r="W61" s="135">
        <v>0</v>
      </c>
      <c r="X61" s="135">
        <v>5</v>
      </c>
      <c r="Y61" s="30" t="s">
        <v>208</v>
      </c>
      <c r="Z61" s="30" t="s">
        <v>289</v>
      </c>
      <c r="AA61" s="30" t="s">
        <v>179</v>
      </c>
      <c r="AB61" s="30"/>
      <c r="AC61" s="136">
        <v>0.03</v>
      </c>
      <c r="AD61" s="133"/>
      <c r="AE61" s="133"/>
      <c r="AF61" s="133"/>
      <c r="AG61" s="137">
        <v>87.7</v>
      </c>
      <c r="AH61" s="138">
        <v>57</v>
      </c>
      <c r="AI61" s="138">
        <v>127.8</v>
      </c>
      <c r="AJ61" s="133">
        <v>586980</v>
      </c>
      <c r="AK61" s="133">
        <f t="shared" si="2"/>
        <v>0.14940883846127637</v>
      </c>
      <c r="AL61" s="133">
        <f t="shared" si="2"/>
        <v>9.7107226822038234E-2</v>
      </c>
      <c r="AM61" s="133">
        <f t="shared" si="2"/>
        <v>0.2177246243483594</v>
      </c>
      <c r="AN61" s="133"/>
      <c r="AO61" s="133"/>
      <c r="AP61" s="133"/>
      <c r="AQ61" s="133"/>
      <c r="AR61" s="139">
        <v>4830000</v>
      </c>
      <c r="AS61" s="139">
        <v>4270000</v>
      </c>
      <c r="AT61" s="139">
        <v>5310000</v>
      </c>
      <c r="AU61" s="148">
        <f t="shared" si="8"/>
        <v>8228.5597464990278</v>
      </c>
      <c r="AV61" s="148">
        <f t="shared" si="8"/>
        <v>7274.5238338614599</v>
      </c>
      <c r="AW61" s="148">
        <f t="shared" si="8"/>
        <v>9046.3048144740878</v>
      </c>
      <c r="AX61" s="139"/>
      <c r="AY61" s="139"/>
      <c r="AZ61" s="139"/>
      <c r="BA61" s="139"/>
      <c r="BB61" s="139"/>
      <c r="BC61" s="139"/>
      <c r="BD61" s="139"/>
      <c r="BE61" s="139"/>
      <c r="BF61" s="139"/>
      <c r="BG61" s="139"/>
      <c r="BH61" s="139"/>
      <c r="BI61" s="139"/>
      <c r="BJ61" s="133" t="s">
        <v>291</v>
      </c>
      <c r="BK61" s="140">
        <f t="shared" si="7"/>
        <v>55074.116305587224</v>
      </c>
      <c r="BL61" s="140">
        <f t="shared" si="7"/>
        <v>0</v>
      </c>
      <c r="BM61" s="140">
        <f t="shared" si="7"/>
        <v>0</v>
      </c>
      <c r="BN61" s="139">
        <f>AR61/AG61</f>
        <v>55074.116305587224</v>
      </c>
      <c r="BO61" s="139"/>
      <c r="BP61" s="139"/>
      <c r="BQ61" s="139"/>
      <c r="BR61" s="139"/>
      <c r="BS61" s="139"/>
      <c r="BT61" s="139"/>
      <c r="BU61" s="139"/>
      <c r="BV61" s="139"/>
      <c r="BW61" s="141" t="s">
        <v>305</v>
      </c>
      <c r="BX61" s="30" t="s">
        <v>302</v>
      </c>
      <c r="BY61" s="133" t="s">
        <v>302</v>
      </c>
      <c r="BZ61" s="133">
        <v>2018</v>
      </c>
      <c r="CA61" s="142"/>
      <c r="CB61" s="142"/>
      <c r="CC61" s="143">
        <f t="shared" si="4"/>
        <v>62</v>
      </c>
      <c r="CD61" s="133" t="s">
        <v>306</v>
      </c>
      <c r="CE61" s="133" t="s">
        <v>307</v>
      </c>
      <c r="CF61" s="133"/>
      <c r="CG61" s="144">
        <v>1</v>
      </c>
      <c r="CH61" s="144" t="str">
        <f>IF(CK61=0,"",IF(V61="Persistent",5,IF(V61="Once",1,IF(V61="One-off",1,"manual overwrite"))))</f>
        <v/>
      </c>
      <c r="CI61" s="144"/>
      <c r="CJ61" s="133"/>
      <c r="CK61" s="133">
        <f>IF(CA61="C",0,IF(P61="Het",0,IF(SUM(AG61,AO61)=0,0,1)))</f>
        <v>0</v>
      </c>
      <c r="CL61" s="133"/>
      <c r="CM61" s="133"/>
      <c r="CN61" s="133"/>
    </row>
    <row r="62" spans="1:92" s="5" customFormat="1" ht="152.25">
      <c r="A62" s="150" t="s">
        <v>170</v>
      </c>
      <c r="B62" s="66" t="s">
        <v>170</v>
      </c>
      <c r="C62" s="66"/>
      <c r="D62" s="66"/>
      <c r="E62" s="66" t="s">
        <v>188</v>
      </c>
      <c r="F62" s="66" t="str">
        <f t="shared" si="1"/>
        <v xml:space="preserve">Tobacco; ; Prevention; </v>
      </c>
      <c r="G62" s="66" t="s">
        <v>205</v>
      </c>
      <c r="H62" s="66">
        <v>2011</v>
      </c>
      <c r="I62" s="66" t="str">
        <f>CONCATENATE(A62,", ",G62,": ",J62)</f>
        <v>Tobacco, NZ: National quitline service and its promotion in the mass media</v>
      </c>
      <c r="J62" s="151" t="s">
        <v>310</v>
      </c>
      <c r="K62" s="151">
        <v>0</v>
      </c>
      <c r="L62" s="134">
        <v>0</v>
      </c>
      <c r="M62" s="134"/>
      <c r="N62" s="134">
        <v>0</v>
      </c>
      <c r="O62" s="134"/>
      <c r="P62" s="66" t="s">
        <v>175</v>
      </c>
      <c r="Q62" s="66" t="str">
        <f>IF($P62="Main",J62,BX62)</f>
        <v>National quitline service and its promotion in the mass media</v>
      </c>
      <c r="R62" s="66" t="str">
        <f>IF($P62="Main",CONCATENATE(J62,": ",G62),BY62)</f>
        <v>National quitline service and its promotion in the mass media: NZ</v>
      </c>
      <c r="S62" s="66"/>
      <c r="T62" s="66"/>
      <c r="U62" s="66"/>
      <c r="V62" s="135" t="s">
        <v>311</v>
      </c>
      <c r="W62" s="135">
        <v>0</v>
      </c>
      <c r="X62" s="135">
        <v>1</v>
      </c>
      <c r="Y62" s="66" t="s">
        <v>312</v>
      </c>
      <c r="Z62" s="66" t="s">
        <v>209</v>
      </c>
      <c r="AA62" s="66" t="s">
        <v>179</v>
      </c>
      <c r="AB62" s="66" t="s">
        <v>180</v>
      </c>
      <c r="AC62" s="152">
        <v>0.03</v>
      </c>
      <c r="AD62" s="150" t="s">
        <v>181</v>
      </c>
      <c r="AE62" s="150"/>
      <c r="AF62" s="150" t="s">
        <v>290</v>
      </c>
      <c r="AG62" s="146">
        <v>4200</v>
      </c>
      <c r="AH62" s="146">
        <v>3430</v>
      </c>
      <c r="AI62" s="146">
        <v>5070</v>
      </c>
      <c r="AJ62" s="146">
        <v>4410000</v>
      </c>
      <c r="AK62" s="153">
        <f t="shared" si="2"/>
        <v>0.95238095238095233</v>
      </c>
      <c r="AL62" s="153">
        <f t="shared" si="2"/>
        <v>0.77777777777777768</v>
      </c>
      <c r="AM62" s="153">
        <f t="shared" si="2"/>
        <v>1.1496598639455782</v>
      </c>
      <c r="AN62" s="150"/>
      <c r="AO62" s="150"/>
      <c r="AP62" s="150"/>
      <c r="AQ62" s="150"/>
      <c r="AR62" s="154">
        <v>-84200000</v>
      </c>
      <c r="AS62" s="154">
        <v>-60400000</v>
      </c>
      <c r="AT62" s="154">
        <v>-115000000</v>
      </c>
      <c r="AU62" s="155">
        <f>1000*AR62/$AJ62</f>
        <v>-19092.970521541949</v>
      </c>
      <c r="AV62" s="155">
        <f>1000*AS62/$AJ62</f>
        <v>-13696.145124716553</v>
      </c>
      <c r="AW62" s="155">
        <f>1000*AT62/$AJ62</f>
        <v>-26077.097505668935</v>
      </c>
      <c r="AX62" s="154"/>
      <c r="AY62" s="154"/>
      <c r="AZ62" s="154"/>
      <c r="BA62" s="154"/>
      <c r="BB62" s="154"/>
      <c r="BC62" s="154"/>
      <c r="BD62" s="154"/>
      <c r="BE62" s="154"/>
      <c r="BF62" s="154"/>
      <c r="BG62" s="154"/>
      <c r="BH62" s="154"/>
      <c r="BI62" s="154"/>
      <c r="BJ62" s="150" t="s">
        <v>291</v>
      </c>
      <c r="BK62" s="150" t="s">
        <v>183</v>
      </c>
      <c r="BL62" s="150">
        <f t="shared" si="7"/>
        <v>0</v>
      </c>
      <c r="BM62" s="150">
        <f t="shared" si="7"/>
        <v>0</v>
      </c>
      <c r="BN62" s="154" t="s">
        <v>183</v>
      </c>
      <c r="BO62" s="154"/>
      <c r="BP62" s="154"/>
      <c r="BQ62" s="154"/>
      <c r="BR62" s="154"/>
      <c r="BS62" s="154"/>
      <c r="BT62" s="154"/>
      <c r="BU62" s="154"/>
      <c r="BV62" s="154"/>
      <c r="BW62" s="170" t="s">
        <v>313</v>
      </c>
      <c r="BX62" s="66" t="str">
        <f t="shared" ref="BX62:BX74" si="9">BY62</f>
        <v>Quitline service with mass media promotion</v>
      </c>
      <c r="BY62" s="66" t="s">
        <v>314</v>
      </c>
      <c r="BZ62" s="150">
        <v>2017</v>
      </c>
      <c r="CA62" s="157"/>
      <c r="CB62" s="157"/>
      <c r="CC62" s="158"/>
      <c r="CD62" s="150" t="s">
        <v>315</v>
      </c>
      <c r="CE62" s="150"/>
      <c r="CF62" s="150"/>
      <c r="CG62" s="150"/>
      <c r="CH62" s="150"/>
      <c r="CI62" s="150"/>
      <c r="CJ62" s="150"/>
      <c r="CK62" s="150"/>
      <c r="CL62" s="150"/>
      <c r="CM62" s="150"/>
      <c r="CN62" s="150"/>
    </row>
    <row r="63" spans="1:92" s="5" customFormat="1" ht="152.25">
      <c r="A63" s="150" t="s">
        <v>170</v>
      </c>
      <c r="B63" s="66" t="s">
        <v>170</v>
      </c>
      <c r="C63" s="66"/>
      <c r="D63" s="66"/>
      <c r="E63" s="66" t="s">
        <v>188</v>
      </c>
      <c r="F63" s="66" t="str">
        <f t="shared" si="1"/>
        <v xml:space="preserve">Tobacco; ; Prevention; </v>
      </c>
      <c r="G63" s="66" t="s">
        <v>205</v>
      </c>
      <c r="H63" s="66">
        <v>2011</v>
      </c>
      <c r="I63" s="66" t="str">
        <f>CONCATENATE(A63,", ",G63,": ",J63)</f>
        <v>Tobacco, NZ: National quitline service and its promotion in the mass media</v>
      </c>
      <c r="J63" s="151" t="s">
        <v>310</v>
      </c>
      <c r="K63" s="151"/>
      <c r="L63" s="151"/>
      <c r="M63" s="151"/>
      <c r="N63" s="151"/>
      <c r="O63" s="151"/>
      <c r="P63" s="66" t="s">
        <v>215</v>
      </c>
      <c r="Q63" s="66" t="str">
        <f>IF($P63="Main",J63,BX63)</f>
        <v>in men</v>
      </c>
      <c r="R63" s="66" t="str">
        <f>IF($P63="Main",CONCATENATE(J63,": ",G63),BY63)</f>
        <v>in men</v>
      </c>
      <c r="S63" s="66"/>
      <c r="T63" s="66"/>
      <c r="U63" s="66"/>
      <c r="V63" s="135" t="s">
        <v>311</v>
      </c>
      <c r="W63" s="135"/>
      <c r="X63" s="135"/>
      <c r="Y63" s="66" t="s">
        <v>312</v>
      </c>
      <c r="Z63" s="66" t="s">
        <v>209</v>
      </c>
      <c r="AA63" s="66" t="s">
        <v>179</v>
      </c>
      <c r="AB63" s="66" t="s">
        <v>180</v>
      </c>
      <c r="AC63" s="152">
        <v>0.03</v>
      </c>
      <c r="AD63" s="150" t="s">
        <v>181</v>
      </c>
      <c r="AE63" s="150"/>
      <c r="AF63" s="150"/>
      <c r="AG63" s="146">
        <v>2020</v>
      </c>
      <c r="AH63" s="146"/>
      <c r="AI63" s="146"/>
      <c r="AJ63" s="150">
        <v>2164610</v>
      </c>
      <c r="AK63" s="153">
        <f t="shared" si="2"/>
        <v>0.93319350829941661</v>
      </c>
      <c r="AL63" s="153"/>
      <c r="AM63" s="153"/>
      <c r="AN63" s="150"/>
      <c r="AO63" s="150"/>
      <c r="AP63" s="150"/>
      <c r="AQ63" s="150"/>
      <c r="AR63" s="154">
        <v>-47700000</v>
      </c>
      <c r="AS63" s="154"/>
      <c r="AT63" s="154"/>
      <c r="AU63" s="155">
        <f t="shared" ref="AU63:AU68" si="10">1000*AR63/$AJ63</f>
        <v>-22036.302151426815</v>
      </c>
      <c r="AV63" s="155"/>
      <c r="AW63" s="155"/>
      <c r="AX63" s="154"/>
      <c r="AY63" s="154"/>
      <c r="AZ63" s="154"/>
      <c r="BA63" s="154"/>
      <c r="BB63" s="154"/>
      <c r="BC63" s="154"/>
      <c r="BD63" s="154"/>
      <c r="BE63" s="154"/>
      <c r="BF63" s="154"/>
      <c r="BG63" s="154"/>
      <c r="BH63" s="154"/>
      <c r="BI63" s="154"/>
      <c r="BJ63" s="150" t="s">
        <v>291</v>
      </c>
      <c r="BK63" s="150" t="s">
        <v>183</v>
      </c>
      <c r="BL63" s="150">
        <f t="shared" si="7"/>
        <v>0</v>
      </c>
      <c r="BM63" s="150">
        <f t="shared" si="7"/>
        <v>0</v>
      </c>
      <c r="BN63" s="154" t="s">
        <v>183</v>
      </c>
      <c r="BO63" s="154"/>
      <c r="BP63" s="154"/>
      <c r="BQ63" s="154"/>
      <c r="BR63" s="154"/>
      <c r="BS63" s="154"/>
      <c r="BT63" s="154"/>
      <c r="BU63" s="154"/>
      <c r="BV63" s="154"/>
      <c r="BW63" s="156" t="s">
        <v>313</v>
      </c>
      <c r="BX63" s="66" t="str">
        <f t="shared" si="9"/>
        <v>in men</v>
      </c>
      <c r="BY63" s="66" t="s">
        <v>216</v>
      </c>
      <c r="BZ63" s="150">
        <v>2017</v>
      </c>
      <c r="CA63" s="157"/>
      <c r="CB63" s="157"/>
      <c r="CC63" s="158"/>
      <c r="CD63" s="150" t="s">
        <v>315</v>
      </c>
      <c r="CE63" s="150"/>
      <c r="CF63" s="150"/>
      <c r="CG63" s="150"/>
      <c r="CH63" s="150"/>
      <c r="CI63" s="150"/>
      <c r="CJ63" s="150"/>
      <c r="CK63" s="150"/>
      <c r="CL63" s="150"/>
      <c r="CM63" s="150"/>
      <c r="CN63" s="150"/>
    </row>
    <row r="64" spans="1:92" s="5" customFormat="1" ht="152.25">
      <c r="A64" s="150" t="s">
        <v>170</v>
      </c>
      <c r="B64" s="66" t="s">
        <v>170</v>
      </c>
      <c r="C64" s="66"/>
      <c r="D64" s="66"/>
      <c r="E64" s="66" t="s">
        <v>188</v>
      </c>
      <c r="F64" s="66" t="str">
        <f t="shared" si="1"/>
        <v xml:space="preserve">Tobacco; ; Prevention; </v>
      </c>
      <c r="G64" s="66" t="s">
        <v>205</v>
      </c>
      <c r="H64" s="66">
        <v>2011</v>
      </c>
      <c r="I64" s="66" t="str">
        <f>CONCATENATE(A64,", ",G64,": ",J64)</f>
        <v>Tobacco, NZ: National quitline service and its promotion in the mass media</v>
      </c>
      <c r="J64" s="151" t="s">
        <v>310</v>
      </c>
      <c r="K64" s="151"/>
      <c r="L64" s="151"/>
      <c r="M64" s="151"/>
      <c r="N64" s="151"/>
      <c r="O64" s="151"/>
      <c r="P64" s="66" t="s">
        <v>295</v>
      </c>
      <c r="Q64" s="66" t="str">
        <f>IF($P64="Main",J64,BX64)</f>
        <v>in women</v>
      </c>
      <c r="R64" s="66" t="str">
        <f>IF($P64="Main",CONCATENATE(J64,": ",G64),BY64)</f>
        <v>in women</v>
      </c>
      <c r="S64" s="66"/>
      <c r="T64" s="66"/>
      <c r="U64" s="66"/>
      <c r="V64" s="135" t="s">
        <v>311</v>
      </c>
      <c r="W64" s="135"/>
      <c r="X64" s="135"/>
      <c r="Y64" s="66" t="s">
        <v>312</v>
      </c>
      <c r="Z64" s="66" t="s">
        <v>209</v>
      </c>
      <c r="AA64" s="66" t="s">
        <v>179</v>
      </c>
      <c r="AB64" s="66" t="s">
        <v>180</v>
      </c>
      <c r="AC64" s="152">
        <v>0.03</v>
      </c>
      <c r="AD64" s="150" t="s">
        <v>181</v>
      </c>
      <c r="AE64" s="150"/>
      <c r="AF64" s="150"/>
      <c r="AG64" s="146">
        <v>2180</v>
      </c>
      <c r="AH64" s="146"/>
      <c r="AI64" s="146"/>
      <c r="AJ64" s="146">
        <v>2240660</v>
      </c>
      <c r="AK64" s="153">
        <f t="shared" si="2"/>
        <v>0.97292761954067108</v>
      </c>
      <c r="AL64" s="150"/>
      <c r="AM64" s="150"/>
      <c r="AN64" s="150"/>
      <c r="AO64" s="150"/>
      <c r="AP64" s="150"/>
      <c r="AQ64" s="150"/>
      <c r="AR64" s="154">
        <v>-36500000</v>
      </c>
      <c r="AS64" s="154"/>
      <c r="AT64" s="154"/>
      <c r="AU64" s="155">
        <f t="shared" si="10"/>
        <v>-16289.843171208484</v>
      </c>
      <c r="AV64" s="154"/>
      <c r="AW64" s="154"/>
      <c r="AX64" s="154"/>
      <c r="AY64" s="154"/>
      <c r="AZ64" s="154"/>
      <c r="BA64" s="154"/>
      <c r="BB64" s="154"/>
      <c r="BC64" s="154"/>
      <c r="BD64" s="154"/>
      <c r="BE64" s="154"/>
      <c r="BF64" s="154"/>
      <c r="BG64" s="154"/>
      <c r="BH64" s="154"/>
      <c r="BI64" s="154"/>
      <c r="BJ64" s="150" t="s">
        <v>291</v>
      </c>
      <c r="BK64" s="150" t="s">
        <v>183</v>
      </c>
      <c r="BL64" s="150">
        <f t="shared" si="7"/>
        <v>0</v>
      </c>
      <c r="BM64" s="150">
        <f t="shared" si="7"/>
        <v>0</v>
      </c>
      <c r="BN64" s="154" t="s">
        <v>183</v>
      </c>
      <c r="BO64" s="154"/>
      <c r="BP64" s="154"/>
      <c r="BQ64" s="154"/>
      <c r="BR64" s="154"/>
      <c r="BS64" s="154"/>
      <c r="BT64" s="154"/>
      <c r="BU64" s="154"/>
      <c r="BV64" s="154"/>
      <c r="BW64" s="156" t="s">
        <v>313</v>
      </c>
      <c r="BX64" s="66" t="str">
        <f t="shared" si="9"/>
        <v>in women</v>
      </c>
      <c r="BY64" s="66" t="s">
        <v>222</v>
      </c>
      <c r="BZ64" s="150">
        <v>2017</v>
      </c>
      <c r="CA64" s="157"/>
      <c r="CB64" s="157"/>
      <c r="CC64" s="158"/>
      <c r="CD64" s="150" t="s">
        <v>315</v>
      </c>
      <c r="CE64" s="150"/>
      <c r="CF64" s="150"/>
      <c r="CG64" s="150"/>
      <c r="CH64" s="150"/>
      <c r="CI64" s="150"/>
      <c r="CJ64" s="150"/>
      <c r="CK64" s="150"/>
      <c r="CL64" s="150"/>
      <c r="CM64" s="150"/>
      <c r="CN64" s="150"/>
    </row>
    <row r="65" spans="1:92" s="5" customFormat="1" ht="152.25">
      <c r="A65" s="150" t="s">
        <v>170</v>
      </c>
      <c r="B65" s="66" t="s">
        <v>170</v>
      </c>
      <c r="C65" s="66"/>
      <c r="D65" s="66"/>
      <c r="E65" s="66" t="s">
        <v>188</v>
      </c>
      <c r="F65" s="66" t="str">
        <f t="shared" si="1"/>
        <v xml:space="preserve">Tobacco; ; Prevention; </v>
      </c>
      <c r="G65" s="66" t="s">
        <v>205</v>
      </c>
      <c r="H65" s="66">
        <v>2011</v>
      </c>
      <c r="I65" s="66" t="str">
        <f>CONCATENATE(A65,", ",G65,": ",J65)</f>
        <v>Tobacco, NZ: National quitline service and its promotion in the mass media</v>
      </c>
      <c r="J65" s="151" t="s">
        <v>310</v>
      </c>
      <c r="K65" s="151">
        <v>0</v>
      </c>
      <c r="L65" s="134">
        <v>0</v>
      </c>
      <c r="M65" s="134"/>
      <c r="N65" s="134">
        <v>0</v>
      </c>
      <c r="O65" s="134"/>
      <c r="P65" s="66" t="s">
        <v>215</v>
      </c>
      <c r="Q65" s="66" t="str">
        <f>IF($P65="Main",J65,BX65)</f>
        <v>in 15-24 yr olds</v>
      </c>
      <c r="R65" s="66" t="str">
        <f>IF($P65="Main",CONCATENATE(J65,": ",G65),BY65)</f>
        <v>in 15-24 yr olds</v>
      </c>
      <c r="S65" s="66" t="s">
        <v>239</v>
      </c>
      <c r="T65" s="66" t="s">
        <v>276</v>
      </c>
      <c r="U65" s="66" t="s">
        <v>276</v>
      </c>
      <c r="V65" s="135" t="s">
        <v>311</v>
      </c>
      <c r="W65" s="135">
        <v>0</v>
      </c>
      <c r="X65" s="135">
        <v>1</v>
      </c>
      <c r="Y65" s="66" t="s">
        <v>312</v>
      </c>
      <c r="Z65" s="66" t="s">
        <v>209</v>
      </c>
      <c r="AA65" s="66" t="s">
        <v>179</v>
      </c>
      <c r="AB65" s="66" t="s">
        <v>180</v>
      </c>
      <c r="AC65" s="152">
        <v>0.03</v>
      </c>
      <c r="AD65" s="150" t="s">
        <v>181</v>
      </c>
      <c r="AE65" s="150"/>
      <c r="AF65" s="150"/>
      <c r="AG65" s="146">
        <v>332</v>
      </c>
      <c r="AH65" s="146"/>
      <c r="AI65" s="146"/>
      <c r="AJ65" s="150">
        <v>642430</v>
      </c>
      <c r="AK65" s="153">
        <f t="shared" si="2"/>
        <v>0.5167878212412248</v>
      </c>
      <c r="AL65" s="150"/>
      <c r="AM65" s="150"/>
      <c r="AN65" s="150"/>
      <c r="AO65" s="150"/>
      <c r="AP65" s="150"/>
      <c r="AQ65" s="150"/>
      <c r="AR65" s="154">
        <v>-13170000</v>
      </c>
      <c r="AS65" s="154"/>
      <c r="AT65" s="154"/>
      <c r="AU65" s="155">
        <f t="shared" si="10"/>
        <v>-20500.287969117257</v>
      </c>
      <c r="AV65" s="154"/>
      <c r="AW65" s="154"/>
      <c r="AX65" s="154"/>
      <c r="AY65" s="154"/>
      <c r="AZ65" s="154"/>
      <c r="BA65" s="154"/>
      <c r="BB65" s="154"/>
      <c r="BC65" s="154"/>
      <c r="BD65" s="154"/>
      <c r="BE65" s="154"/>
      <c r="BF65" s="154"/>
      <c r="BG65" s="154"/>
      <c r="BH65" s="154"/>
      <c r="BI65" s="154"/>
      <c r="BJ65" s="150" t="s">
        <v>291</v>
      </c>
      <c r="BK65" s="150" t="s">
        <v>183</v>
      </c>
      <c r="BL65" s="150">
        <f t="shared" si="7"/>
        <v>0</v>
      </c>
      <c r="BM65" s="150">
        <f t="shared" si="7"/>
        <v>0</v>
      </c>
      <c r="BN65" s="154" t="s">
        <v>183</v>
      </c>
      <c r="BO65" s="154"/>
      <c r="BP65" s="154"/>
      <c r="BQ65" s="154"/>
      <c r="BR65" s="154"/>
      <c r="BS65" s="154"/>
      <c r="BT65" s="154"/>
      <c r="BU65" s="154"/>
      <c r="BV65" s="154"/>
      <c r="BW65" s="156" t="s">
        <v>313</v>
      </c>
      <c r="BX65" s="66" t="str">
        <f t="shared" si="9"/>
        <v>in 15-24 yr olds</v>
      </c>
      <c r="BY65" s="66" t="s">
        <v>316</v>
      </c>
      <c r="BZ65" s="150">
        <v>2017</v>
      </c>
      <c r="CA65" s="157"/>
      <c r="CB65" s="157"/>
      <c r="CC65" s="158"/>
      <c r="CD65" s="150" t="s">
        <v>315</v>
      </c>
      <c r="CE65" s="150"/>
      <c r="CF65" s="150"/>
      <c r="CG65" s="150"/>
      <c r="CH65" s="150"/>
      <c r="CI65" s="150"/>
      <c r="CJ65" s="150"/>
      <c r="CK65" s="150"/>
      <c r="CL65" s="150"/>
      <c r="CM65" s="150"/>
      <c r="CN65" s="150"/>
    </row>
    <row r="66" spans="1:92" s="5" customFormat="1" ht="152.25">
      <c r="A66" s="150" t="s">
        <v>170</v>
      </c>
      <c r="B66" s="66" t="s">
        <v>170</v>
      </c>
      <c r="C66" s="66"/>
      <c r="D66" s="66"/>
      <c r="E66" s="66" t="s">
        <v>188</v>
      </c>
      <c r="F66" s="66" t="str">
        <f t="shared" si="1"/>
        <v xml:space="preserve">Tobacco; ; Prevention; </v>
      </c>
      <c r="G66" s="66" t="s">
        <v>205</v>
      </c>
      <c r="H66" s="66">
        <v>2011</v>
      </c>
      <c r="I66" s="66" t="str">
        <f>CONCATENATE(A66,", ",G66,": ",J66)</f>
        <v>Tobacco, NZ: National quitline service and its promotion in the mass media</v>
      </c>
      <c r="J66" s="151" t="s">
        <v>310</v>
      </c>
      <c r="K66" s="151">
        <v>0</v>
      </c>
      <c r="L66" s="134">
        <v>0</v>
      </c>
      <c r="M66" s="134"/>
      <c r="N66" s="134">
        <v>0</v>
      </c>
      <c r="O66" s="134"/>
      <c r="P66" s="66" t="s">
        <v>215</v>
      </c>
      <c r="Q66" s="66" t="str">
        <f>IF($P66="Main",J66,BX66)</f>
        <v>in 25-44 yr old</v>
      </c>
      <c r="R66" s="66" t="str">
        <f>IF($P66="Main",CONCATENATE(J66,": ",G66),BY66)</f>
        <v>in 25-44 yr old</v>
      </c>
      <c r="S66" s="66" t="s">
        <v>241</v>
      </c>
      <c r="T66" s="66" t="s">
        <v>276</v>
      </c>
      <c r="U66" s="66" t="s">
        <v>276</v>
      </c>
      <c r="V66" s="135" t="s">
        <v>311</v>
      </c>
      <c r="W66" s="135">
        <v>0</v>
      </c>
      <c r="X66" s="135">
        <v>1</v>
      </c>
      <c r="Y66" s="66" t="s">
        <v>312</v>
      </c>
      <c r="Z66" s="66" t="s">
        <v>209</v>
      </c>
      <c r="AA66" s="66" t="s">
        <v>179</v>
      </c>
      <c r="AB66" s="66" t="s">
        <v>180</v>
      </c>
      <c r="AC66" s="152">
        <v>0.03</v>
      </c>
      <c r="AD66" s="150" t="s">
        <v>181</v>
      </c>
      <c r="AE66" s="150"/>
      <c r="AF66" s="150"/>
      <c r="AG66" s="146">
        <v>1131</v>
      </c>
      <c r="AH66" s="146"/>
      <c r="AI66" s="146"/>
      <c r="AJ66" s="150">
        <v>1169340</v>
      </c>
      <c r="AK66" s="153">
        <f t="shared" si="2"/>
        <v>0.96721227359023043</v>
      </c>
      <c r="AL66" s="150"/>
      <c r="AM66" s="150"/>
      <c r="AN66" s="150"/>
      <c r="AO66" s="150"/>
      <c r="AP66" s="150"/>
      <c r="AQ66" s="150"/>
      <c r="AR66" s="154">
        <v>-49600000</v>
      </c>
      <c r="AS66" s="154"/>
      <c r="AT66" s="154"/>
      <c r="AU66" s="155">
        <f t="shared" si="10"/>
        <v>-42417.089982383222</v>
      </c>
      <c r="AV66" s="154"/>
      <c r="AW66" s="154"/>
      <c r="AX66" s="154"/>
      <c r="AY66" s="154"/>
      <c r="AZ66" s="154"/>
      <c r="BA66" s="154"/>
      <c r="BB66" s="154"/>
      <c r="BC66" s="154"/>
      <c r="BD66" s="154"/>
      <c r="BE66" s="154"/>
      <c r="BF66" s="154"/>
      <c r="BG66" s="154"/>
      <c r="BH66" s="154"/>
      <c r="BI66" s="154"/>
      <c r="BJ66" s="150" t="s">
        <v>291</v>
      </c>
      <c r="BK66" s="150" t="s">
        <v>183</v>
      </c>
      <c r="BL66" s="150">
        <f t="shared" si="7"/>
        <v>0</v>
      </c>
      <c r="BM66" s="150">
        <f t="shared" si="7"/>
        <v>0</v>
      </c>
      <c r="BN66" s="154" t="s">
        <v>183</v>
      </c>
      <c r="BO66" s="154"/>
      <c r="BP66" s="154"/>
      <c r="BQ66" s="154"/>
      <c r="BR66" s="154"/>
      <c r="BS66" s="154"/>
      <c r="BT66" s="154"/>
      <c r="BU66" s="154"/>
      <c r="BV66" s="154"/>
      <c r="BW66" s="156" t="s">
        <v>313</v>
      </c>
      <c r="BX66" s="66" t="str">
        <f t="shared" si="9"/>
        <v>in 25-44 yr old</v>
      </c>
      <c r="BY66" s="66" t="s">
        <v>317</v>
      </c>
      <c r="BZ66" s="150">
        <v>2017</v>
      </c>
      <c r="CA66" s="157"/>
      <c r="CB66" s="157"/>
      <c r="CC66" s="158"/>
      <c r="CD66" s="150" t="s">
        <v>315</v>
      </c>
      <c r="CE66" s="150"/>
      <c r="CF66" s="150"/>
      <c r="CG66" s="150"/>
      <c r="CH66" s="150"/>
      <c r="CI66" s="150"/>
      <c r="CJ66" s="150"/>
      <c r="CK66" s="150"/>
      <c r="CL66" s="150"/>
      <c r="CM66" s="150"/>
      <c r="CN66" s="150"/>
    </row>
    <row r="67" spans="1:92" s="5" customFormat="1" ht="152.25">
      <c r="A67" s="150" t="s">
        <v>170</v>
      </c>
      <c r="B67" s="66" t="s">
        <v>170</v>
      </c>
      <c r="C67" s="66"/>
      <c r="D67" s="66"/>
      <c r="E67" s="66" t="s">
        <v>188</v>
      </c>
      <c r="F67" s="66" t="str">
        <f t="shared" ref="F67:F130" si="11">CONCATENATE(B67,"; ",C67,"; ",E67,"; ",D67)</f>
        <v xml:space="preserve">Tobacco; ; Prevention; </v>
      </c>
      <c r="G67" s="66" t="s">
        <v>205</v>
      </c>
      <c r="H67" s="66">
        <v>2011</v>
      </c>
      <c r="I67" s="66" t="str">
        <f>CONCATENATE(A67,", ",G67,": ",J67)</f>
        <v>Tobacco, NZ: National quitline service and its promotion in the mass media</v>
      </c>
      <c r="J67" s="151" t="s">
        <v>310</v>
      </c>
      <c r="K67" s="151">
        <v>0</v>
      </c>
      <c r="L67" s="134">
        <v>0</v>
      </c>
      <c r="M67" s="134"/>
      <c r="N67" s="134">
        <v>0</v>
      </c>
      <c r="O67" s="134"/>
      <c r="P67" s="66" t="s">
        <v>215</v>
      </c>
      <c r="Q67" s="66" t="str">
        <f>IF($P67="Main",J67,BX67)</f>
        <v>in 45-64 yr olds</v>
      </c>
      <c r="R67" s="66" t="str">
        <f>IF($P67="Main",CONCATENATE(J67,": ",G67),BY67)</f>
        <v>in 45-64 yr olds</v>
      </c>
      <c r="S67" s="66" t="s">
        <v>244</v>
      </c>
      <c r="T67" s="66" t="s">
        <v>276</v>
      </c>
      <c r="U67" s="66" t="s">
        <v>276</v>
      </c>
      <c r="V67" s="135" t="s">
        <v>311</v>
      </c>
      <c r="W67" s="135">
        <v>0</v>
      </c>
      <c r="X67" s="135">
        <v>1</v>
      </c>
      <c r="Y67" s="66" t="s">
        <v>312</v>
      </c>
      <c r="Z67" s="66" t="s">
        <v>209</v>
      </c>
      <c r="AA67" s="66" t="s">
        <v>179</v>
      </c>
      <c r="AB67" s="66" t="s">
        <v>180</v>
      </c>
      <c r="AC67" s="152">
        <v>0.03</v>
      </c>
      <c r="AD67" s="150" t="s">
        <v>181</v>
      </c>
      <c r="AE67" s="150"/>
      <c r="AF67" s="150"/>
      <c r="AG67" s="146">
        <v>600</v>
      </c>
      <c r="AH67" s="146"/>
      <c r="AI67" s="146"/>
      <c r="AJ67" s="150">
        <v>1111900</v>
      </c>
      <c r="AK67" s="153">
        <f t="shared" ref="AK67:AM130" si="12">AG67/$AJ67*1000</f>
        <v>0.53961687202086517</v>
      </c>
      <c r="AL67" s="150"/>
      <c r="AM67" s="150"/>
      <c r="AN67" s="150"/>
      <c r="AO67" s="150"/>
      <c r="AP67" s="150"/>
      <c r="AQ67" s="150"/>
      <c r="AR67" s="154">
        <v>-23100000</v>
      </c>
      <c r="AS67" s="154"/>
      <c r="AT67" s="154"/>
      <c r="AU67" s="155">
        <f t="shared" si="10"/>
        <v>-20775.24957280331</v>
      </c>
      <c r="AV67" s="154"/>
      <c r="AW67" s="154"/>
      <c r="AX67" s="154"/>
      <c r="AY67" s="154"/>
      <c r="AZ67" s="154"/>
      <c r="BA67" s="154"/>
      <c r="BB67" s="154"/>
      <c r="BC67" s="154"/>
      <c r="BD67" s="154"/>
      <c r="BE67" s="154"/>
      <c r="BF67" s="154"/>
      <c r="BG67" s="154"/>
      <c r="BH67" s="154"/>
      <c r="BI67" s="154"/>
      <c r="BJ67" s="150" t="s">
        <v>291</v>
      </c>
      <c r="BK67" s="150" t="s">
        <v>183</v>
      </c>
      <c r="BL67" s="150">
        <f t="shared" ref="BL67:BM98" si="13">IF($BJ67="Y",IF(BO67="",IF(BR67="",BU67,BR67),BO67),"")</f>
        <v>0</v>
      </c>
      <c r="BM67" s="150">
        <f t="shared" si="13"/>
        <v>0</v>
      </c>
      <c r="BN67" s="154" t="s">
        <v>183</v>
      </c>
      <c r="BO67" s="154"/>
      <c r="BP67" s="154"/>
      <c r="BQ67" s="154"/>
      <c r="BR67" s="154"/>
      <c r="BS67" s="154"/>
      <c r="BT67" s="154"/>
      <c r="BU67" s="154"/>
      <c r="BV67" s="154"/>
      <c r="BW67" s="156" t="s">
        <v>313</v>
      </c>
      <c r="BX67" s="66" t="str">
        <f t="shared" si="9"/>
        <v>in 45-64 yr olds</v>
      </c>
      <c r="BY67" s="66" t="s">
        <v>318</v>
      </c>
      <c r="BZ67" s="150">
        <v>2017</v>
      </c>
      <c r="CA67" s="157"/>
      <c r="CB67" s="157"/>
      <c r="CC67" s="158"/>
      <c r="CD67" s="150" t="s">
        <v>315</v>
      </c>
      <c r="CE67" s="150"/>
      <c r="CF67" s="150"/>
      <c r="CG67" s="150"/>
      <c r="CH67" s="150"/>
      <c r="CI67" s="150"/>
      <c r="CJ67" s="150"/>
      <c r="CK67" s="150"/>
      <c r="CL67" s="150"/>
      <c r="CM67" s="150"/>
      <c r="CN67" s="150"/>
    </row>
    <row r="68" spans="1:92" s="5" customFormat="1" ht="152.25">
      <c r="A68" s="150" t="s">
        <v>170</v>
      </c>
      <c r="B68" s="66" t="s">
        <v>170</v>
      </c>
      <c r="C68" s="66"/>
      <c r="D68" s="66"/>
      <c r="E68" s="66" t="s">
        <v>188</v>
      </c>
      <c r="F68" s="66" t="str">
        <f t="shared" si="11"/>
        <v xml:space="preserve">Tobacco; ; Prevention; </v>
      </c>
      <c r="G68" s="66" t="s">
        <v>205</v>
      </c>
      <c r="H68" s="66">
        <v>2011</v>
      </c>
      <c r="I68" s="66" t="str">
        <f>CONCATENATE(A68,", ",G68,": ",J68)</f>
        <v>Tobacco, NZ: National quitline service and its promotion in the mass media</v>
      </c>
      <c r="J68" s="151" t="s">
        <v>310</v>
      </c>
      <c r="K68" s="151">
        <v>0</v>
      </c>
      <c r="L68" s="134">
        <v>0</v>
      </c>
      <c r="M68" s="134"/>
      <c r="N68" s="134">
        <v>0</v>
      </c>
      <c r="O68" s="134"/>
      <c r="P68" s="66" t="s">
        <v>215</v>
      </c>
      <c r="Q68" s="66" t="str">
        <f>IF($P68="Main",J68,BX68)</f>
        <v xml:space="preserve">in 65+ yr olds </v>
      </c>
      <c r="R68" s="66" t="str">
        <f>IF($P68="Main",CONCATENATE(J68,": ",G68),BY68)</f>
        <v xml:space="preserve">in 65+ yr olds </v>
      </c>
      <c r="S68" s="66" t="s">
        <v>247</v>
      </c>
      <c r="T68" s="66" t="s">
        <v>276</v>
      </c>
      <c r="U68" s="66" t="s">
        <v>276</v>
      </c>
      <c r="V68" s="135" t="s">
        <v>311</v>
      </c>
      <c r="W68" s="135">
        <v>0</v>
      </c>
      <c r="X68" s="135">
        <v>1</v>
      </c>
      <c r="Y68" s="66" t="s">
        <v>312</v>
      </c>
      <c r="Z68" s="66" t="s">
        <v>209</v>
      </c>
      <c r="AA68" s="66" t="s">
        <v>179</v>
      </c>
      <c r="AB68" s="66" t="s">
        <v>180</v>
      </c>
      <c r="AC68" s="152">
        <v>0.03</v>
      </c>
      <c r="AD68" s="150" t="s">
        <v>181</v>
      </c>
      <c r="AE68" s="150"/>
      <c r="AF68" s="150"/>
      <c r="AG68" s="146">
        <v>36.200000000000003</v>
      </c>
      <c r="AH68" s="146"/>
      <c r="AI68" s="146"/>
      <c r="AJ68" s="150">
        <v>586980</v>
      </c>
      <c r="AK68" s="153">
        <f t="shared" si="12"/>
        <v>6.1671607209785692E-2</v>
      </c>
      <c r="AL68" s="150"/>
      <c r="AM68" s="150"/>
      <c r="AN68" s="150"/>
      <c r="AO68" s="150"/>
      <c r="AP68" s="150"/>
      <c r="AQ68" s="150"/>
      <c r="AR68" s="154">
        <v>-306000</v>
      </c>
      <c r="AS68" s="154"/>
      <c r="AT68" s="154"/>
      <c r="AU68" s="155">
        <f t="shared" si="10"/>
        <v>-521.31248083409992</v>
      </c>
      <c r="AV68" s="154"/>
      <c r="AW68" s="154"/>
      <c r="AX68" s="154"/>
      <c r="AY68" s="154"/>
      <c r="AZ68" s="154"/>
      <c r="BA68" s="154"/>
      <c r="BB68" s="154"/>
      <c r="BC68" s="154"/>
      <c r="BD68" s="154"/>
      <c r="BE68" s="154"/>
      <c r="BF68" s="154"/>
      <c r="BG68" s="154"/>
      <c r="BH68" s="154"/>
      <c r="BI68" s="154"/>
      <c r="BJ68" s="150" t="s">
        <v>291</v>
      </c>
      <c r="BK68" s="150" t="s">
        <v>183</v>
      </c>
      <c r="BL68" s="150">
        <f t="shared" si="13"/>
        <v>0</v>
      </c>
      <c r="BM68" s="150">
        <f t="shared" si="13"/>
        <v>0</v>
      </c>
      <c r="BN68" s="154" t="s">
        <v>183</v>
      </c>
      <c r="BO68" s="154"/>
      <c r="BP68" s="154"/>
      <c r="BQ68" s="154"/>
      <c r="BR68" s="154"/>
      <c r="BS68" s="154"/>
      <c r="BT68" s="154"/>
      <c r="BU68" s="154"/>
      <c r="BV68" s="154"/>
      <c r="BW68" s="156" t="s">
        <v>313</v>
      </c>
      <c r="BX68" s="66" t="str">
        <f t="shared" si="9"/>
        <v xml:space="preserve">in 65+ yr olds </v>
      </c>
      <c r="BY68" s="66" t="s">
        <v>319</v>
      </c>
      <c r="BZ68" s="150">
        <v>2017</v>
      </c>
      <c r="CA68" s="157"/>
      <c r="CB68" s="157"/>
      <c r="CC68" s="158"/>
      <c r="CD68" s="150" t="s">
        <v>315</v>
      </c>
      <c r="CE68" s="150"/>
      <c r="CF68" s="150"/>
      <c r="CG68" s="150"/>
      <c r="CH68" s="150"/>
      <c r="CI68" s="150"/>
      <c r="CJ68" s="150"/>
      <c r="CK68" s="150"/>
      <c r="CL68" s="150"/>
      <c r="CM68" s="150"/>
      <c r="CN68" s="150"/>
    </row>
    <row r="69" spans="1:92" s="5" customFormat="1" ht="152.25">
      <c r="A69" s="150" t="s">
        <v>170</v>
      </c>
      <c r="B69" s="66" t="s">
        <v>170</v>
      </c>
      <c r="C69" s="66"/>
      <c r="D69" s="66"/>
      <c r="E69" s="66" t="s">
        <v>188</v>
      </c>
      <c r="F69" s="66" t="str">
        <f t="shared" si="11"/>
        <v xml:space="preserve">Tobacco; ; Prevention; </v>
      </c>
      <c r="G69" s="66" t="s">
        <v>205</v>
      </c>
      <c r="H69" s="66">
        <v>2011</v>
      </c>
      <c r="I69" s="66" t="str">
        <f>CONCATENATE(A69,", ",G69,": ",J69)</f>
        <v>Tobacco, NZ: National quitline service and its promotion in the mass media</v>
      </c>
      <c r="J69" s="151" t="s">
        <v>310</v>
      </c>
      <c r="K69" s="151"/>
      <c r="L69" s="151"/>
      <c r="M69" s="151"/>
      <c r="N69" s="151"/>
      <c r="O69" s="151"/>
      <c r="P69" s="66" t="s">
        <v>215</v>
      </c>
      <c r="Q69" s="66" t="str">
        <f>IF($P69="Main",J69,BX69)</f>
        <v>in non-Māori</v>
      </c>
      <c r="R69" s="66" t="str">
        <f>IF($P69="Main",CONCATENATE(J69,": ",G69),BY69)</f>
        <v>in non-Māori</v>
      </c>
      <c r="S69" s="66"/>
      <c r="T69" s="66"/>
      <c r="U69" s="66"/>
      <c r="V69" s="135" t="s">
        <v>311</v>
      </c>
      <c r="W69" s="135"/>
      <c r="X69" s="135"/>
      <c r="Y69" s="66" t="s">
        <v>312</v>
      </c>
      <c r="Z69" s="66" t="s">
        <v>209</v>
      </c>
      <c r="AA69" s="66" t="s">
        <v>179</v>
      </c>
      <c r="AB69" s="66" t="s">
        <v>180</v>
      </c>
      <c r="AC69" s="152">
        <v>0.03</v>
      </c>
      <c r="AD69" s="150" t="s">
        <v>181</v>
      </c>
      <c r="AE69" s="150"/>
      <c r="AF69" s="150"/>
      <c r="AG69" s="146">
        <v>2720</v>
      </c>
      <c r="AH69" s="146">
        <v>2150</v>
      </c>
      <c r="AI69" s="146">
        <v>3430</v>
      </c>
      <c r="AJ69" s="150">
        <v>3731070</v>
      </c>
      <c r="AK69" s="153">
        <f t="shared" si="12"/>
        <v>0.72901339294089906</v>
      </c>
      <c r="AL69" s="153">
        <f>AH69/$AJ69*1000</f>
        <v>0.57624220397901948</v>
      </c>
      <c r="AM69" s="153">
        <f>AI69/$AJ69*1000</f>
        <v>0.91930733006885423</v>
      </c>
      <c r="AN69" s="150"/>
      <c r="AO69" s="150"/>
      <c r="AP69" s="150"/>
      <c r="AQ69" s="150"/>
      <c r="AR69" s="154"/>
      <c r="AS69" s="154"/>
      <c r="AT69" s="154"/>
      <c r="AU69" s="154"/>
      <c r="AV69" s="154"/>
      <c r="AW69" s="154"/>
      <c r="AX69" s="154"/>
      <c r="AY69" s="154"/>
      <c r="AZ69" s="154"/>
      <c r="BA69" s="154"/>
      <c r="BB69" s="154"/>
      <c r="BC69" s="154"/>
      <c r="BD69" s="154"/>
      <c r="BE69" s="154"/>
      <c r="BF69" s="154"/>
      <c r="BG69" s="154"/>
      <c r="BH69" s="154"/>
      <c r="BI69" s="154"/>
      <c r="BJ69" s="150" t="s">
        <v>291</v>
      </c>
      <c r="BK69" s="150" t="s">
        <v>183</v>
      </c>
      <c r="BL69" s="150">
        <f t="shared" si="13"/>
        <v>0</v>
      </c>
      <c r="BM69" s="150">
        <f t="shared" si="13"/>
        <v>0</v>
      </c>
      <c r="BN69" s="154" t="s">
        <v>183</v>
      </c>
      <c r="BO69" s="154"/>
      <c r="BP69" s="154"/>
      <c r="BQ69" s="154"/>
      <c r="BR69" s="154"/>
      <c r="BS69" s="154"/>
      <c r="BT69" s="154"/>
      <c r="BU69" s="154"/>
      <c r="BV69" s="154"/>
      <c r="BW69" s="156" t="s">
        <v>313</v>
      </c>
      <c r="BX69" s="66" t="str">
        <f t="shared" si="9"/>
        <v>in non-Māori</v>
      </c>
      <c r="BY69" s="150" t="s">
        <v>228</v>
      </c>
      <c r="BZ69" s="150">
        <v>2017</v>
      </c>
      <c r="CA69" s="157"/>
      <c r="CB69" s="157"/>
      <c r="CC69" s="158"/>
      <c r="CD69" s="150" t="s">
        <v>315</v>
      </c>
      <c r="CE69" s="150"/>
      <c r="CF69" s="150"/>
      <c r="CG69" s="150"/>
      <c r="CH69" s="150"/>
      <c r="CI69" s="150"/>
      <c r="CJ69" s="150"/>
      <c r="CK69" s="150"/>
      <c r="CL69" s="150"/>
      <c r="CM69" s="150"/>
      <c r="CN69" s="150"/>
    </row>
    <row r="70" spans="1:92" s="5" customFormat="1" ht="152.25">
      <c r="A70" s="150" t="s">
        <v>170</v>
      </c>
      <c r="B70" s="66" t="s">
        <v>170</v>
      </c>
      <c r="C70" s="66"/>
      <c r="D70" s="66"/>
      <c r="E70" s="66" t="s">
        <v>188</v>
      </c>
      <c r="F70" s="66" t="str">
        <f t="shared" si="11"/>
        <v xml:space="preserve">Tobacco; ; Prevention; </v>
      </c>
      <c r="G70" s="66" t="s">
        <v>205</v>
      </c>
      <c r="H70" s="66">
        <v>2011</v>
      </c>
      <c r="I70" s="66" t="str">
        <f>CONCATENATE(A70,", ",G70,": ",J70)</f>
        <v>Tobacco, NZ: National quitline service and its promotion in the mass media</v>
      </c>
      <c r="J70" s="151" t="s">
        <v>310</v>
      </c>
      <c r="K70" s="151">
        <v>0</v>
      </c>
      <c r="L70" s="134">
        <v>0</v>
      </c>
      <c r="M70" s="134"/>
      <c r="N70" s="134">
        <v>0</v>
      </c>
      <c r="O70" s="134"/>
      <c r="P70" s="66" t="s">
        <v>215</v>
      </c>
      <c r="Q70" s="66" t="str">
        <f>IF($P70="Main",J70,BX70)</f>
        <v xml:space="preserve">in non-Māori men </v>
      </c>
      <c r="R70" s="66" t="str">
        <f>IF($P70="Main",CONCATENATE(J70,": ",G70),BY70)</f>
        <v xml:space="preserve">in non-Māori men </v>
      </c>
      <c r="S70" s="66" t="s">
        <v>276</v>
      </c>
      <c r="T70" s="66" t="s">
        <v>235</v>
      </c>
      <c r="U70" s="135" t="s">
        <v>236</v>
      </c>
      <c r="V70" s="135" t="s">
        <v>311</v>
      </c>
      <c r="W70" s="135">
        <v>0</v>
      </c>
      <c r="X70" s="135">
        <v>1</v>
      </c>
      <c r="Y70" s="66" t="s">
        <v>312</v>
      </c>
      <c r="Z70" s="66" t="s">
        <v>209</v>
      </c>
      <c r="AA70" s="66" t="s">
        <v>179</v>
      </c>
      <c r="AB70" s="66" t="s">
        <v>180</v>
      </c>
      <c r="AC70" s="152">
        <v>0.03</v>
      </c>
      <c r="AD70" s="150" t="s">
        <v>181</v>
      </c>
      <c r="AE70" s="150"/>
      <c r="AF70" s="150"/>
      <c r="AG70" s="146">
        <v>1450</v>
      </c>
      <c r="AH70" s="146"/>
      <c r="AI70" s="146"/>
      <c r="AJ70" s="150">
        <v>1833710</v>
      </c>
      <c r="AK70" s="153">
        <f t="shared" si="12"/>
        <v>0.79074662841997923</v>
      </c>
      <c r="AL70" s="150"/>
      <c r="AM70" s="150"/>
      <c r="AN70" s="150"/>
      <c r="AO70" s="150"/>
      <c r="AP70" s="150"/>
      <c r="AQ70" s="150"/>
      <c r="AR70" s="154"/>
      <c r="AS70" s="154"/>
      <c r="AT70" s="154"/>
      <c r="AU70" s="154"/>
      <c r="AV70" s="154"/>
      <c r="AW70" s="154"/>
      <c r="AX70" s="154"/>
      <c r="AY70" s="154"/>
      <c r="AZ70" s="154"/>
      <c r="BA70" s="154"/>
      <c r="BB70" s="154"/>
      <c r="BC70" s="154"/>
      <c r="BD70" s="154"/>
      <c r="BE70" s="154"/>
      <c r="BF70" s="154"/>
      <c r="BG70" s="154"/>
      <c r="BH70" s="154"/>
      <c r="BI70" s="154"/>
      <c r="BJ70" s="150" t="s">
        <v>291</v>
      </c>
      <c r="BK70" s="150" t="s">
        <v>183</v>
      </c>
      <c r="BL70" s="150">
        <f t="shared" si="13"/>
        <v>0</v>
      </c>
      <c r="BM70" s="150">
        <f t="shared" si="13"/>
        <v>0</v>
      </c>
      <c r="BN70" s="154" t="s">
        <v>183</v>
      </c>
      <c r="BO70" s="154"/>
      <c r="BP70" s="154"/>
      <c r="BQ70" s="154"/>
      <c r="BR70" s="154"/>
      <c r="BS70" s="154"/>
      <c r="BT70" s="154"/>
      <c r="BU70" s="154"/>
      <c r="BV70" s="154"/>
      <c r="BW70" s="156" t="s">
        <v>313</v>
      </c>
      <c r="BX70" s="66" t="str">
        <f t="shared" si="9"/>
        <v xml:space="preserve">in non-Māori men </v>
      </c>
      <c r="BY70" s="150" t="s">
        <v>229</v>
      </c>
      <c r="BZ70" s="150">
        <v>2017</v>
      </c>
      <c r="CA70" s="157"/>
      <c r="CB70" s="157"/>
      <c r="CC70" s="158"/>
      <c r="CD70" s="150" t="s">
        <v>315</v>
      </c>
      <c r="CE70" s="150"/>
      <c r="CF70" s="150"/>
      <c r="CG70" s="150"/>
      <c r="CH70" s="150"/>
      <c r="CI70" s="150"/>
      <c r="CJ70" s="150"/>
      <c r="CK70" s="150"/>
      <c r="CL70" s="150"/>
      <c r="CM70" s="150"/>
      <c r="CN70" s="150"/>
    </row>
    <row r="71" spans="1:92" s="5" customFormat="1" ht="152.25">
      <c r="A71" s="150" t="s">
        <v>170</v>
      </c>
      <c r="B71" s="66" t="s">
        <v>170</v>
      </c>
      <c r="C71" s="66"/>
      <c r="D71" s="66"/>
      <c r="E71" s="66" t="s">
        <v>188</v>
      </c>
      <c r="F71" s="66" t="str">
        <f t="shared" si="11"/>
        <v xml:space="preserve">Tobacco; ; Prevention; </v>
      </c>
      <c r="G71" s="66" t="s">
        <v>205</v>
      </c>
      <c r="H71" s="66">
        <v>2011</v>
      </c>
      <c r="I71" s="66" t="str">
        <f>CONCATENATE(A71,", ",G71,": ",J71)</f>
        <v>Tobacco, NZ: National quitline service and its promotion in the mass media</v>
      </c>
      <c r="J71" s="151" t="s">
        <v>310</v>
      </c>
      <c r="K71" s="151">
        <v>0</v>
      </c>
      <c r="L71" s="134">
        <v>0</v>
      </c>
      <c r="M71" s="134"/>
      <c r="N71" s="134">
        <v>0</v>
      </c>
      <c r="O71" s="134"/>
      <c r="P71" s="66" t="s">
        <v>215</v>
      </c>
      <c r="Q71" s="66" t="str">
        <f>IF($P71="Main",J71,BX71)</f>
        <v xml:space="preserve">in non-Māori women </v>
      </c>
      <c r="R71" s="66" t="str">
        <f>IF($P71="Main",CONCATENATE(J71,": ",G71),BY71)</f>
        <v xml:space="preserve">in non-Māori women </v>
      </c>
      <c r="S71" s="66" t="s">
        <v>276</v>
      </c>
      <c r="T71" s="66" t="s">
        <v>250</v>
      </c>
      <c r="U71" s="135" t="s">
        <v>236</v>
      </c>
      <c r="V71" s="135" t="s">
        <v>311</v>
      </c>
      <c r="W71" s="135">
        <v>0</v>
      </c>
      <c r="X71" s="135">
        <v>1</v>
      </c>
      <c r="Y71" s="66" t="s">
        <v>312</v>
      </c>
      <c r="Z71" s="66" t="s">
        <v>209</v>
      </c>
      <c r="AA71" s="66" t="s">
        <v>179</v>
      </c>
      <c r="AB71" s="66" t="s">
        <v>180</v>
      </c>
      <c r="AC71" s="152">
        <v>0.03</v>
      </c>
      <c r="AD71" s="150" t="s">
        <v>181</v>
      </c>
      <c r="AE71" s="150"/>
      <c r="AF71" s="150"/>
      <c r="AG71" s="146">
        <v>1270</v>
      </c>
      <c r="AH71" s="146"/>
      <c r="AI71" s="146"/>
      <c r="AJ71" s="150">
        <v>1897360</v>
      </c>
      <c r="AK71" s="153">
        <f t="shared" si="12"/>
        <v>0.66935109836825901</v>
      </c>
      <c r="AL71" s="150"/>
      <c r="AM71" s="150"/>
      <c r="AN71" s="150"/>
      <c r="AO71" s="150"/>
      <c r="AP71" s="150"/>
      <c r="AQ71" s="150"/>
      <c r="AR71" s="154"/>
      <c r="AS71" s="154"/>
      <c r="AT71" s="154"/>
      <c r="AU71" s="154"/>
      <c r="AV71" s="154"/>
      <c r="AW71" s="154"/>
      <c r="AX71" s="154"/>
      <c r="AY71" s="154"/>
      <c r="AZ71" s="154"/>
      <c r="BA71" s="154"/>
      <c r="BB71" s="154"/>
      <c r="BC71" s="154"/>
      <c r="BD71" s="154"/>
      <c r="BE71" s="154"/>
      <c r="BF71" s="154"/>
      <c r="BG71" s="154"/>
      <c r="BH71" s="154"/>
      <c r="BI71" s="154"/>
      <c r="BJ71" s="150" t="s">
        <v>291</v>
      </c>
      <c r="BK71" s="150" t="s">
        <v>183</v>
      </c>
      <c r="BL71" s="150">
        <f t="shared" si="13"/>
        <v>0</v>
      </c>
      <c r="BM71" s="150">
        <f t="shared" si="13"/>
        <v>0</v>
      </c>
      <c r="BN71" s="154" t="s">
        <v>183</v>
      </c>
      <c r="BO71" s="154"/>
      <c r="BP71" s="154"/>
      <c r="BQ71" s="154"/>
      <c r="BR71" s="154"/>
      <c r="BS71" s="154"/>
      <c r="BT71" s="154"/>
      <c r="BU71" s="154"/>
      <c r="BV71" s="154"/>
      <c r="BW71" s="156" t="s">
        <v>313</v>
      </c>
      <c r="BX71" s="66" t="str">
        <f t="shared" si="9"/>
        <v xml:space="preserve">in non-Māori women </v>
      </c>
      <c r="BY71" s="150" t="s">
        <v>320</v>
      </c>
      <c r="BZ71" s="150">
        <v>2017</v>
      </c>
      <c r="CA71" s="157"/>
      <c r="CB71" s="157"/>
      <c r="CC71" s="158"/>
      <c r="CD71" s="150" t="s">
        <v>315</v>
      </c>
      <c r="CE71" s="150"/>
      <c r="CF71" s="150"/>
      <c r="CG71" s="150"/>
      <c r="CH71" s="150"/>
      <c r="CI71" s="150"/>
      <c r="CJ71" s="150"/>
      <c r="CK71" s="150"/>
      <c r="CL71" s="150"/>
      <c r="CM71" s="150"/>
      <c r="CN71" s="150"/>
    </row>
    <row r="72" spans="1:92" s="5" customFormat="1" ht="152.25">
      <c r="A72" s="150" t="s">
        <v>170</v>
      </c>
      <c r="B72" s="66" t="s">
        <v>170</v>
      </c>
      <c r="C72" s="66"/>
      <c r="D72" s="66"/>
      <c r="E72" s="66" t="s">
        <v>188</v>
      </c>
      <c r="F72" s="66" t="str">
        <f t="shared" si="11"/>
        <v xml:space="preserve">Tobacco; ; Prevention; </v>
      </c>
      <c r="G72" s="66" t="s">
        <v>205</v>
      </c>
      <c r="H72" s="66">
        <v>2011</v>
      </c>
      <c r="I72" s="66" t="str">
        <f>CONCATENATE(A72,", ",G72,": ",J72)</f>
        <v>Tobacco, NZ: National quitline service and its promotion in the mass media</v>
      </c>
      <c r="J72" s="151" t="s">
        <v>310</v>
      </c>
      <c r="K72" s="151"/>
      <c r="L72" s="151"/>
      <c r="M72" s="151"/>
      <c r="N72" s="151"/>
      <c r="O72" s="151"/>
      <c r="P72" s="66" t="s">
        <v>215</v>
      </c>
      <c r="Q72" s="66" t="str">
        <f>IF($P72="Main",J72,BX72)</f>
        <v>in Māori</v>
      </c>
      <c r="R72" s="66" t="str">
        <f>IF($P72="Main",CONCATENATE(J72,": ",G72),BY72)</f>
        <v>in Māori</v>
      </c>
      <c r="S72" s="66"/>
      <c r="T72" s="66"/>
      <c r="U72" s="66"/>
      <c r="V72" s="135" t="s">
        <v>311</v>
      </c>
      <c r="W72" s="135"/>
      <c r="X72" s="135"/>
      <c r="Y72" s="66" t="s">
        <v>312</v>
      </c>
      <c r="Z72" s="66" t="s">
        <v>209</v>
      </c>
      <c r="AA72" s="66" t="s">
        <v>179</v>
      </c>
      <c r="AB72" s="66" t="s">
        <v>180</v>
      </c>
      <c r="AC72" s="152">
        <v>0.03</v>
      </c>
      <c r="AD72" s="150" t="s">
        <v>181</v>
      </c>
      <c r="AE72" s="150"/>
      <c r="AF72" s="150"/>
      <c r="AG72" s="146">
        <v>1470</v>
      </c>
      <c r="AH72" s="146">
        <v>1160</v>
      </c>
      <c r="AI72" s="146">
        <v>1880</v>
      </c>
      <c r="AJ72" s="150">
        <v>674200</v>
      </c>
      <c r="AK72" s="153">
        <f t="shared" si="12"/>
        <v>2.1803619104123406</v>
      </c>
      <c r="AL72" s="153">
        <f>AH72/$AJ72*1000</f>
        <v>1.7205576980124593</v>
      </c>
      <c r="AM72" s="153">
        <f>AI72/$AJ72*1000</f>
        <v>2.7884900622960545</v>
      </c>
      <c r="AN72" s="150"/>
      <c r="AO72" s="150"/>
      <c r="AP72" s="150"/>
      <c r="AQ72" s="150"/>
      <c r="AR72" s="154"/>
      <c r="AS72" s="154"/>
      <c r="AT72" s="154"/>
      <c r="AU72" s="154"/>
      <c r="AV72" s="154"/>
      <c r="AW72" s="154"/>
      <c r="AX72" s="154"/>
      <c r="AY72" s="154"/>
      <c r="AZ72" s="154"/>
      <c r="BA72" s="154"/>
      <c r="BB72" s="154"/>
      <c r="BC72" s="154"/>
      <c r="BD72" s="154"/>
      <c r="BE72" s="154"/>
      <c r="BF72" s="154"/>
      <c r="BG72" s="154"/>
      <c r="BH72" s="154"/>
      <c r="BI72" s="154"/>
      <c r="BJ72" s="150" t="s">
        <v>291</v>
      </c>
      <c r="BK72" s="150" t="s">
        <v>183</v>
      </c>
      <c r="BL72" s="150">
        <f t="shared" si="13"/>
        <v>0</v>
      </c>
      <c r="BM72" s="150">
        <f t="shared" si="13"/>
        <v>0</v>
      </c>
      <c r="BN72" s="154" t="s">
        <v>183</v>
      </c>
      <c r="BO72" s="154"/>
      <c r="BP72" s="154"/>
      <c r="BQ72" s="154"/>
      <c r="BR72" s="154"/>
      <c r="BS72" s="154"/>
      <c r="BT72" s="154"/>
      <c r="BU72" s="154"/>
      <c r="BV72" s="154"/>
      <c r="BW72" s="156" t="s">
        <v>313</v>
      </c>
      <c r="BX72" s="66" t="str">
        <f t="shared" si="9"/>
        <v>in Māori</v>
      </c>
      <c r="BY72" s="150" t="s">
        <v>256</v>
      </c>
      <c r="BZ72" s="150">
        <v>2017</v>
      </c>
      <c r="CA72" s="157"/>
      <c r="CB72" s="157"/>
      <c r="CC72" s="158"/>
      <c r="CD72" s="150" t="s">
        <v>315</v>
      </c>
      <c r="CE72" s="150"/>
      <c r="CF72" s="150"/>
      <c r="CG72" s="150"/>
      <c r="CH72" s="150"/>
      <c r="CI72" s="150"/>
      <c r="CJ72" s="150"/>
      <c r="CK72" s="150"/>
      <c r="CL72" s="150"/>
      <c r="CM72" s="150"/>
      <c r="CN72" s="150"/>
    </row>
    <row r="73" spans="1:92" s="5" customFormat="1" ht="152.25">
      <c r="A73" s="150" t="s">
        <v>170</v>
      </c>
      <c r="B73" s="66" t="s">
        <v>170</v>
      </c>
      <c r="C73" s="66"/>
      <c r="D73" s="66"/>
      <c r="E73" s="66" t="s">
        <v>188</v>
      </c>
      <c r="F73" s="66" t="str">
        <f t="shared" si="11"/>
        <v xml:space="preserve">Tobacco; ; Prevention; </v>
      </c>
      <c r="G73" s="66" t="s">
        <v>205</v>
      </c>
      <c r="H73" s="66">
        <v>2011</v>
      </c>
      <c r="I73" s="66" t="str">
        <f>CONCATENATE(A73,", ",G73,": ",J73)</f>
        <v>Tobacco, NZ: National quitline service and its promotion in the mass media</v>
      </c>
      <c r="J73" s="151" t="s">
        <v>310</v>
      </c>
      <c r="K73" s="151">
        <v>0</v>
      </c>
      <c r="L73" s="134">
        <v>0</v>
      </c>
      <c r="M73" s="134"/>
      <c r="N73" s="134">
        <v>0</v>
      </c>
      <c r="O73" s="134"/>
      <c r="P73" s="66" t="s">
        <v>215</v>
      </c>
      <c r="Q73" s="66" t="str">
        <f>IF($P73="Main",J73,BX73)</f>
        <v xml:space="preserve">in Māori men </v>
      </c>
      <c r="R73" s="66" t="str">
        <f>IF($P73="Main",CONCATENATE(J73,": ",G73),BY73)</f>
        <v xml:space="preserve">in Māori men </v>
      </c>
      <c r="S73" s="66" t="s">
        <v>276</v>
      </c>
      <c r="T73" s="66" t="s">
        <v>235</v>
      </c>
      <c r="U73" s="66" t="s">
        <v>259</v>
      </c>
      <c r="V73" s="135" t="s">
        <v>311</v>
      </c>
      <c r="W73" s="135">
        <v>0</v>
      </c>
      <c r="X73" s="135">
        <v>1</v>
      </c>
      <c r="Y73" s="66" t="s">
        <v>312</v>
      </c>
      <c r="Z73" s="66" t="s">
        <v>209</v>
      </c>
      <c r="AA73" s="66" t="s">
        <v>179</v>
      </c>
      <c r="AB73" s="66" t="s">
        <v>180</v>
      </c>
      <c r="AC73" s="152">
        <v>0.03</v>
      </c>
      <c r="AD73" s="150" t="s">
        <v>181</v>
      </c>
      <c r="AE73" s="150"/>
      <c r="AF73" s="150"/>
      <c r="AG73" s="146">
        <v>565</v>
      </c>
      <c r="AH73" s="146"/>
      <c r="AI73" s="146"/>
      <c r="AJ73" s="150">
        <v>330900</v>
      </c>
      <c r="AK73" s="153">
        <f t="shared" si="12"/>
        <v>1.7074644907827139</v>
      </c>
      <c r="AL73" s="150"/>
      <c r="AM73" s="150"/>
      <c r="AN73" s="150"/>
      <c r="AO73" s="150"/>
      <c r="AP73" s="150"/>
      <c r="AQ73" s="150"/>
      <c r="AR73" s="154"/>
      <c r="AS73" s="154"/>
      <c r="AT73" s="154"/>
      <c r="AU73" s="154"/>
      <c r="AV73" s="154"/>
      <c r="AW73" s="154"/>
      <c r="AX73" s="154"/>
      <c r="AY73" s="154"/>
      <c r="AZ73" s="154"/>
      <c r="BA73" s="154"/>
      <c r="BB73" s="154"/>
      <c r="BC73" s="154"/>
      <c r="BD73" s="154"/>
      <c r="BE73" s="154"/>
      <c r="BF73" s="154"/>
      <c r="BG73" s="154"/>
      <c r="BH73" s="154"/>
      <c r="BI73" s="154"/>
      <c r="BJ73" s="150" t="s">
        <v>291</v>
      </c>
      <c r="BK73" s="150" t="s">
        <v>183</v>
      </c>
      <c r="BL73" s="150">
        <f t="shared" si="13"/>
        <v>0</v>
      </c>
      <c r="BM73" s="150">
        <f t="shared" si="13"/>
        <v>0</v>
      </c>
      <c r="BN73" s="154" t="s">
        <v>183</v>
      </c>
      <c r="BO73" s="154"/>
      <c r="BP73" s="154"/>
      <c r="BQ73" s="154"/>
      <c r="BR73" s="154"/>
      <c r="BS73" s="154"/>
      <c r="BT73" s="154"/>
      <c r="BU73" s="154"/>
      <c r="BV73" s="154"/>
      <c r="BW73" s="156" t="s">
        <v>313</v>
      </c>
      <c r="BX73" s="66" t="str">
        <f t="shared" si="9"/>
        <v xml:space="preserve">in Māori men </v>
      </c>
      <c r="BY73" s="150" t="s">
        <v>257</v>
      </c>
      <c r="BZ73" s="150">
        <v>2017</v>
      </c>
      <c r="CA73" s="157"/>
      <c r="CB73" s="157"/>
      <c r="CC73" s="158"/>
      <c r="CD73" s="150" t="s">
        <v>315</v>
      </c>
      <c r="CE73" s="150"/>
      <c r="CF73" s="150"/>
      <c r="CG73" s="150"/>
      <c r="CH73" s="150"/>
      <c r="CI73" s="150"/>
      <c r="CJ73" s="150"/>
      <c r="CK73" s="150"/>
      <c r="CL73" s="150"/>
      <c r="CM73" s="150"/>
      <c r="CN73" s="150"/>
    </row>
    <row r="74" spans="1:92" s="5" customFormat="1" ht="152.25">
      <c r="A74" s="150" t="s">
        <v>170</v>
      </c>
      <c r="B74" s="66" t="s">
        <v>170</v>
      </c>
      <c r="C74" s="66"/>
      <c r="D74" s="66"/>
      <c r="E74" s="66" t="s">
        <v>188</v>
      </c>
      <c r="F74" s="66" t="str">
        <f t="shared" si="11"/>
        <v xml:space="preserve">Tobacco; ; Prevention; </v>
      </c>
      <c r="G74" s="66" t="s">
        <v>205</v>
      </c>
      <c r="H74" s="66">
        <v>2011</v>
      </c>
      <c r="I74" s="66" t="str">
        <f>CONCATENATE(A74,", ",G74,": ",J74)</f>
        <v>Tobacco, NZ: National quitline service and its promotion in the mass media</v>
      </c>
      <c r="J74" s="151" t="s">
        <v>310</v>
      </c>
      <c r="K74" s="151">
        <v>0</v>
      </c>
      <c r="L74" s="134">
        <v>0</v>
      </c>
      <c r="M74" s="134"/>
      <c r="N74" s="134">
        <v>0</v>
      </c>
      <c r="O74" s="134"/>
      <c r="P74" s="66" t="s">
        <v>215</v>
      </c>
      <c r="Q74" s="66" t="str">
        <f>IF($P74="Main",J74,BX74)</f>
        <v xml:space="preserve">in Māori women </v>
      </c>
      <c r="R74" s="66" t="str">
        <f>IF($P74="Main",CONCATENATE(J74,": ",G74),BY74)</f>
        <v xml:space="preserve">in Māori women </v>
      </c>
      <c r="S74" s="66" t="s">
        <v>276</v>
      </c>
      <c r="T74" s="66" t="s">
        <v>250</v>
      </c>
      <c r="U74" s="66" t="s">
        <v>259</v>
      </c>
      <c r="V74" s="135" t="s">
        <v>311</v>
      </c>
      <c r="W74" s="135">
        <v>0</v>
      </c>
      <c r="X74" s="135">
        <v>1</v>
      </c>
      <c r="Y74" s="66" t="s">
        <v>312</v>
      </c>
      <c r="Z74" s="66" t="s">
        <v>209</v>
      </c>
      <c r="AA74" s="66" t="s">
        <v>179</v>
      </c>
      <c r="AB74" s="66" t="s">
        <v>180</v>
      </c>
      <c r="AC74" s="152">
        <v>0.03</v>
      </c>
      <c r="AD74" s="150" t="s">
        <v>181</v>
      </c>
      <c r="AE74" s="150"/>
      <c r="AF74" s="150"/>
      <c r="AG74" s="146">
        <v>910</v>
      </c>
      <c r="AH74" s="146"/>
      <c r="AI74" s="146"/>
      <c r="AJ74" s="146">
        <v>343300</v>
      </c>
      <c r="AK74" s="153">
        <f t="shared" si="12"/>
        <v>2.6507427905621905</v>
      </c>
      <c r="AL74" s="150"/>
      <c r="AM74" s="150"/>
      <c r="AN74" s="150"/>
      <c r="AO74" s="150"/>
      <c r="AP74" s="150"/>
      <c r="AQ74" s="150"/>
      <c r="AR74" s="154"/>
      <c r="AS74" s="154"/>
      <c r="AT74" s="154"/>
      <c r="AU74" s="154"/>
      <c r="AV74" s="154"/>
      <c r="AW74" s="154"/>
      <c r="AX74" s="154"/>
      <c r="AY74" s="154"/>
      <c r="AZ74" s="154"/>
      <c r="BA74" s="154"/>
      <c r="BB74" s="154"/>
      <c r="BC74" s="154"/>
      <c r="BD74" s="154"/>
      <c r="BE74" s="154"/>
      <c r="BF74" s="154"/>
      <c r="BG74" s="154"/>
      <c r="BH74" s="154"/>
      <c r="BI74" s="154"/>
      <c r="BJ74" s="150" t="s">
        <v>291</v>
      </c>
      <c r="BK74" s="150" t="s">
        <v>183</v>
      </c>
      <c r="BL74" s="150">
        <f t="shared" si="13"/>
        <v>0</v>
      </c>
      <c r="BM74" s="150">
        <f t="shared" si="13"/>
        <v>0</v>
      </c>
      <c r="BN74" s="154" t="s">
        <v>183</v>
      </c>
      <c r="BO74" s="154"/>
      <c r="BP74" s="154"/>
      <c r="BQ74" s="154"/>
      <c r="BR74" s="154"/>
      <c r="BS74" s="154"/>
      <c r="BT74" s="154"/>
      <c r="BU74" s="154"/>
      <c r="BV74" s="154"/>
      <c r="BW74" s="156" t="s">
        <v>313</v>
      </c>
      <c r="BX74" s="66" t="str">
        <f t="shared" si="9"/>
        <v xml:space="preserve">in Māori women </v>
      </c>
      <c r="BY74" s="150" t="s">
        <v>266</v>
      </c>
      <c r="BZ74" s="150">
        <v>2017</v>
      </c>
      <c r="CA74" s="157"/>
      <c r="CB74" s="157"/>
      <c r="CC74" s="158"/>
      <c r="CD74" s="150" t="s">
        <v>315</v>
      </c>
      <c r="CE74" s="150"/>
      <c r="CF74" s="150"/>
      <c r="CG74" s="150"/>
      <c r="CH74" s="150"/>
      <c r="CI74" s="150"/>
      <c r="CJ74" s="150"/>
      <c r="CK74" s="150"/>
      <c r="CL74" s="150"/>
      <c r="CM74" s="150"/>
      <c r="CN74" s="150"/>
    </row>
    <row r="75" spans="1:92" s="5" customFormat="1" ht="167.25" hidden="1">
      <c r="A75" s="150" t="str">
        <f t="shared" ref="A75:A116" si="14">B75</f>
        <v>Tobacco</v>
      </c>
      <c r="B75" s="66" t="s">
        <v>170</v>
      </c>
      <c r="C75" s="30"/>
      <c r="D75" s="66" t="s">
        <v>321</v>
      </c>
      <c r="E75" s="66" t="s">
        <v>172</v>
      </c>
      <c r="F75" s="66" t="str">
        <f t="shared" si="11"/>
        <v>Tobacco; ; Prevention ; Taxes and Subsidies</v>
      </c>
      <c r="G75" s="66" t="s">
        <v>205</v>
      </c>
      <c r="H75" s="66">
        <v>2011</v>
      </c>
      <c r="I75" s="66" t="str">
        <f>CONCATENATE(A75,", ",G75,": ",J75)</f>
        <v>Tobacco, NZ: Ongoing tobacco tax increases (10% annually from 2011 to 2025)</v>
      </c>
      <c r="J75" s="159" t="s">
        <v>322</v>
      </c>
      <c r="K75" s="159"/>
      <c r="L75" s="159"/>
      <c r="M75" s="159"/>
      <c r="N75" s="159"/>
      <c r="O75" s="159"/>
      <c r="P75" s="66" t="s">
        <v>175</v>
      </c>
      <c r="Q75" s="66" t="str">
        <f>IF($P75="Main",J75,BX75)</f>
        <v>Ongoing tobacco tax increases (10% annually from 2011 to 2025)</v>
      </c>
      <c r="R75" s="66" t="str">
        <f>IF($P75="Main",CONCATENATE(J75,": ",G75),BY75)</f>
        <v>Ongoing tobacco tax increases (10% annually from 2011 to 2025): NZ</v>
      </c>
      <c r="S75" s="66"/>
      <c r="T75" s="66"/>
      <c r="U75" s="66"/>
      <c r="V75" s="135" t="s">
        <v>323</v>
      </c>
      <c r="W75" s="135"/>
      <c r="X75" s="135"/>
      <c r="Y75" s="66" t="s">
        <v>324</v>
      </c>
      <c r="Z75" s="66" t="s">
        <v>209</v>
      </c>
      <c r="AA75" s="66" t="s">
        <v>179</v>
      </c>
      <c r="AB75" s="66" t="s">
        <v>210</v>
      </c>
      <c r="AC75" s="152">
        <v>0.03</v>
      </c>
      <c r="AD75" s="160"/>
      <c r="AE75" s="150" t="s">
        <v>325</v>
      </c>
      <c r="AF75" s="150"/>
      <c r="AG75" s="161">
        <v>53200</v>
      </c>
      <c r="AH75" s="161">
        <v>29200</v>
      </c>
      <c r="AI75" s="161">
        <v>86300</v>
      </c>
      <c r="AJ75" s="146">
        <v>4410000</v>
      </c>
      <c r="AK75" s="162">
        <f t="shared" si="12"/>
        <v>12.063492063492065</v>
      </c>
      <c r="AL75" s="162">
        <f>AH75/$AJ75*1000</f>
        <v>6.6213151927437641</v>
      </c>
      <c r="AM75" s="162">
        <f>AI75/$AJ75*1000</f>
        <v>19.569160997732425</v>
      </c>
      <c r="AN75" s="163"/>
      <c r="AO75" s="164">
        <v>1.21E-2</v>
      </c>
      <c r="AP75" s="164"/>
      <c r="AQ75" s="164"/>
      <c r="AR75" s="165">
        <v>-1080000000</v>
      </c>
      <c r="AS75" s="165">
        <v>-597000000</v>
      </c>
      <c r="AT75" s="165">
        <v>-1780000000</v>
      </c>
      <c r="AU75" s="165">
        <f>1000*AR75/$AJ75</f>
        <v>-244897.95918367346</v>
      </c>
      <c r="AV75" s="165">
        <f>1000*AS75/$AJ75</f>
        <v>-135374.14965986394</v>
      </c>
      <c r="AW75" s="165">
        <f>1000*AT75/$AJ75</f>
        <v>-403628.11791383219</v>
      </c>
      <c r="AX75" s="165">
        <v>-245</v>
      </c>
      <c r="AY75" s="165"/>
      <c r="AZ75" s="165"/>
      <c r="BA75" s="166"/>
      <c r="BB75" s="166"/>
      <c r="BC75" s="166"/>
      <c r="BD75" s="165"/>
      <c r="BE75" s="165"/>
      <c r="BF75" s="166"/>
      <c r="BG75" s="165"/>
      <c r="BH75" s="165"/>
      <c r="BI75" s="166"/>
      <c r="BJ75" s="167" t="s">
        <v>182</v>
      </c>
      <c r="BK75" s="133" t="str">
        <f t="shared" ref="BK75:BM106" si="15">IF($BJ75="Y",IF(BN75="",IF(BQ75="",BT75,BQ75),BN75),"")</f>
        <v>Cost-saving</v>
      </c>
      <c r="BL75" s="133">
        <f t="shared" si="13"/>
        <v>0</v>
      </c>
      <c r="BM75" s="133">
        <f t="shared" si="13"/>
        <v>0</v>
      </c>
      <c r="BN75" s="168" t="s">
        <v>183</v>
      </c>
      <c r="BO75" s="169"/>
      <c r="BP75" s="169"/>
      <c r="BQ75" s="168" t="s">
        <v>183</v>
      </c>
      <c r="BR75" s="169"/>
      <c r="BS75" s="169"/>
      <c r="BT75" s="168" t="s">
        <v>183</v>
      </c>
      <c r="BU75" s="169"/>
      <c r="BV75" s="169"/>
      <c r="BW75" s="66"/>
      <c r="BX75" s="66" t="s">
        <v>322</v>
      </c>
      <c r="BY75" s="150" t="s">
        <v>322</v>
      </c>
      <c r="BZ75" s="140">
        <v>2016</v>
      </c>
      <c r="CA75" s="133"/>
      <c r="CB75" s="133"/>
      <c r="CC75" s="143">
        <f t="shared" ref="CC75:CC138" si="16">LEN(J75)</f>
        <v>62</v>
      </c>
      <c r="CD75" s="133"/>
      <c r="CE75" s="133"/>
      <c r="CF75" s="133"/>
      <c r="CG75" s="144">
        <v>1</v>
      </c>
      <c r="CH75" s="144">
        <v>5</v>
      </c>
      <c r="CI75" s="144">
        <f>IF(AA75="Lifetime",2,IF(CJ75=1,2,"manual entry"))</f>
        <v>2</v>
      </c>
      <c r="CJ75" s="133">
        <f t="shared" ref="CJ75:CJ116" si="17">IF(CD75="Vos, Carter, Barendregt, Mihalopoulos, Veerman, Magnus, Cobiac, Bertram, Wallace &amp; ACE-Prevention Team",1,0)</f>
        <v>0</v>
      </c>
      <c r="CK75" s="133">
        <f>IF(CA75="C",0,IF(P75="Het",0,IF(SUM(AG75,AO75)=0,0,1)))</f>
        <v>1</v>
      </c>
      <c r="CL75" s="145" t="e">
        <f>IF(G75="AUS",VLOOKUP(H75,$CU$5:$CW$23,2),IF(G75="NZ",VLOOKUP(H75,$CU$5:$CW$23,3),"error"))*AU75</f>
        <v>#N/A</v>
      </c>
      <c r="CM75" s="139" t="e">
        <f>IF(G75="AUS",VLOOKUP(H75,$CU$5:$CW$23,2),IF(G75="NZ",VLOOKUP(H75,$CU$5:$CW$23,3),"error"))*AX75</f>
        <v>#N/A</v>
      </c>
      <c r="CN75" s="145" t="e">
        <f>IF(G75="AUS",VLOOKUP(H75,$CU$5:$CW$23,2),IF(G75="NZ",VLOOKUP(H75,$CU$5:$CW$23,3),"error"))*BK75</f>
        <v>#N/A</v>
      </c>
    </row>
    <row r="76" spans="1:92" s="5" customFormat="1" ht="167.25" hidden="1">
      <c r="A76" s="150" t="str">
        <f t="shared" si="14"/>
        <v>Tobacco</v>
      </c>
      <c r="B76" s="66" t="s">
        <v>170</v>
      </c>
      <c r="C76" s="30"/>
      <c r="D76" s="66" t="s">
        <v>321</v>
      </c>
      <c r="E76" s="66" t="s">
        <v>172</v>
      </c>
      <c r="F76" s="66" t="str">
        <f t="shared" si="11"/>
        <v>Tobacco; ; Prevention ; Taxes and Subsidies</v>
      </c>
      <c r="G76" s="66" t="s">
        <v>205</v>
      </c>
      <c r="H76" s="66">
        <v>2011</v>
      </c>
      <c r="I76" s="66" t="str">
        <f>CONCATENATE(A76,", ",G76,": ",J76)</f>
        <v>Tobacco, NZ: Ongoing tobacco tax increases (10% annually from 2011 to 2025)</v>
      </c>
      <c r="J76" s="159" t="s">
        <v>322</v>
      </c>
      <c r="K76" s="159"/>
      <c r="L76" s="159"/>
      <c r="M76" s="159"/>
      <c r="N76" s="159"/>
      <c r="O76" s="159"/>
      <c r="P76" s="66" t="s">
        <v>215</v>
      </c>
      <c r="Q76" s="66" t="str">
        <f>IF($P76="Main",J76,BX76)</f>
        <v xml:space="preserve">in men </v>
      </c>
      <c r="R76" s="66" t="str">
        <f>IF($P76="Main",CONCATENATE(J76,": ",G76),BY76)</f>
        <v xml:space="preserve">in men </v>
      </c>
      <c r="S76" s="66"/>
      <c r="T76" s="66"/>
      <c r="U76" s="66"/>
      <c r="V76" s="135"/>
      <c r="W76" s="135"/>
      <c r="X76" s="135"/>
      <c r="Y76" s="66"/>
      <c r="Z76" s="66"/>
      <c r="AA76" s="66"/>
      <c r="AB76" s="66"/>
      <c r="AC76" s="152">
        <v>0.03</v>
      </c>
      <c r="AD76" s="160"/>
      <c r="AE76" s="150"/>
      <c r="AF76" s="150"/>
      <c r="AG76" s="161">
        <v>25800</v>
      </c>
      <c r="AH76" s="161"/>
      <c r="AI76" s="161"/>
      <c r="AJ76" s="146">
        <v>2164610</v>
      </c>
      <c r="AK76" s="162">
        <f t="shared" si="12"/>
        <v>11.91900619511136</v>
      </c>
      <c r="AL76" s="162"/>
      <c r="AM76" s="162"/>
      <c r="AN76" s="163"/>
      <c r="AO76" s="164"/>
      <c r="AP76" s="164"/>
      <c r="AQ76" s="164"/>
      <c r="AR76" s="165">
        <v>-627000000</v>
      </c>
      <c r="AS76" s="165"/>
      <c r="AT76" s="165"/>
      <c r="AU76" s="165">
        <f t="shared" ref="AU76:AU116" si="18">1000*AR76/$AJ76</f>
        <v>-289659.56916026445</v>
      </c>
      <c r="AV76" s="165"/>
      <c r="AW76" s="165"/>
      <c r="AX76" s="165"/>
      <c r="AY76" s="165"/>
      <c r="AZ76" s="165"/>
      <c r="BA76" s="166"/>
      <c r="BB76" s="166"/>
      <c r="BC76" s="166"/>
      <c r="BD76" s="165"/>
      <c r="BE76" s="165"/>
      <c r="BF76" s="166"/>
      <c r="BG76" s="165"/>
      <c r="BH76" s="165"/>
      <c r="BI76" s="166"/>
      <c r="BJ76" s="167" t="s">
        <v>182</v>
      </c>
      <c r="BK76" s="133" t="str">
        <f t="shared" si="15"/>
        <v>Cost-saving</v>
      </c>
      <c r="BL76" s="133">
        <f t="shared" si="13"/>
        <v>0</v>
      </c>
      <c r="BM76" s="133">
        <f t="shared" si="13"/>
        <v>0</v>
      </c>
      <c r="BN76" s="168" t="s">
        <v>183</v>
      </c>
      <c r="BO76" s="169"/>
      <c r="BP76" s="169"/>
      <c r="BQ76" s="168" t="s">
        <v>183</v>
      </c>
      <c r="BR76" s="169"/>
      <c r="BS76" s="169"/>
      <c r="BT76" s="168" t="s">
        <v>183</v>
      </c>
      <c r="BU76" s="169"/>
      <c r="BV76" s="169"/>
      <c r="BW76" s="66"/>
      <c r="BX76" s="66" t="s">
        <v>326</v>
      </c>
      <c r="BY76" s="150" t="s">
        <v>326</v>
      </c>
      <c r="BZ76" s="140">
        <v>2016</v>
      </c>
      <c r="CA76" s="133"/>
      <c r="CB76" s="133"/>
      <c r="CC76" s="143">
        <f t="shared" si="16"/>
        <v>62</v>
      </c>
      <c r="CD76" s="133"/>
      <c r="CE76" s="133"/>
      <c r="CF76" s="133"/>
      <c r="CG76" s="144">
        <v>1</v>
      </c>
      <c r="CH76" s="144" t="str">
        <f>IF(CK76=0,"",IF(V76="Persistent",5,IF(V76="Once",1,IF(V76="One-off",1,"manual overwrite"))))</f>
        <v/>
      </c>
      <c r="CI76" s="144"/>
      <c r="CJ76" s="133">
        <f t="shared" si="17"/>
        <v>0</v>
      </c>
      <c r="CK76" s="133">
        <f>IF(CA76="C",0,IF(P76="Het",0,IF(SUM(AG76,AO76)=0,0,1)))</f>
        <v>0</v>
      </c>
      <c r="CL76" s="145" t="e">
        <f>IF(G76="AUS",VLOOKUP(H76,$CU$5:$CW$23,2),IF(G76="NZ",VLOOKUP(H76,$CU$5:$CW$23,3),"error"))*AU76</f>
        <v>#N/A</v>
      </c>
      <c r="CM76" s="139" t="e">
        <f>IF(G76="AUS",VLOOKUP(H76,$CU$5:$CW$23,2),IF(G76="NZ",VLOOKUP(H76,$CU$5:$CW$23,3),"error"))*AX76</f>
        <v>#N/A</v>
      </c>
      <c r="CN76" s="145" t="e">
        <f>IF(G76="AUS",VLOOKUP(H76,$CU$5:$CW$23,2),IF(G76="NZ",VLOOKUP(H76,$CU$5:$CW$23,3),"error"))*BK76</f>
        <v>#N/A</v>
      </c>
    </row>
    <row r="77" spans="1:92" s="5" customFormat="1" ht="167.25" hidden="1">
      <c r="A77" s="150" t="str">
        <f t="shared" si="14"/>
        <v>Tobacco</v>
      </c>
      <c r="B77" s="66" t="s">
        <v>170</v>
      </c>
      <c r="C77" s="30"/>
      <c r="D77" s="66" t="s">
        <v>321</v>
      </c>
      <c r="E77" s="66" t="s">
        <v>172</v>
      </c>
      <c r="F77" s="66" t="str">
        <f t="shared" si="11"/>
        <v>Tobacco; ; Prevention ; Taxes and Subsidies</v>
      </c>
      <c r="G77" s="66" t="s">
        <v>205</v>
      </c>
      <c r="H77" s="66">
        <v>2011</v>
      </c>
      <c r="I77" s="66" t="str">
        <f>CONCATENATE(A77,", ",G77,": ",J77)</f>
        <v>Tobacco, NZ: Ongoing tobacco tax increases (10% annually from 2011 to 2025)</v>
      </c>
      <c r="J77" s="159" t="s">
        <v>322</v>
      </c>
      <c r="K77" s="159"/>
      <c r="L77" s="159"/>
      <c r="M77" s="159"/>
      <c r="N77" s="159"/>
      <c r="O77" s="159"/>
      <c r="P77" s="66" t="s">
        <v>215</v>
      </c>
      <c r="Q77" s="66" t="str">
        <f>IF($P77="Main",J77,BX77)</f>
        <v>in men age 0-14 yrs</v>
      </c>
      <c r="R77" s="66" t="str">
        <f>IF($P77="Main",CONCATENATE(J77,": ",G77),BY77)</f>
        <v>in men age 0-14 yrs</v>
      </c>
      <c r="S77" s="66"/>
      <c r="T77" s="66"/>
      <c r="U77" s="66"/>
      <c r="V77" s="135"/>
      <c r="W77" s="135"/>
      <c r="X77" s="135"/>
      <c r="Y77" s="66"/>
      <c r="Z77" s="66"/>
      <c r="AA77" s="66"/>
      <c r="AB77" s="66"/>
      <c r="AC77" s="152">
        <v>0.03</v>
      </c>
      <c r="AD77" s="160"/>
      <c r="AE77" s="150"/>
      <c r="AF77" s="150"/>
      <c r="AG77" s="161">
        <v>8180</v>
      </c>
      <c r="AH77" s="161"/>
      <c r="AI77" s="161"/>
      <c r="AJ77" s="146">
        <v>458240</v>
      </c>
      <c r="AK77" s="162">
        <f t="shared" si="12"/>
        <v>17.85090782122905</v>
      </c>
      <c r="AL77" s="162"/>
      <c r="AM77" s="162"/>
      <c r="AN77" s="163"/>
      <c r="AO77" s="164"/>
      <c r="AP77" s="164"/>
      <c r="AQ77" s="164"/>
      <c r="AR77" s="165">
        <v>-228000000</v>
      </c>
      <c r="AS77" s="165"/>
      <c r="AT77" s="165"/>
      <c r="AU77" s="165">
        <f t="shared" si="18"/>
        <v>-497555.86592178768</v>
      </c>
      <c r="AV77" s="165"/>
      <c r="AW77" s="165"/>
      <c r="AX77" s="165"/>
      <c r="AY77" s="165"/>
      <c r="AZ77" s="165"/>
      <c r="BA77" s="166"/>
      <c r="BB77" s="166"/>
      <c r="BC77" s="166"/>
      <c r="BD77" s="165"/>
      <c r="BE77" s="165"/>
      <c r="BF77" s="166"/>
      <c r="BG77" s="165"/>
      <c r="BH77" s="165"/>
      <c r="BI77" s="166"/>
      <c r="BJ77" s="167" t="s">
        <v>182</v>
      </c>
      <c r="BK77" s="133" t="str">
        <f t="shared" si="15"/>
        <v>Cost-saving</v>
      </c>
      <c r="BL77" s="133">
        <f t="shared" si="13"/>
        <v>0</v>
      </c>
      <c r="BM77" s="133">
        <f t="shared" si="13"/>
        <v>0</v>
      </c>
      <c r="BN77" s="168" t="s">
        <v>183</v>
      </c>
      <c r="BO77" s="169"/>
      <c r="BP77" s="169"/>
      <c r="BQ77" s="168" t="s">
        <v>183</v>
      </c>
      <c r="BR77" s="169"/>
      <c r="BS77" s="169"/>
      <c r="BT77" s="168" t="s">
        <v>183</v>
      </c>
      <c r="BU77" s="169"/>
      <c r="BV77" s="169"/>
      <c r="BW77" s="66"/>
      <c r="BX77" s="66" t="s">
        <v>327</v>
      </c>
      <c r="BY77" s="150" t="s">
        <v>327</v>
      </c>
      <c r="BZ77" s="140">
        <v>2016</v>
      </c>
      <c r="CA77" s="133"/>
      <c r="CB77" s="133"/>
      <c r="CC77" s="143">
        <f t="shared" si="16"/>
        <v>62</v>
      </c>
      <c r="CD77" s="133"/>
      <c r="CE77" s="133"/>
      <c r="CF77" s="133"/>
      <c r="CG77" s="144">
        <v>1</v>
      </c>
      <c r="CH77" s="144" t="str">
        <f>IF(CK77=0,"",IF(V77="Persistent",5,IF(V77="Once",1,IF(V77="One-off",1,"manual overwrite"))))</f>
        <v/>
      </c>
      <c r="CI77" s="144"/>
      <c r="CJ77" s="133">
        <f t="shared" si="17"/>
        <v>0</v>
      </c>
      <c r="CK77" s="133">
        <f>IF(CA77="C",0,IF(P77="Het",0,IF(SUM(AG77,AO77)=0,0,1)))</f>
        <v>0</v>
      </c>
      <c r="CL77" s="145" t="e">
        <f>IF(G77="AUS",VLOOKUP(H77,$CU$5:$CW$23,2),IF(G77="NZ",VLOOKUP(H77,$CU$5:$CW$23,3),"error"))*AU77</f>
        <v>#N/A</v>
      </c>
      <c r="CM77" s="139" t="e">
        <f>IF(G77="AUS",VLOOKUP(H77,$CU$5:$CW$23,2),IF(G77="NZ",VLOOKUP(H77,$CU$5:$CW$23,3),"error"))*AX77</f>
        <v>#N/A</v>
      </c>
      <c r="CN77" s="145" t="e">
        <f>IF(G77="AUS",VLOOKUP(H77,$CU$5:$CW$23,2),IF(G77="NZ",VLOOKUP(H77,$CU$5:$CW$23,3),"error"))*BK77</f>
        <v>#N/A</v>
      </c>
    </row>
    <row r="78" spans="1:92" s="5" customFormat="1" ht="167.25" hidden="1">
      <c r="A78" s="150" t="str">
        <f t="shared" si="14"/>
        <v>Tobacco</v>
      </c>
      <c r="B78" s="66" t="s">
        <v>170</v>
      </c>
      <c r="C78" s="30"/>
      <c r="D78" s="66" t="s">
        <v>321</v>
      </c>
      <c r="E78" s="66" t="s">
        <v>172</v>
      </c>
      <c r="F78" s="66" t="str">
        <f t="shared" si="11"/>
        <v>Tobacco; ; Prevention ; Taxes and Subsidies</v>
      </c>
      <c r="G78" s="66" t="s">
        <v>205</v>
      </c>
      <c r="H78" s="66">
        <v>2011</v>
      </c>
      <c r="I78" s="66" t="str">
        <f>CONCATENATE(A78,", ",G78,": ",J78)</f>
        <v>Tobacco, NZ: Ongoing tobacco tax increases (10% annually from 2011 to 2025)</v>
      </c>
      <c r="J78" s="159" t="s">
        <v>322</v>
      </c>
      <c r="K78" s="159"/>
      <c r="L78" s="159"/>
      <c r="M78" s="159"/>
      <c r="N78" s="159"/>
      <c r="O78" s="159"/>
      <c r="P78" s="66" t="s">
        <v>215</v>
      </c>
      <c r="Q78" s="66" t="str">
        <f>IF($P78="Main",J78,BX78)</f>
        <v>in men age 15-24 yrs</v>
      </c>
      <c r="R78" s="66" t="str">
        <f>IF($P78="Main",CONCATENATE(J78,": ",G78),BY78)</f>
        <v>in men age 15-24 yrs</v>
      </c>
      <c r="S78" s="66"/>
      <c r="T78" s="66"/>
      <c r="U78" s="66"/>
      <c r="V78" s="135"/>
      <c r="W78" s="135"/>
      <c r="X78" s="135"/>
      <c r="Y78" s="66"/>
      <c r="Z78" s="66"/>
      <c r="AA78" s="66"/>
      <c r="AB78" s="66"/>
      <c r="AC78" s="152">
        <v>0.03</v>
      </c>
      <c r="AD78" s="160"/>
      <c r="AE78" s="150"/>
      <c r="AF78" s="150"/>
      <c r="AG78" s="161">
        <v>6310</v>
      </c>
      <c r="AH78" s="161"/>
      <c r="AI78" s="161"/>
      <c r="AJ78" s="146">
        <v>330930</v>
      </c>
      <c r="AK78" s="162">
        <f t="shared" si="12"/>
        <v>19.067476505605416</v>
      </c>
      <c r="AL78" s="162"/>
      <c r="AM78" s="162"/>
      <c r="AN78" s="163"/>
      <c r="AO78" s="164"/>
      <c r="AP78" s="164"/>
      <c r="AQ78" s="164"/>
      <c r="AR78" s="165">
        <v>-170000000</v>
      </c>
      <c r="AS78" s="165"/>
      <c r="AT78" s="165"/>
      <c r="AU78" s="165">
        <f t="shared" si="18"/>
        <v>-513703.80442993989</v>
      </c>
      <c r="AV78" s="165"/>
      <c r="AW78" s="165"/>
      <c r="AX78" s="165"/>
      <c r="AY78" s="165"/>
      <c r="AZ78" s="165"/>
      <c r="BA78" s="166"/>
      <c r="BB78" s="166"/>
      <c r="BC78" s="166"/>
      <c r="BD78" s="165"/>
      <c r="BE78" s="165"/>
      <c r="BF78" s="166"/>
      <c r="BG78" s="165"/>
      <c r="BH78" s="165"/>
      <c r="BI78" s="166"/>
      <c r="BJ78" s="167" t="s">
        <v>182</v>
      </c>
      <c r="BK78" s="133" t="str">
        <f t="shared" si="15"/>
        <v>Cost-saving</v>
      </c>
      <c r="BL78" s="133">
        <f t="shared" si="13"/>
        <v>0</v>
      </c>
      <c r="BM78" s="133">
        <f t="shared" si="13"/>
        <v>0</v>
      </c>
      <c r="BN78" s="168" t="s">
        <v>183</v>
      </c>
      <c r="BO78" s="169"/>
      <c r="BP78" s="169"/>
      <c r="BQ78" s="168" t="s">
        <v>183</v>
      </c>
      <c r="BR78" s="169"/>
      <c r="BS78" s="169"/>
      <c r="BT78" s="168" t="s">
        <v>183</v>
      </c>
      <c r="BU78" s="169"/>
      <c r="BV78" s="169"/>
      <c r="BW78" s="66"/>
      <c r="BX78" s="66" t="s">
        <v>328</v>
      </c>
      <c r="BY78" s="150" t="s">
        <v>328</v>
      </c>
      <c r="BZ78" s="140">
        <v>2016</v>
      </c>
      <c r="CA78" s="133"/>
      <c r="CB78" s="133"/>
      <c r="CC78" s="143">
        <f t="shared" si="16"/>
        <v>62</v>
      </c>
      <c r="CD78" s="133"/>
      <c r="CE78" s="133"/>
      <c r="CF78" s="133"/>
      <c r="CG78" s="144">
        <v>1</v>
      </c>
      <c r="CH78" s="144" t="str">
        <f>IF(CK78=0,"",IF(V78="Persistent",5,IF(V78="Once",1,IF(V78="One-off",1,"manual overwrite"))))</f>
        <v/>
      </c>
      <c r="CI78" s="144"/>
      <c r="CJ78" s="133">
        <f t="shared" si="17"/>
        <v>0</v>
      </c>
      <c r="CK78" s="133">
        <f>IF(CA78="C",0,IF(P78="Het",0,IF(SUM(AG78,AO78)=0,0,1)))</f>
        <v>0</v>
      </c>
      <c r="CL78" s="145" t="e">
        <f>IF(G78="AUS",VLOOKUP(H78,$CU$5:$CW$23,2),IF(G78="NZ",VLOOKUP(H78,$CU$5:$CW$23,3),"error"))*AU78</f>
        <v>#N/A</v>
      </c>
      <c r="CM78" s="139" t="e">
        <f>IF(G78="AUS",VLOOKUP(H78,$CU$5:$CW$23,2),IF(G78="NZ",VLOOKUP(H78,$CU$5:$CW$23,3),"error"))*AX78</f>
        <v>#N/A</v>
      </c>
      <c r="CN78" s="145" t="e">
        <f>IF(G78="AUS",VLOOKUP(H78,$CU$5:$CW$23,2),IF(G78="NZ",VLOOKUP(H78,$CU$5:$CW$23,3),"error"))*BK78</f>
        <v>#N/A</v>
      </c>
    </row>
    <row r="79" spans="1:92" s="5" customFormat="1" ht="167.25" hidden="1">
      <c r="A79" s="150" t="str">
        <f t="shared" si="14"/>
        <v>Tobacco</v>
      </c>
      <c r="B79" s="66" t="s">
        <v>170</v>
      </c>
      <c r="C79" s="30"/>
      <c r="D79" s="66" t="s">
        <v>321</v>
      </c>
      <c r="E79" s="66" t="s">
        <v>172</v>
      </c>
      <c r="F79" s="66" t="str">
        <f t="shared" si="11"/>
        <v>Tobacco; ; Prevention ; Taxes and Subsidies</v>
      </c>
      <c r="G79" s="66" t="s">
        <v>205</v>
      </c>
      <c r="H79" s="66">
        <v>2011</v>
      </c>
      <c r="I79" s="66" t="str">
        <f>CONCATENATE(A79,", ",G79,": ",J79)</f>
        <v>Tobacco, NZ: Ongoing tobacco tax increases (10% annually from 2011 to 2025)</v>
      </c>
      <c r="J79" s="159" t="s">
        <v>322</v>
      </c>
      <c r="K79" s="159"/>
      <c r="L79" s="159"/>
      <c r="M79" s="159"/>
      <c r="N79" s="159"/>
      <c r="O79" s="159"/>
      <c r="P79" s="66" t="s">
        <v>215</v>
      </c>
      <c r="Q79" s="66" t="str">
        <f>IF($P79="Main",J79,BX79)</f>
        <v>in men age 25-44 yrs</v>
      </c>
      <c r="R79" s="66" t="str">
        <f>IF($P79="Main",CONCATENATE(J79,": ",G79),BY79)</f>
        <v>in men age 25-44 yrs</v>
      </c>
      <c r="S79" s="66"/>
      <c r="T79" s="66"/>
      <c r="U79" s="66"/>
      <c r="V79" s="135"/>
      <c r="W79" s="135"/>
      <c r="X79" s="135"/>
      <c r="Y79" s="66"/>
      <c r="Z79" s="66"/>
      <c r="AA79" s="66"/>
      <c r="AB79" s="66"/>
      <c r="AC79" s="152">
        <v>0.03</v>
      </c>
      <c r="AD79" s="160"/>
      <c r="AE79" s="150"/>
      <c r="AF79" s="150"/>
      <c r="AG79" s="161">
        <v>7500</v>
      </c>
      <c r="AH79" s="161"/>
      <c r="AI79" s="161"/>
      <c r="AJ79" s="146">
        <v>564950</v>
      </c>
      <c r="AK79" s="162">
        <f t="shared" si="12"/>
        <v>13.275511107177627</v>
      </c>
      <c r="AL79" s="162"/>
      <c r="AM79" s="162"/>
      <c r="AN79" s="163"/>
      <c r="AO79" s="164"/>
      <c r="AP79" s="164"/>
      <c r="AQ79" s="164"/>
      <c r="AR79" s="165">
        <v>-169000000</v>
      </c>
      <c r="AS79" s="165"/>
      <c r="AT79" s="165"/>
      <c r="AU79" s="165">
        <f t="shared" si="18"/>
        <v>-299141.51694840251</v>
      </c>
      <c r="AV79" s="165"/>
      <c r="AW79" s="165"/>
      <c r="AX79" s="165"/>
      <c r="AY79" s="165"/>
      <c r="AZ79" s="165"/>
      <c r="BA79" s="166"/>
      <c r="BB79" s="166"/>
      <c r="BC79" s="166"/>
      <c r="BD79" s="165"/>
      <c r="BE79" s="165"/>
      <c r="BF79" s="166"/>
      <c r="BG79" s="165"/>
      <c r="BH79" s="165"/>
      <c r="BI79" s="166"/>
      <c r="BJ79" s="167" t="s">
        <v>182</v>
      </c>
      <c r="BK79" s="133" t="str">
        <f t="shared" si="15"/>
        <v>Cost-saving</v>
      </c>
      <c r="BL79" s="133">
        <f t="shared" si="13"/>
        <v>0</v>
      </c>
      <c r="BM79" s="133">
        <f t="shared" si="13"/>
        <v>0</v>
      </c>
      <c r="BN79" s="168" t="s">
        <v>183</v>
      </c>
      <c r="BO79" s="169"/>
      <c r="BP79" s="169"/>
      <c r="BQ79" s="168" t="s">
        <v>183</v>
      </c>
      <c r="BR79" s="169"/>
      <c r="BS79" s="169"/>
      <c r="BT79" s="168" t="s">
        <v>183</v>
      </c>
      <c r="BU79" s="169"/>
      <c r="BV79" s="169"/>
      <c r="BW79" s="66"/>
      <c r="BX79" s="66" t="s">
        <v>329</v>
      </c>
      <c r="BY79" s="150" t="s">
        <v>329</v>
      </c>
      <c r="BZ79" s="140">
        <v>2016</v>
      </c>
      <c r="CA79" s="133"/>
      <c r="CB79" s="133"/>
      <c r="CC79" s="143">
        <f t="shared" si="16"/>
        <v>62</v>
      </c>
      <c r="CD79" s="133"/>
      <c r="CE79" s="133"/>
      <c r="CF79" s="133"/>
      <c r="CG79" s="144">
        <v>1</v>
      </c>
      <c r="CH79" s="144" t="str">
        <f>IF(CK79=0,"",IF(V79="Persistent",5,IF(V79="Once",1,IF(V79="One-off",1,"manual overwrite"))))</f>
        <v/>
      </c>
      <c r="CI79" s="144"/>
      <c r="CJ79" s="133">
        <f t="shared" si="17"/>
        <v>0</v>
      </c>
      <c r="CK79" s="133">
        <f>IF(CA79="C",0,IF(P79="Het",0,IF(SUM(AG79,AO79)=0,0,1)))</f>
        <v>0</v>
      </c>
      <c r="CL79" s="145" t="e">
        <f>IF(G79="AUS",VLOOKUP(H79,$CU$5:$CW$23,2),IF(G79="NZ",VLOOKUP(H79,$CU$5:$CW$23,3),"error"))*AU79</f>
        <v>#N/A</v>
      </c>
      <c r="CM79" s="139" t="e">
        <f>IF(G79="AUS",VLOOKUP(H79,$CU$5:$CW$23,2),IF(G79="NZ",VLOOKUP(H79,$CU$5:$CW$23,3),"error"))*AX79</f>
        <v>#N/A</v>
      </c>
      <c r="CN79" s="145" t="e">
        <f>IF(G79="AUS",VLOOKUP(H79,$CU$5:$CW$23,2),IF(G79="NZ",VLOOKUP(H79,$CU$5:$CW$23,3),"error"))*BK79</f>
        <v>#N/A</v>
      </c>
    </row>
    <row r="80" spans="1:92" s="5" customFormat="1" ht="167.25" hidden="1">
      <c r="A80" s="150" t="str">
        <f t="shared" si="14"/>
        <v>Tobacco</v>
      </c>
      <c r="B80" s="66" t="s">
        <v>170</v>
      </c>
      <c r="C80" s="30"/>
      <c r="D80" s="66" t="s">
        <v>321</v>
      </c>
      <c r="E80" s="66" t="s">
        <v>172</v>
      </c>
      <c r="F80" s="66" t="str">
        <f t="shared" si="11"/>
        <v>Tobacco; ; Prevention ; Taxes and Subsidies</v>
      </c>
      <c r="G80" s="66" t="s">
        <v>205</v>
      </c>
      <c r="H80" s="66">
        <v>2011</v>
      </c>
      <c r="I80" s="66" t="str">
        <f>CONCATENATE(A80,", ",G80,": ",J80)</f>
        <v>Tobacco, NZ: Ongoing tobacco tax increases (10% annually from 2011 to 2025)</v>
      </c>
      <c r="J80" s="159" t="s">
        <v>322</v>
      </c>
      <c r="K80" s="159"/>
      <c r="L80" s="159"/>
      <c r="M80" s="159"/>
      <c r="N80" s="159"/>
      <c r="O80" s="159"/>
      <c r="P80" s="66" t="s">
        <v>215</v>
      </c>
      <c r="Q80" s="66" t="str">
        <f>IF($P80="Main",J80,BX80)</f>
        <v>in men age 45-64 yrs</v>
      </c>
      <c r="R80" s="66" t="str">
        <f>IF($P80="Main",CONCATENATE(J80,": ",G80),BY80)</f>
        <v>in men age 45-64 yrs</v>
      </c>
      <c r="S80" s="66"/>
      <c r="T80" s="66"/>
      <c r="U80" s="66"/>
      <c r="V80" s="135"/>
      <c r="W80" s="135"/>
      <c r="X80" s="135"/>
      <c r="Y80" s="66"/>
      <c r="Z80" s="66"/>
      <c r="AA80" s="66"/>
      <c r="AB80" s="66"/>
      <c r="AC80" s="152">
        <v>0.03</v>
      </c>
      <c r="AD80" s="160"/>
      <c r="AE80" s="150"/>
      <c r="AF80" s="150"/>
      <c r="AG80" s="161">
        <v>3590</v>
      </c>
      <c r="AH80" s="161"/>
      <c r="AI80" s="161"/>
      <c r="AJ80" s="146">
        <v>542180</v>
      </c>
      <c r="AK80" s="162">
        <f t="shared" si="12"/>
        <v>6.6214172415065109</v>
      </c>
      <c r="AL80" s="162"/>
      <c r="AM80" s="162"/>
      <c r="AN80" s="163"/>
      <c r="AO80" s="164"/>
      <c r="AP80" s="164"/>
      <c r="AQ80" s="164"/>
      <c r="AR80" s="165">
        <v>-57000000</v>
      </c>
      <c r="AS80" s="165"/>
      <c r="AT80" s="165"/>
      <c r="AU80" s="165">
        <f t="shared" si="18"/>
        <v>-105131.13726068834</v>
      </c>
      <c r="AV80" s="165"/>
      <c r="AW80" s="165"/>
      <c r="AX80" s="165"/>
      <c r="AY80" s="165"/>
      <c r="AZ80" s="165"/>
      <c r="BA80" s="166"/>
      <c r="BB80" s="166"/>
      <c r="BC80" s="166"/>
      <c r="BD80" s="165"/>
      <c r="BE80" s="165"/>
      <c r="BF80" s="166"/>
      <c r="BG80" s="165"/>
      <c r="BH80" s="165"/>
      <c r="BI80" s="166"/>
      <c r="BJ80" s="167" t="s">
        <v>182</v>
      </c>
      <c r="BK80" s="133" t="str">
        <f t="shared" si="15"/>
        <v>Cost-saving</v>
      </c>
      <c r="BL80" s="133">
        <f t="shared" si="13"/>
        <v>0</v>
      </c>
      <c r="BM80" s="133">
        <f t="shared" si="13"/>
        <v>0</v>
      </c>
      <c r="BN80" s="168" t="s">
        <v>183</v>
      </c>
      <c r="BO80" s="169"/>
      <c r="BP80" s="169"/>
      <c r="BQ80" s="168" t="s">
        <v>183</v>
      </c>
      <c r="BR80" s="169"/>
      <c r="BS80" s="169"/>
      <c r="BT80" s="168" t="s">
        <v>183</v>
      </c>
      <c r="BU80" s="169"/>
      <c r="BV80" s="169"/>
      <c r="BW80" s="66"/>
      <c r="BX80" s="66" t="s">
        <v>330</v>
      </c>
      <c r="BY80" s="150" t="s">
        <v>330</v>
      </c>
      <c r="BZ80" s="140">
        <v>2016</v>
      </c>
      <c r="CA80" s="133"/>
      <c r="CB80" s="133"/>
      <c r="CC80" s="143">
        <f t="shared" si="16"/>
        <v>62</v>
      </c>
      <c r="CD80" s="133"/>
      <c r="CE80" s="133"/>
      <c r="CF80" s="133"/>
      <c r="CG80" s="144">
        <v>1</v>
      </c>
      <c r="CH80" s="144" t="str">
        <f>IF(CK80=0,"",IF(V80="Persistent",5,IF(V80="Once",1,IF(V80="One-off",1,"manual overwrite"))))</f>
        <v/>
      </c>
      <c r="CI80" s="144"/>
      <c r="CJ80" s="133">
        <f t="shared" si="17"/>
        <v>0</v>
      </c>
      <c r="CK80" s="133">
        <f>IF(CA80="C",0,IF(P80="Het",0,IF(SUM(AG80,AO80)=0,0,1)))</f>
        <v>0</v>
      </c>
      <c r="CL80" s="145" t="e">
        <f>IF(G80="AUS",VLOOKUP(H80,$CU$5:$CW$23,2),IF(G80="NZ",VLOOKUP(H80,$CU$5:$CW$23,3),"error"))*AU80</f>
        <v>#N/A</v>
      </c>
      <c r="CM80" s="139" t="e">
        <f>IF(G80="AUS",VLOOKUP(H80,$CU$5:$CW$23,2),IF(G80="NZ",VLOOKUP(H80,$CU$5:$CW$23,3),"error"))*AX80</f>
        <v>#N/A</v>
      </c>
      <c r="CN80" s="145" t="e">
        <f>IF(G80="AUS",VLOOKUP(H80,$CU$5:$CW$23,2),IF(G80="NZ",VLOOKUP(H80,$CU$5:$CW$23,3),"error"))*BK80</f>
        <v>#N/A</v>
      </c>
    </row>
    <row r="81" spans="1:92" s="5" customFormat="1" ht="167.25" hidden="1">
      <c r="A81" s="150" t="str">
        <f t="shared" si="14"/>
        <v>Tobacco</v>
      </c>
      <c r="B81" s="66" t="s">
        <v>170</v>
      </c>
      <c r="C81" s="30"/>
      <c r="D81" s="66" t="s">
        <v>321</v>
      </c>
      <c r="E81" s="66" t="s">
        <v>172</v>
      </c>
      <c r="F81" s="66" t="str">
        <f t="shared" si="11"/>
        <v>Tobacco; ; Prevention ; Taxes and Subsidies</v>
      </c>
      <c r="G81" s="66" t="s">
        <v>205</v>
      </c>
      <c r="H81" s="66">
        <v>2011</v>
      </c>
      <c r="I81" s="66" t="str">
        <f>CONCATENATE(A81,", ",G81,": ",J81)</f>
        <v>Tobacco, NZ: Ongoing tobacco tax increases (10% annually from 2011 to 2025)</v>
      </c>
      <c r="J81" s="159" t="s">
        <v>322</v>
      </c>
      <c r="K81" s="159"/>
      <c r="L81" s="159"/>
      <c r="M81" s="159"/>
      <c r="N81" s="159"/>
      <c r="O81" s="159"/>
      <c r="P81" s="66" t="s">
        <v>215</v>
      </c>
      <c r="Q81" s="66" t="str">
        <f>IF($P81="Main",J81,BX81)</f>
        <v>in men age 65+ yrs</v>
      </c>
      <c r="R81" s="66" t="str">
        <f>IF($P81="Main",CONCATENATE(J81,": ",G81),BY81)</f>
        <v>in men age 65+ yrs</v>
      </c>
      <c r="S81" s="66"/>
      <c r="T81" s="66"/>
      <c r="U81" s="66"/>
      <c r="V81" s="135"/>
      <c r="W81" s="135"/>
      <c r="X81" s="135"/>
      <c r="Y81" s="66"/>
      <c r="Z81" s="66"/>
      <c r="AA81" s="66"/>
      <c r="AB81" s="66"/>
      <c r="AC81" s="152">
        <v>0.03</v>
      </c>
      <c r="AD81" s="160"/>
      <c r="AE81" s="150"/>
      <c r="AF81" s="150"/>
      <c r="AG81" s="161">
        <v>245</v>
      </c>
      <c r="AH81" s="161"/>
      <c r="AI81" s="161"/>
      <c r="AJ81" s="146">
        <v>268310</v>
      </c>
      <c r="AK81" s="162">
        <f t="shared" si="12"/>
        <v>0.91312288025045651</v>
      </c>
      <c r="AL81" s="162"/>
      <c r="AM81" s="162"/>
      <c r="AN81" s="163"/>
      <c r="AO81" s="164"/>
      <c r="AP81" s="164"/>
      <c r="AQ81" s="164"/>
      <c r="AR81" s="165">
        <v>-2090000</v>
      </c>
      <c r="AS81" s="165"/>
      <c r="AT81" s="165"/>
      <c r="AU81" s="165">
        <f t="shared" si="18"/>
        <v>-7789.4972233610379</v>
      </c>
      <c r="AV81" s="165"/>
      <c r="AW81" s="165"/>
      <c r="AX81" s="165"/>
      <c r="AY81" s="165"/>
      <c r="AZ81" s="165"/>
      <c r="BA81" s="166"/>
      <c r="BB81" s="166"/>
      <c r="BC81" s="166"/>
      <c r="BD81" s="165"/>
      <c r="BE81" s="165"/>
      <c r="BF81" s="166"/>
      <c r="BG81" s="165"/>
      <c r="BH81" s="165"/>
      <c r="BI81" s="166"/>
      <c r="BJ81" s="167" t="s">
        <v>182</v>
      </c>
      <c r="BK81" s="133" t="str">
        <f t="shared" si="15"/>
        <v>Cost-saving</v>
      </c>
      <c r="BL81" s="133">
        <f t="shared" si="13"/>
        <v>0</v>
      </c>
      <c r="BM81" s="133">
        <f t="shared" si="13"/>
        <v>0</v>
      </c>
      <c r="BN81" s="168" t="s">
        <v>183</v>
      </c>
      <c r="BO81" s="169"/>
      <c r="BP81" s="169"/>
      <c r="BQ81" s="168" t="s">
        <v>183</v>
      </c>
      <c r="BR81" s="169"/>
      <c r="BS81" s="169"/>
      <c r="BT81" s="168" t="s">
        <v>183</v>
      </c>
      <c r="BU81" s="169"/>
      <c r="BV81" s="169"/>
      <c r="BW81" s="66"/>
      <c r="BX81" s="66" t="s">
        <v>331</v>
      </c>
      <c r="BY81" s="150" t="s">
        <v>331</v>
      </c>
      <c r="BZ81" s="140">
        <v>2016</v>
      </c>
      <c r="CA81" s="133"/>
      <c r="CB81" s="133"/>
      <c r="CC81" s="143">
        <f t="shared" si="16"/>
        <v>62</v>
      </c>
      <c r="CD81" s="133"/>
      <c r="CE81" s="133"/>
      <c r="CF81" s="133"/>
      <c r="CG81" s="144">
        <v>1</v>
      </c>
      <c r="CH81" s="144" t="str">
        <f>IF(CK81=0,"",IF(V81="Persistent",5,IF(V81="Once",1,IF(V81="One-off",1,"manual overwrite"))))</f>
        <v/>
      </c>
      <c r="CI81" s="144"/>
      <c r="CJ81" s="133">
        <f t="shared" si="17"/>
        <v>0</v>
      </c>
      <c r="CK81" s="133">
        <f>IF(CA81="C",0,IF(P81="Het",0,IF(SUM(AG81,AO81)=0,0,1)))</f>
        <v>0</v>
      </c>
      <c r="CL81" s="145" t="e">
        <f>IF(G81="AUS",VLOOKUP(H81,$CU$5:$CW$23,2),IF(G81="NZ",VLOOKUP(H81,$CU$5:$CW$23,3),"error"))*AU81</f>
        <v>#N/A</v>
      </c>
      <c r="CM81" s="139" t="e">
        <f>IF(G81="AUS",VLOOKUP(H81,$CU$5:$CW$23,2),IF(G81="NZ",VLOOKUP(H81,$CU$5:$CW$23,3),"error"))*AX81</f>
        <v>#N/A</v>
      </c>
      <c r="CN81" s="145" t="e">
        <f>IF(G81="AUS",VLOOKUP(H81,$CU$5:$CW$23,2),IF(G81="NZ",VLOOKUP(H81,$CU$5:$CW$23,3),"error"))*BK81</f>
        <v>#N/A</v>
      </c>
    </row>
    <row r="82" spans="1:92" s="5" customFormat="1" ht="167.25" hidden="1">
      <c r="A82" s="150" t="str">
        <f t="shared" si="14"/>
        <v>Tobacco</v>
      </c>
      <c r="B82" s="66" t="s">
        <v>170</v>
      </c>
      <c r="C82" s="30"/>
      <c r="D82" s="66" t="s">
        <v>321</v>
      </c>
      <c r="E82" s="66" t="s">
        <v>172</v>
      </c>
      <c r="F82" s="66" t="str">
        <f t="shared" si="11"/>
        <v>Tobacco; ; Prevention ; Taxes and Subsidies</v>
      </c>
      <c r="G82" s="66" t="s">
        <v>205</v>
      </c>
      <c r="H82" s="66">
        <v>2011</v>
      </c>
      <c r="I82" s="66" t="str">
        <f>CONCATENATE(A82,", ",G82,": ",J82)</f>
        <v>Tobacco, NZ: Ongoing tobacco tax increases (10% annually from 2011 to 2025)</v>
      </c>
      <c r="J82" s="159" t="s">
        <v>322</v>
      </c>
      <c r="K82" s="159"/>
      <c r="L82" s="159"/>
      <c r="M82" s="159"/>
      <c r="N82" s="159"/>
      <c r="O82" s="159"/>
      <c r="P82" s="66" t="s">
        <v>215</v>
      </c>
      <c r="Q82" s="66" t="str">
        <f>IF($P82="Main",J82,BX82)</f>
        <v>in women</v>
      </c>
      <c r="R82" s="66" t="str">
        <f>IF($P82="Main",CONCATENATE(J82,": ",G82),BY82)</f>
        <v>in women</v>
      </c>
      <c r="S82" s="66"/>
      <c r="T82" s="66"/>
      <c r="U82" s="66"/>
      <c r="V82" s="135"/>
      <c r="W82" s="135"/>
      <c r="X82" s="135"/>
      <c r="Y82" s="66"/>
      <c r="Z82" s="66"/>
      <c r="AA82" s="66"/>
      <c r="AB82" s="66"/>
      <c r="AC82" s="152">
        <v>0.03</v>
      </c>
      <c r="AD82" s="160"/>
      <c r="AE82" s="150"/>
      <c r="AF82" s="150"/>
      <c r="AG82" s="161">
        <v>27300</v>
      </c>
      <c r="AH82" s="161"/>
      <c r="AI82" s="161"/>
      <c r="AJ82" s="146">
        <v>2240660</v>
      </c>
      <c r="AK82" s="162">
        <f t="shared" si="12"/>
        <v>12.183910097917577</v>
      </c>
      <c r="AL82" s="162"/>
      <c r="AM82" s="162"/>
      <c r="AN82" s="163"/>
      <c r="AO82" s="164"/>
      <c r="AP82" s="164"/>
      <c r="AQ82" s="164"/>
      <c r="AR82" s="165">
        <v>-458000000</v>
      </c>
      <c r="AS82" s="165"/>
      <c r="AT82" s="165"/>
      <c r="AU82" s="165">
        <f t="shared" si="18"/>
        <v>-204404.05951817767</v>
      </c>
      <c r="AV82" s="165"/>
      <c r="AW82" s="165"/>
      <c r="AX82" s="165"/>
      <c r="AY82" s="165"/>
      <c r="AZ82" s="165"/>
      <c r="BA82" s="166"/>
      <c r="BB82" s="166"/>
      <c r="BC82" s="166"/>
      <c r="BD82" s="165"/>
      <c r="BE82" s="165"/>
      <c r="BF82" s="166"/>
      <c r="BG82" s="165"/>
      <c r="BH82" s="165"/>
      <c r="BI82" s="166"/>
      <c r="BJ82" s="167" t="s">
        <v>182</v>
      </c>
      <c r="BK82" s="133" t="str">
        <f t="shared" si="15"/>
        <v>Cost-saving</v>
      </c>
      <c r="BL82" s="133">
        <f t="shared" si="13"/>
        <v>0</v>
      </c>
      <c r="BM82" s="133">
        <f t="shared" si="13"/>
        <v>0</v>
      </c>
      <c r="BN82" s="168" t="s">
        <v>183</v>
      </c>
      <c r="BO82" s="169"/>
      <c r="BP82" s="169"/>
      <c r="BQ82" s="168" t="s">
        <v>183</v>
      </c>
      <c r="BR82" s="169"/>
      <c r="BS82" s="169"/>
      <c r="BT82" s="168" t="s">
        <v>183</v>
      </c>
      <c r="BU82" s="169"/>
      <c r="BV82" s="169"/>
      <c r="BW82" s="66"/>
      <c r="BX82" s="66" t="s">
        <v>222</v>
      </c>
      <c r="BY82" s="150" t="s">
        <v>222</v>
      </c>
      <c r="BZ82" s="140">
        <v>2016</v>
      </c>
      <c r="CA82" s="133"/>
      <c r="CB82" s="133"/>
      <c r="CC82" s="143">
        <f t="shared" si="16"/>
        <v>62</v>
      </c>
      <c r="CD82" s="133"/>
      <c r="CE82" s="133"/>
      <c r="CF82" s="133"/>
      <c r="CG82" s="144">
        <v>1</v>
      </c>
      <c r="CH82" s="144" t="str">
        <f>IF(CK82=0,"",IF(V82="Persistent",5,IF(V82="Once",1,IF(V82="One-off",1,"manual overwrite"))))</f>
        <v/>
      </c>
      <c r="CI82" s="144"/>
      <c r="CJ82" s="133">
        <f t="shared" si="17"/>
        <v>0</v>
      </c>
      <c r="CK82" s="133">
        <f>IF(CA82="C",0,IF(P82="Het",0,IF(SUM(AG82,AO82)=0,0,1)))</f>
        <v>0</v>
      </c>
      <c r="CL82" s="145" t="e">
        <f>IF(G82="AUS",VLOOKUP(H82,$CU$5:$CW$23,2),IF(G82="NZ",VLOOKUP(H82,$CU$5:$CW$23,3),"error"))*AU82</f>
        <v>#N/A</v>
      </c>
      <c r="CM82" s="139" t="e">
        <f>IF(G82="AUS",VLOOKUP(H82,$CU$5:$CW$23,2),IF(G82="NZ",VLOOKUP(H82,$CU$5:$CW$23,3),"error"))*AX82</f>
        <v>#N/A</v>
      </c>
      <c r="CN82" s="145" t="e">
        <f>IF(G82="AUS",VLOOKUP(H82,$CU$5:$CW$23,2),IF(G82="NZ",VLOOKUP(H82,$CU$5:$CW$23,3),"error"))*BK82</f>
        <v>#N/A</v>
      </c>
    </row>
    <row r="83" spans="1:92" s="5" customFormat="1" ht="167.25" hidden="1">
      <c r="A83" s="150" t="str">
        <f t="shared" si="14"/>
        <v>Tobacco</v>
      </c>
      <c r="B83" s="66" t="s">
        <v>170</v>
      </c>
      <c r="C83" s="30"/>
      <c r="D83" s="66" t="s">
        <v>321</v>
      </c>
      <c r="E83" s="66" t="s">
        <v>172</v>
      </c>
      <c r="F83" s="66" t="str">
        <f t="shared" si="11"/>
        <v>Tobacco; ; Prevention ; Taxes and Subsidies</v>
      </c>
      <c r="G83" s="66" t="s">
        <v>205</v>
      </c>
      <c r="H83" s="66">
        <v>2011</v>
      </c>
      <c r="I83" s="66" t="str">
        <f>CONCATENATE(A83,", ",G83,": ",J83)</f>
        <v>Tobacco, NZ: Ongoing tobacco tax increases (10% annually from 2011 to 2025)</v>
      </c>
      <c r="J83" s="159" t="s">
        <v>322</v>
      </c>
      <c r="K83" s="159"/>
      <c r="L83" s="159"/>
      <c r="M83" s="159"/>
      <c r="N83" s="159"/>
      <c r="O83" s="159"/>
      <c r="P83" s="66" t="s">
        <v>215</v>
      </c>
      <c r="Q83" s="66" t="str">
        <f>IF($P83="Main",J83,BX83)</f>
        <v>in women age 0-14 yrs</v>
      </c>
      <c r="R83" s="66" t="str">
        <f>IF($P83="Main",CONCATENATE(J83,": ",G83),BY83)</f>
        <v>in women age 0-14 yrs</v>
      </c>
      <c r="S83" s="66"/>
      <c r="T83" s="66"/>
      <c r="U83" s="66"/>
      <c r="V83" s="135"/>
      <c r="W83" s="135"/>
      <c r="X83" s="135"/>
      <c r="Y83" s="66"/>
      <c r="Z83" s="66"/>
      <c r="AA83" s="66"/>
      <c r="AB83" s="66"/>
      <c r="AC83" s="152">
        <v>0.03</v>
      </c>
      <c r="AD83" s="160"/>
      <c r="AE83" s="150"/>
      <c r="AF83" s="150"/>
      <c r="AG83" s="161">
        <v>9170</v>
      </c>
      <c r="AH83" s="161"/>
      <c r="AI83" s="161"/>
      <c r="AJ83" s="146">
        <v>436380</v>
      </c>
      <c r="AK83" s="162">
        <f t="shared" si="12"/>
        <v>21.013795316008984</v>
      </c>
      <c r="AL83" s="162"/>
      <c r="AM83" s="162"/>
      <c r="AN83" s="163"/>
      <c r="AO83" s="164"/>
      <c r="AP83" s="164"/>
      <c r="AQ83" s="164"/>
      <c r="AR83" s="165">
        <v>-167000000</v>
      </c>
      <c r="AS83" s="165"/>
      <c r="AT83" s="165"/>
      <c r="AU83" s="165">
        <f t="shared" si="18"/>
        <v>-382693.98230899672</v>
      </c>
      <c r="AV83" s="165"/>
      <c r="AW83" s="165"/>
      <c r="AX83" s="165"/>
      <c r="AY83" s="165"/>
      <c r="AZ83" s="165"/>
      <c r="BA83" s="166"/>
      <c r="BB83" s="166"/>
      <c r="BC83" s="166"/>
      <c r="BD83" s="165"/>
      <c r="BE83" s="165"/>
      <c r="BF83" s="166"/>
      <c r="BG83" s="165"/>
      <c r="BH83" s="165"/>
      <c r="BI83" s="166"/>
      <c r="BJ83" s="167" t="s">
        <v>182</v>
      </c>
      <c r="BK83" s="133" t="str">
        <f t="shared" si="15"/>
        <v>Cost-saving</v>
      </c>
      <c r="BL83" s="133">
        <f t="shared" si="13"/>
        <v>0</v>
      </c>
      <c r="BM83" s="133">
        <f t="shared" si="13"/>
        <v>0</v>
      </c>
      <c r="BN83" s="168" t="s">
        <v>183</v>
      </c>
      <c r="BO83" s="169"/>
      <c r="BP83" s="169"/>
      <c r="BQ83" s="168" t="s">
        <v>183</v>
      </c>
      <c r="BR83" s="169"/>
      <c r="BS83" s="169"/>
      <c r="BT83" s="168" t="s">
        <v>183</v>
      </c>
      <c r="BU83" s="169"/>
      <c r="BV83" s="169"/>
      <c r="BW83" s="66"/>
      <c r="BX83" s="66" t="s">
        <v>223</v>
      </c>
      <c r="BY83" s="150" t="s">
        <v>223</v>
      </c>
      <c r="BZ83" s="140">
        <v>2016</v>
      </c>
      <c r="CA83" s="133"/>
      <c r="CB83" s="133"/>
      <c r="CC83" s="143">
        <f t="shared" si="16"/>
        <v>62</v>
      </c>
      <c r="CD83" s="133"/>
      <c r="CE83" s="133"/>
      <c r="CF83" s="133"/>
      <c r="CG83" s="144">
        <v>1</v>
      </c>
      <c r="CH83" s="144" t="str">
        <f>IF(CK83=0,"",IF(V83="Persistent",5,IF(V83="Once",1,IF(V83="One-off",1,"manual overwrite"))))</f>
        <v/>
      </c>
      <c r="CI83" s="144"/>
      <c r="CJ83" s="133">
        <f t="shared" si="17"/>
        <v>0</v>
      </c>
      <c r="CK83" s="133">
        <f>IF(CA83="C",0,IF(P83="Het",0,IF(SUM(AG83,AO83)=0,0,1)))</f>
        <v>0</v>
      </c>
      <c r="CL83" s="145" t="e">
        <f>IF(G83="AUS",VLOOKUP(H83,$CU$5:$CW$23,2),IF(G83="NZ",VLOOKUP(H83,$CU$5:$CW$23,3),"error"))*AU83</f>
        <v>#N/A</v>
      </c>
      <c r="CM83" s="139" t="e">
        <f>IF(G83="AUS",VLOOKUP(H83,$CU$5:$CW$23,2),IF(G83="NZ",VLOOKUP(H83,$CU$5:$CW$23,3),"error"))*AX83</f>
        <v>#N/A</v>
      </c>
      <c r="CN83" s="145" t="e">
        <f>IF(G83="AUS",VLOOKUP(H83,$CU$5:$CW$23,2),IF(G83="NZ",VLOOKUP(H83,$CU$5:$CW$23,3),"error"))*BK83</f>
        <v>#N/A</v>
      </c>
    </row>
    <row r="84" spans="1:92" s="5" customFormat="1" ht="167.25" hidden="1">
      <c r="A84" s="150" t="str">
        <f t="shared" si="14"/>
        <v>Tobacco</v>
      </c>
      <c r="B84" s="66" t="s">
        <v>170</v>
      </c>
      <c r="C84" s="30"/>
      <c r="D84" s="66" t="s">
        <v>321</v>
      </c>
      <c r="E84" s="66" t="s">
        <v>172</v>
      </c>
      <c r="F84" s="66" t="str">
        <f t="shared" si="11"/>
        <v>Tobacco; ; Prevention ; Taxes and Subsidies</v>
      </c>
      <c r="G84" s="66" t="s">
        <v>205</v>
      </c>
      <c r="H84" s="66">
        <v>2011</v>
      </c>
      <c r="I84" s="66" t="str">
        <f>CONCATENATE(A84,", ",G84,": ",J84)</f>
        <v>Tobacco, NZ: Ongoing tobacco tax increases (10% annually from 2011 to 2025)</v>
      </c>
      <c r="J84" s="159" t="s">
        <v>322</v>
      </c>
      <c r="K84" s="159"/>
      <c r="L84" s="159"/>
      <c r="M84" s="159"/>
      <c r="N84" s="159"/>
      <c r="O84" s="159"/>
      <c r="P84" s="66" t="s">
        <v>215</v>
      </c>
      <c r="Q84" s="66" t="str">
        <f>IF($P84="Main",J84,BX84)</f>
        <v>in women age 15-24 yrs</v>
      </c>
      <c r="R84" s="66" t="str">
        <f>IF($P84="Main",CONCATENATE(J84,": ",G84),BY84)</f>
        <v>in women age 15-24 yrs</v>
      </c>
      <c r="S84" s="66"/>
      <c r="T84" s="66"/>
      <c r="U84" s="66"/>
      <c r="V84" s="135"/>
      <c r="W84" s="135"/>
      <c r="X84" s="135"/>
      <c r="Y84" s="66"/>
      <c r="Z84" s="66"/>
      <c r="AA84" s="66"/>
      <c r="AB84" s="66"/>
      <c r="AC84" s="152">
        <v>0.03</v>
      </c>
      <c r="AD84" s="160"/>
      <c r="AE84" s="150"/>
      <c r="AF84" s="150"/>
      <c r="AG84" s="161">
        <v>6360</v>
      </c>
      <c r="AH84" s="161"/>
      <c r="AI84" s="161"/>
      <c r="AJ84" s="146">
        <v>311500</v>
      </c>
      <c r="AK84" s="162">
        <f t="shared" si="12"/>
        <v>20.417335473515248</v>
      </c>
      <c r="AL84" s="162"/>
      <c r="AM84" s="162"/>
      <c r="AN84" s="163"/>
      <c r="AO84" s="164"/>
      <c r="AP84" s="164"/>
      <c r="AQ84" s="164"/>
      <c r="AR84" s="165">
        <v>-117000000</v>
      </c>
      <c r="AS84" s="165"/>
      <c r="AT84" s="165"/>
      <c r="AU84" s="165">
        <f t="shared" si="18"/>
        <v>-375601.92616372393</v>
      </c>
      <c r="AV84" s="165"/>
      <c r="AW84" s="165"/>
      <c r="AX84" s="165"/>
      <c r="AY84" s="165"/>
      <c r="AZ84" s="165"/>
      <c r="BA84" s="166"/>
      <c r="BB84" s="166"/>
      <c r="BC84" s="166"/>
      <c r="BD84" s="165"/>
      <c r="BE84" s="165"/>
      <c r="BF84" s="166"/>
      <c r="BG84" s="165"/>
      <c r="BH84" s="165"/>
      <c r="BI84" s="166"/>
      <c r="BJ84" s="167" t="s">
        <v>182</v>
      </c>
      <c r="BK84" s="133" t="str">
        <f t="shared" si="15"/>
        <v>Cost-saving</v>
      </c>
      <c r="BL84" s="133">
        <f t="shared" si="13"/>
        <v>0</v>
      </c>
      <c r="BM84" s="133">
        <f t="shared" si="13"/>
        <v>0</v>
      </c>
      <c r="BN84" s="168" t="s">
        <v>183</v>
      </c>
      <c r="BO84" s="169"/>
      <c r="BP84" s="169"/>
      <c r="BQ84" s="168" t="s">
        <v>183</v>
      </c>
      <c r="BR84" s="169"/>
      <c r="BS84" s="169"/>
      <c r="BT84" s="168" t="s">
        <v>183</v>
      </c>
      <c r="BU84" s="169"/>
      <c r="BV84" s="169"/>
      <c r="BW84" s="66"/>
      <c r="BX84" s="66" t="s">
        <v>332</v>
      </c>
      <c r="BY84" s="150" t="s">
        <v>332</v>
      </c>
      <c r="BZ84" s="140">
        <v>2016</v>
      </c>
      <c r="CA84" s="133"/>
      <c r="CB84" s="133"/>
      <c r="CC84" s="143">
        <f t="shared" si="16"/>
        <v>62</v>
      </c>
      <c r="CD84" s="133"/>
      <c r="CE84" s="133"/>
      <c r="CF84" s="133"/>
      <c r="CG84" s="144">
        <v>1</v>
      </c>
      <c r="CH84" s="144" t="str">
        <f>IF(CK84=0,"",IF(V84="Persistent",5,IF(V84="Once",1,IF(V84="One-off",1,"manual overwrite"))))</f>
        <v/>
      </c>
      <c r="CI84" s="144"/>
      <c r="CJ84" s="133">
        <f t="shared" si="17"/>
        <v>0</v>
      </c>
      <c r="CK84" s="133">
        <f>IF(CA84="C",0,IF(P84="Het",0,IF(SUM(AG84,AO84)=0,0,1)))</f>
        <v>0</v>
      </c>
      <c r="CL84" s="145" t="e">
        <f>IF(G84="AUS",VLOOKUP(H84,$CU$5:$CW$23,2),IF(G84="NZ",VLOOKUP(H84,$CU$5:$CW$23,3),"error"))*AU84</f>
        <v>#N/A</v>
      </c>
      <c r="CM84" s="139" t="e">
        <f>IF(G84="AUS",VLOOKUP(H84,$CU$5:$CW$23,2),IF(G84="NZ",VLOOKUP(H84,$CU$5:$CW$23,3),"error"))*AX84</f>
        <v>#N/A</v>
      </c>
      <c r="CN84" s="145" t="e">
        <f>IF(G84="AUS",VLOOKUP(H84,$CU$5:$CW$23,2),IF(G84="NZ",VLOOKUP(H84,$CU$5:$CW$23,3),"error"))*BK84</f>
        <v>#N/A</v>
      </c>
    </row>
    <row r="85" spans="1:92" s="5" customFormat="1" ht="167.25" hidden="1">
      <c r="A85" s="150" t="str">
        <f t="shared" si="14"/>
        <v>Tobacco</v>
      </c>
      <c r="B85" s="66" t="s">
        <v>170</v>
      </c>
      <c r="C85" s="30"/>
      <c r="D85" s="66" t="s">
        <v>321</v>
      </c>
      <c r="E85" s="66" t="s">
        <v>172</v>
      </c>
      <c r="F85" s="66" t="str">
        <f t="shared" si="11"/>
        <v>Tobacco; ; Prevention ; Taxes and Subsidies</v>
      </c>
      <c r="G85" s="66" t="s">
        <v>205</v>
      </c>
      <c r="H85" s="66">
        <v>2011</v>
      </c>
      <c r="I85" s="66" t="str">
        <f>CONCATENATE(A85,", ",G85,": ",J85)</f>
        <v>Tobacco, NZ: Ongoing tobacco tax increases (10% annually from 2011 to 2025)</v>
      </c>
      <c r="J85" s="159" t="s">
        <v>322</v>
      </c>
      <c r="K85" s="159"/>
      <c r="L85" s="159"/>
      <c r="M85" s="159"/>
      <c r="N85" s="159"/>
      <c r="O85" s="159"/>
      <c r="P85" s="66" t="s">
        <v>215</v>
      </c>
      <c r="Q85" s="66" t="str">
        <f>IF($P85="Main",J85,BX85)</f>
        <v>in women age 25-44 yrs</v>
      </c>
      <c r="R85" s="66" t="str">
        <f>IF($P85="Main",CONCATENATE(J85,": ",G85),BY85)</f>
        <v>in women age 25-44 yrs</v>
      </c>
      <c r="S85" s="66"/>
      <c r="T85" s="66"/>
      <c r="U85" s="66"/>
      <c r="V85" s="135"/>
      <c r="W85" s="135"/>
      <c r="X85" s="135"/>
      <c r="Y85" s="66"/>
      <c r="Z85" s="66"/>
      <c r="AA85" s="66"/>
      <c r="AB85" s="66"/>
      <c r="AC85" s="152">
        <v>0.03</v>
      </c>
      <c r="AD85" s="160"/>
      <c r="AE85" s="150"/>
      <c r="AF85" s="150"/>
      <c r="AG85" s="161">
        <v>7790</v>
      </c>
      <c r="AH85" s="161"/>
      <c r="AI85" s="161"/>
      <c r="AJ85" s="146">
        <v>604390</v>
      </c>
      <c r="AK85" s="162">
        <f t="shared" si="12"/>
        <v>12.889028607356178</v>
      </c>
      <c r="AL85" s="162"/>
      <c r="AM85" s="162"/>
      <c r="AN85" s="163"/>
      <c r="AO85" s="164"/>
      <c r="AP85" s="164"/>
      <c r="AQ85" s="164"/>
      <c r="AR85" s="165">
        <v>-128000000</v>
      </c>
      <c r="AS85" s="165"/>
      <c r="AT85" s="165"/>
      <c r="AU85" s="165">
        <f t="shared" si="18"/>
        <v>-211783.78199506941</v>
      </c>
      <c r="AV85" s="165"/>
      <c r="AW85" s="165"/>
      <c r="AX85" s="165"/>
      <c r="AY85" s="165"/>
      <c r="AZ85" s="165"/>
      <c r="BA85" s="166"/>
      <c r="BB85" s="166"/>
      <c r="BC85" s="166"/>
      <c r="BD85" s="165"/>
      <c r="BE85" s="165"/>
      <c r="BF85" s="166"/>
      <c r="BG85" s="165"/>
      <c r="BH85" s="165"/>
      <c r="BI85" s="166"/>
      <c r="BJ85" s="167" t="s">
        <v>182</v>
      </c>
      <c r="BK85" s="133" t="str">
        <f t="shared" si="15"/>
        <v>Cost-saving</v>
      </c>
      <c r="BL85" s="133">
        <f t="shared" si="13"/>
        <v>0</v>
      </c>
      <c r="BM85" s="133">
        <f t="shared" si="13"/>
        <v>0</v>
      </c>
      <c r="BN85" s="168" t="s">
        <v>183</v>
      </c>
      <c r="BO85" s="169"/>
      <c r="BP85" s="169"/>
      <c r="BQ85" s="168" t="s">
        <v>183</v>
      </c>
      <c r="BR85" s="169"/>
      <c r="BS85" s="169"/>
      <c r="BT85" s="168" t="s">
        <v>183</v>
      </c>
      <c r="BU85" s="169"/>
      <c r="BV85" s="169"/>
      <c r="BW85" s="66"/>
      <c r="BX85" s="66" t="s">
        <v>225</v>
      </c>
      <c r="BY85" s="150" t="s">
        <v>225</v>
      </c>
      <c r="BZ85" s="140">
        <v>2016</v>
      </c>
      <c r="CA85" s="133"/>
      <c r="CB85" s="133"/>
      <c r="CC85" s="143">
        <f t="shared" si="16"/>
        <v>62</v>
      </c>
      <c r="CD85" s="133"/>
      <c r="CE85" s="133"/>
      <c r="CF85" s="133"/>
      <c r="CG85" s="144">
        <v>1</v>
      </c>
      <c r="CH85" s="144" t="str">
        <f>IF(CK85=0,"",IF(V85="Persistent",5,IF(V85="Once",1,IF(V85="One-off",1,"manual overwrite"))))</f>
        <v/>
      </c>
      <c r="CI85" s="144"/>
      <c r="CJ85" s="133">
        <f t="shared" si="17"/>
        <v>0</v>
      </c>
      <c r="CK85" s="133">
        <f>IF(CA85="C",0,IF(P85="Het",0,IF(SUM(AG85,AO85)=0,0,1)))</f>
        <v>0</v>
      </c>
      <c r="CL85" s="145" t="e">
        <f>IF(G85="AUS",VLOOKUP(H85,$CU$5:$CW$23,2),IF(G85="NZ",VLOOKUP(H85,$CU$5:$CW$23,3),"error"))*AU85</f>
        <v>#N/A</v>
      </c>
      <c r="CM85" s="139" t="e">
        <f>IF(G85="AUS",VLOOKUP(H85,$CU$5:$CW$23,2),IF(G85="NZ",VLOOKUP(H85,$CU$5:$CW$23,3),"error"))*AX85</f>
        <v>#N/A</v>
      </c>
      <c r="CN85" s="145" t="e">
        <f>IF(G85="AUS",VLOOKUP(H85,$CU$5:$CW$23,2),IF(G85="NZ",VLOOKUP(H85,$CU$5:$CW$23,3),"error"))*BK85</f>
        <v>#N/A</v>
      </c>
    </row>
    <row r="86" spans="1:92" s="5" customFormat="1" ht="167.25" hidden="1">
      <c r="A86" s="150" t="str">
        <f t="shared" si="14"/>
        <v>Tobacco</v>
      </c>
      <c r="B86" s="66" t="s">
        <v>170</v>
      </c>
      <c r="C86" s="30"/>
      <c r="D86" s="66" t="s">
        <v>321</v>
      </c>
      <c r="E86" s="66" t="s">
        <v>172</v>
      </c>
      <c r="F86" s="66" t="str">
        <f t="shared" si="11"/>
        <v>Tobacco; ; Prevention ; Taxes and Subsidies</v>
      </c>
      <c r="G86" s="66" t="s">
        <v>205</v>
      </c>
      <c r="H86" s="66">
        <v>2011</v>
      </c>
      <c r="I86" s="66" t="str">
        <f>CONCATENATE(A86,", ",G86,": ",J86)</f>
        <v>Tobacco, NZ: Ongoing tobacco tax increases (10% annually from 2011 to 2025)</v>
      </c>
      <c r="J86" s="159" t="s">
        <v>322</v>
      </c>
      <c r="K86" s="159"/>
      <c r="L86" s="159"/>
      <c r="M86" s="159"/>
      <c r="N86" s="159"/>
      <c r="O86" s="159"/>
      <c r="P86" s="66" t="s">
        <v>215</v>
      </c>
      <c r="Q86" s="66" t="str">
        <f>IF($P86="Main",J86,BX86)</f>
        <v>in women age 45-64 yrs</v>
      </c>
      <c r="R86" s="66" t="str">
        <f>IF($P86="Main",CONCATENATE(J86,": ",G86),BY86)</f>
        <v>in women age 45-64 yrs</v>
      </c>
      <c r="S86" s="66"/>
      <c r="T86" s="66"/>
      <c r="U86" s="66"/>
      <c r="V86" s="135"/>
      <c r="W86" s="135"/>
      <c r="X86" s="135"/>
      <c r="Y86" s="66"/>
      <c r="Z86" s="66"/>
      <c r="AA86" s="66"/>
      <c r="AB86" s="66"/>
      <c r="AC86" s="152">
        <v>0.03</v>
      </c>
      <c r="AD86" s="160"/>
      <c r="AE86" s="150"/>
      <c r="AF86" s="150"/>
      <c r="AG86" s="161">
        <v>3740</v>
      </c>
      <c r="AH86" s="161"/>
      <c r="AI86" s="161"/>
      <c r="AJ86" s="146">
        <v>569720</v>
      </c>
      <c r="AK86" s="162">
        <f t="shared" si="12"/>
        <v>6.5646282384329142</v>
      </c>
      <c r="AL86" s="162"/>
      <c r="AM86" s="162"/>
      <c r="AN86" s="163"/>
      <c r="AO86" s="164"/>
      <c r="AP86" s="164"/>
      <c r="AQ86" s="164"/>
      <c r="AR86" s="165">
        <v>-44000000</v>
      </c>
      <c r="AS86" s="165"/>
      <c r="AT86" s="165"/>
      <c r="AU86" s="165">
        <f t="shared" si="18"/>
        <v>-77230.920452151928</v>
      </c>
      <c r="AV86" s="165"/>
      <c r="AW86" s="165"/>
      <c r="AX86" s="165"/>
      <c r="AY86" s="165"/>
      <c r="AZ86" s="165"/>
      <c r="BA86" s="166"/>
      <c r="BB86" s="166"/>
      <c r="BC86" s="166"/>
      <c r="BD86" s="165"/>
      <c r="BE86" s="165"/>
      <c r="BF86" s="166"/>
      <c r="BG86" s="165"/>
      <c r="BH86" s="165"/>
      <c r="BI86" s="166"/>
      <c r="BJ86" s="167" t="s">
        <v>182</v>
      </c>
      <c r="BK86" s="133" t="str">
        <f t="shared" si="15"/>
        <v>Cost-saving</v>
      </c>
      <c r="BL86" s="133">
        <f t="shared" si="13"/>
        <v>0</v>
      </c>
      <c r="BM86" s="133">
        <f t="shared" si="13"/>
        <v>0</v>
      </c>
      <c r="BN86" s="168" t="s">
        <v>183</v>
      </c>
      <c r="BO86" s="169"/>
      <c r="BP86" s="169"/>
      <c r="BQ86" s="168" t="s">
        <v>183</v>
      </c>
      <c r="BR86" s="169"/>
      <c r="BS86" s="169"/>
      <c r="BT86" s="168" t="s">
        <v>183</v>
      </c>
      <c r="BU86" s="169"/>
      <c r="BV86" s="169"/>
      <c r="BW86" s="66"/>
      <c r="BX86" s="66" t="s">
        <v>226</v>
      </c>
      <c r="BY86" s="150" t="s">
        <v>226</v>
      </c>
      <c r="BZ86" s="140">
        <v>2016</v>
      </c>
      <c r="CA86" s="133"/>
      <c r="CB86" s="133"/>
      <c r="CC86" s="143">
        <f t="shared" si="16"/>
        <v>62</v>
      </c>
      <c r="CD86" s="133"/>
      <c r="CE86" s="133"/>
      <c r="CF86" s="133"/>
      <c r="CG86" s="144">
        <v>1</v>
      </c>
      <c r="CH86" s="144" t="str">
        <f>IF(CK86=0,"",IF(V86="Persistent",5,IF(V86="Once",1,IF(V86="One-off",1,"manual overwrite"))))</f>
        <v/>
      </c>
      <c r="CI86" s="144"/>
      <c r="CJ86" s="133">
        <f t="shared" si="17"/>
        <v>0</v>
      </c>
      <c r="CK86" s="133">
        <f>IF(CA86="C",0,IF(P86="Het",0,IF(SUM(AG86,AO86)=0,0,1)))</f>
        <v>0</v>
      </c>
      <c r="CL86" s="145" t="e">
        <f>IF(G86="AUS",VLOOKUP(H86,$CU$5:$CW$23,2),IF(G86="NZ",VLOOKUP(H86,$CU$5:$CW$23,3),"error"))*AU86</f>
        <v>#N/A</v>
      </c>
      <c r="CM86" s="139" t="e">
        <f>IF(G86="AUS",VLOOKUP(H86,$CU$5:$CW$23,2),IF(G86="NZ",VLOOKUP(H86,$CU$5:$CW$23,3),"error"))*AX86</f>
        <v>#N/A</v>
      </c>
      <c r="CN86" s="145" t="e">
        <f>IF(G86="AUS",VLOOKUP(H86,$CU$5:$CW$23,2),IF(G86="NZ",VLOOKUP(H86,$CU$5:$CW$23,3),"error"))*BK86</f>
        <v>#N/A</v>
      </c>
    </row>
    <row r="87" spans="1:92" s="5" customFormat="1" ht="167.25" hidden="1">
      <c r="A87" s="150" t="str">
        <f t="shared" si="14"/>
        <v>Tobacco</v>
      </c>
      <c r="B87" s="66" t="s">
        <v>170</v>
      </c>
      <c r="C87" s="30"/>
      <c r="D87" s="66" t="s">
        <v>321</v>
      </c>
      <c r="E87" s="66" t="s">
        <v>172</v>
      </c>
      <c r="F87" s="66" t="str">
        <f t="shared" si="11"/>
        <v>Tobacco; ; Prevention ; Taxes and Subsidies</v>
      </c>
      <c r="G87" s="66" t="s">
        <v>205</v>
      </c>
      <c r="H87" s="66">
        <v>2011</v>
      </c>
      <c r="I87" s="66" t="str">
        <f>CONCATENATE(A87,", ",G87,": ",J87)</f>
        <v>Tobacco, NZ: Ongoing tobacco tax increases (10% annually from 2011 to 2025)</v>
      </c>
      <c r="J87" s="159" t="s">
        <v>322</v>
      </c>
      <c r="K87" s="159"/>
      <c r="L87" s="159"/>
      <c r="M87" s="159"/>
      <c r="N87" s="159"/>
      <c r="O87" s="159"/>
      <c r="P87" s="66" t="s">
        <v>215</v>
      </c>
      <c r="Q87" s="66" t="str">
        <f>IF($P87="Main",J87,BX87)</f>
        <v xml:space="preserve">in women age 65+ yrs </v>
      </c>
      <c r="R87" s="66" t="str">
        <f>IF($P87="Main",CONCATENATE(J87,": ",G87),BY87)</f>
        <v xml:space="preserve">in women age 65+ yrs </v>
      </c>
      <c r="S87" s="66"/>
      <c r="T87" s="66"/>
      <c r="U87" s="66"/>
      <c r="V87" s="135"/>
      <c r="W87" s="135"/>
      <c r="X87" s="135"/>
      <c r="Y87" s="66"/>
      <c r="Z87" s="66"/>
      <c r="AA87" s="66"/>
      <c r="AB87" s="66"/>
      <c r="AC87" s="152">
        <v>0.03</v>
      </c>
      <c r="AD87" s="160"/>
      <c r="AE87" s="150"/>
      <c r="AF87" s="150"/>
      <c r="AG87" s="161">
        <v>288</v>
      </c>
      <c r="AH87" s="161"/>
      <c r="AI87" s="161"/>
      <c r="AJ87" s="146">
        <v>318670</v>
      </c>
      <c r="AK87" s="162">
        <f t="shared" si="12"/>
        <v>0.90375623685944717</v>
      </c>
      <c r="AL87" s="162"/>
      <c r="AM87" s="162"/>
      <c r="AN87" s="163"/>
      <c r="AO87" s="164"/>
      <c r="AP87" s="164"/>
      <c r="AQ87" s="164"/>
      <c r="AR87" s="165">
        <v>-1710000</v>
      </c>
      <c r="AS87" s="165"/>
      <c r="AT87" s="165"/>
      <c r="AU87" s="165">
        <f t="shared" si="18"/>
        <v>-5366.0526563529675</v>
      </c>
      <c r="AV87" s="165"/>
      <c r="AW87" s="165"/>
      <c r="AX87" s="165"/>
      <c r="AY87" s="165"/>
      <c r="AZ87" s="165"/>
      <c r="BA87" s="166"/>
      <c r="BB87" s="166"/>
      <c r="BC87" s="166"/>
      <c r="BD87" s="165"/>
      <c r="BE87" s="165"/>
      <c r="BF87" s="166"/>
      <c r="BG87" s="165"/>
      <c r="BH87" s="165"/>
      <c r="BI87" s="166"/>
      <c r="BJ87" s="167" t="s">
        <v>182</v>
      </c>
      <c r="BK87" s="133" t="str">
        <f t="shared" si="15"/>
        <v>Cost-saving</v>
      </c>
      <c r="BL87" s="133">
        <f t="shared" si="13"/>
        <v>0</v>
      </c>
      <c r="BM87" s="133">
        <f t="shared" si="13"/>
        <v>0</v>
      </c>
      <c r="BN87" s="168" t="s">
        <v>183</v>
      </c>
      <c r="BO87" s="169"/>
      <c r="BP87" s="169"/>
      <c r="BQ87" s="168" t="s">
        <v>183</v>
      </c>
      <c r="BR87" s="169"/>
      <c r="BS87" s="169"/>
      <c r="BT87" s="168" t="s">
        <v>183</v>
      </c>
      <c r="BU87" s="169"/>
      <c r="BV87" s="169"/>
      <c r="BW87" s="66"/>
      <c r="BX87" s="66" t="s">
        <v>227</v>
      </c>
      <c r="BY87" s="150" t="s">
        <v>227</v>
      </c>
      <c r="BZ87" s="140">
        <v>2016</v>
      </c>
      <c r="CA87" s="133"/>
      <c r="CB87" s="133"/>
      <c r="CC87" s="143">
        <f t="shared" si="16"/>
        <v>62</v>
      </c>
      <c r="CD87" s="133"/>
      <c r="CE87" s="133"/>
      <c r="CF87" s="133"/>
      <c r="CG87" s="144">
        <v>1</v>
      </c>
      <c r="CH87" s="144" t="str">
        <f>IF(CK87=0,"",IF(V87="Persistent",5,IF(V87="Once",1,IF(V87="One-off",1,"manual overwrite"))))</f>
        <v/>
      </c>
      <c r="CI87" s="144"/>
      <c r="CJ87" s="133">
        <f t="shared" si="17"/>
        <v>0</v>
      </c>
      <c r="CK87" s="133">
        <f>IF(CA87="C",0,IF(P87="Het",0,IF(SUM(AG87,AO87)=0,0,1)))</f>
        <v>0</v>
      </c>
      <c r="CL87" s="145" t="e">
        <f>IF(G87="AUS",VLOOKUP(H87,$CU$5:$CW$23,2),IF(G87="NZ",VLOOKUP(H87,$CU$5:$CW$23,3),"error"))*AU87</f>
        <v>#N/A</v>
      </c>
      <c r="CM87" s="139" t="e">
        <f>IF(G87="AUS",VLOOKUP(H87,$CU$5:$CW$23,2),IF(G87="NZ",VLOOKUP(H87,$CU$5:$CW$23,3),"error"))*AX87</f>
        <v>#N/A</v>
      </c>
      <c r="CN87" s="145" t="e">
        <f>IF(G87="AUS",VLOOKUP(H87,$CU$5:$CW$23,2),IF(G87="NZ",VLOOKUP(H87,$CU$5:$CW$23,3),"error"))*BK87</f>
        <v>#N/A</v>
      </c>
    </row>
    <row r="88" spans="1:92" s="5" customFormat="1" ht="167.25" hidden="1">
      <c r="A88" s="150" t="str">
        <f t="shared" si="14"/>
        <v>Tobacco</v>
      </c>
      <c r="B88" s="66" t="s">
        <v>170</v>
      </c>
      <c r="C88" s="30"/>
      <c r="D88" s="66" t="s">
        <v>321</v>
      </c>
      <c r="E88" s="66" t="s">
        <v>172</v>
      </c>
      <c r="F88" s="66" t="str">
        <f t="shared" si="11"/>
        <v>Tobacco; ; Prevention ; Taxes and Subsidies</v>
      </c>
      <c r="G88" s="66" t="s">
        <v>205</v>
      </c>
      <c r="H88" s="66">
        <v>2011</v>
      </c>
      <c r="I88" s="66" t="str">
        <f>CONCATENATE(A88,", ",G88,": ",J88)</f>
        <v>Tobacco, NZ: Ongoing tobacco tax increases (10% annually from 2011 to 2025)</v>
      </c>
      <c r="J88" s="159" t="s">
        <v>322</v>
      </c>
      <c r="K88" s="159"/>
      <c r="L88" s="159"/>
      <c r="M88" s="159"/>
      <c r="N88" s="159"/>
      <c r="O88" s="159"/>
      <c r="P88" s="66" t="s">
        <v>215</v>
      </c>
      <c r="Q88" s="66" t="str">
        <f>IF($P88="Main",J88,BX88)</f>
        <v>in non-Māori</v>
      </c>
      <c r="R88" s="66" t="str">
        <f>IF($P88="Main",CONCATENATE(J88,": ",G88),BY88)</f>
        <v>in non-Māori</v>
      </c>
      <c r="S88" s="66"/>
      <c r="T88" s="66"/>
      <c r="U88" s="66"/>
      <c r="V88" s="135"/>
      <c r="W88" s="135"/>
      <c r="X88" s="135"/>
      <c r="Y88" s="66"/>
      <c r="Z88" s="66"/>
      <c r="AA88" s="66"/>
      <c r="AB88" s="66"/>
      <c r="AC88" s="152">
        <v>0.03</v>
      </c>
      <c r="AD88" s="160"/>
      <c r="AE88" s="150"/>
      <c r="AF88" s="150"/>
      <c r="AG88" s="161">
        <v>29700</v>
      </c>
      <c r="AH88" s="161">
        <v>16000</v>
      </c>
      <c r="AI88" s="161">
        <v>49400</v>
      </c>
      <c r="AJ88" s="146">
        <v>3731070</v>
      </c>
      <c r="AK88" s="162">
        <f t="shared" si="12"/>
        <v>7.9601830038031984</v>
      </c>
      <c r="AL88" s="162">
        <f>AH88/$AJ88*1000</f>
        <v>4.2883140761229352</v>
      </c>
      <c r="AM88" s="162">
        <f>AI88/$AJ88*1000</f>
        <v>13.240169710029562</v>
      </c>
      <c r="AN88" s="163"/>
      <c r="AO88" s="164">
        <v>8.0000000000000002E-3</v>
      </c>
      <c r="AP88" s="164"/>
      <c r="AQ88" s="164"/>
      <c r="AR88" s="165">
        <v>-711000000</v>
      </c>
      <c r="AS88" s="165">
        <v>-391000000</v>
      </c>
      <c r="AT88" s="165">
        <v>-1180000000</v>
      </c>
      <c r="AU88" s="165">
        <f t="shared" si="18"/>
        <v>-190561.95675771293</v>
      </c>
      <c r="AV88" s="165">
        <f>1000*AS88/$AJ88</f>
        <v>-104795.67523525422</v>
      </c>
      <c r="AW88" s="165">
        <f>1000*AT88/$AJ88</f>
        <v>-316263.16311406647</v>
      </c>
      <c r="AX88" s="165">
        <v>-190</v>
      </c>
      <c r="AY88" s="165"/>
      <c r="AZ88" s="165"/>
      <c r="BA88" s="166"/>
      <c r="BB88" s="166"/>
      <c r="BC88" s="166"/>
      <c r="BD88" s="165"/>
      <c r="BE88" s="165"/>
      <c r="BF88" s="166"/>
      <c r="BG88" s="165"/>
      <c r="BH88" s="165"/>
      <c r="BI88" s="166"/>
      <c r="BJ88" s="167" t="s">
        <v>182</v>
      </c>
      <c r="BK88" s="133" t="str">
        <f t="shared" si="15"/>
        <v>Cost-saving</v>
      </c>
      <c r="BL88" s="133">
        <f t="shared" si="13"/>
        <v>0</v>
      </c>
      <c r="BM88" s="133">
        <f t="shared" si="13"/>
        <v>0</v>
      </c>
      <c r="BN88" s="168" t="s">
        <v>183</v>
      </c>
      <c r="BO88" s="169"/>
      <c r="BP88" s="169"/>
      <c r="BQ88" s="168" t="s">
        <v>183</v>
      </c>
      <c r="BR88" s="169"/>
      <c r="BS88" s="169"/>
      <c r="BT88" s="168" t="s">
        <v>183</v>
      </c>
      <c r="BU88" s="169"/>
      <c r="BV88" s="169"/>
      <c r="BW88" s="66"/>
      <c r="BX88" s="66" t="s">
        <v>228</v>
      </c>
      <c r="BY88" s="150" t="s">
        <v>228</v>
      </c>
      <c r="BZ88" s="140">
        <v>2016</v>
      </c>
      <c r="CA88" s="133"/>
      <c r="CB88" s="133"/>
      <c r="CC88" s="143">
        <f t="shared" si="16"/>
        <v>62</v>
      </c>
      <c r="CD88" s="133"/>
      <c r="CE88" s="133"/>
      <c r="CF88" s="133"/>
      <c r="CG88" s="144">
        <v>1</v>
      </c>
      <c r="CH88" s="144" t="str">
        <f>IF(CK88=0,"",IF(V88="Persistent",5,IF(V88="Once",1,IF(V88="One-off",1,"manual overwrite"))))</f>
        <v/>
      </c>
      <c r="CI88" s="144"/>
      <c r="CJ88" s="133">
        <f t="shared" si="17"/>
        <v>0</v>
      </c>
      <c r="CK88" s="133">
        <f>IF(CA88="C",0,IF(P88="Het",0,IF(SUM(AG88,AO88)=0,0,1)))</f>
        <v>0</v>
      </c>
      <c r="CL88" s="145" t="e">
        <f>IF(G88="AUS",VLOOKUP(H88,$CU$5:$CW$23,2),IF(G88="NZ",VLOOKUP(H88,$CU$5:$CW$23,3),"error"))*AU88</f>
        <v>#N/A</v>
      </c>
      <c r="CM88" s="139" t="e">
        <f>IF(G88="AUS",VLOOKUP(H88,$CU$5:$CW$23,2),IF(G88="NZ",VLOOKUP(H88,$CU$5:$CW$23,3),"error"))*AX88</f>
        <v>#N/A</v>
      </c>
      <c r="CN88" s="145" t="e">
        <f>IF(G88="AUS",VLOOKUP(H88,$CU$5:$CW$23,2),IF(G88="NZ",VLOOKUP(H88,$CU$5:$CW$23,3),"error"))*BK88</f>
        <v>#N/A</v>
      </c>
    </row>
    <row r="89" spans="1:92" s="5" customFormat="1" ht="167.25" hidden="1">
      <c r="A89" s="150" t="str">
        <f t="shared" si="14"/>
        <v>Tobacco</v>
      </c>
      <c r="B89" s="66" t="s">
        <v>170</v>
      </c>
      <c r="C89" s="30"/>
      <c r="D89" s="66" t="s">
        <v>321</v>
      </c>
      <c r="E89" s="66" t="s">
        <v>172</v>
      </c>
      <c r="F89" s="66" t="str">
        <f t="shared" si="11"/>
        <v>Tobacco; ; Prevention ; Taxes and Subsidies</v>
      </c>
      <c r="G89" s="66" t="s">
        <v>205</v>
      </c>
      <c r="H89" s="66">
        <v>2011</v>
      </c>
      <c r="I89" s="66" t="str">
        <f>CONCATENATE(A89,", ",G89,": ",J89)</f>
        <v>Tobacco, NZ: Ongoing tobacco tax increases (10% annually from 2011 to 2025)</v>
      </c>
      <c r="J89" s="159" t="s">
        <v>322</v>
      </c>
      <c r="K89" s="159"/>
      <c r="L89" s="159"/>
      <c r="M89" s="159"/>
      <c r="N89" s="159"/>
      <c r="O89" s="159"/>
      <c r="P89" s="66" t="s">
        <v>215</v>
      </c>
      <c r="Q89" s="66" t="str">
        <f>IF($P89="Main",J89,BX89)</f>
        <v xml:space="preserve">in non-Māori men </v>
      </c>
      <c r="R89" s="66" t="str">
        <f>IF($P89="Main",CONCATENATE(J89,": ",G89),BY89)</f>
        <v xml:space="preserve">in non-Māori men </v>
      </c>
      <c r="S89" s="66"/>
      <c r="T89" s="66"/>
      <c r="U89" s="66"/>
      <c r="V89" s="135"/>
      <c r="W89" s="135"/>
      <c r="X89" s="135"/>
      <c r="Y89" s="66"/>
      <c r="Z89" s="66"/>
      <c r="AA89" s="66"/>
      <c r="AB89" s="66"/>
      <c r="AC89" s="152">
        <v>0.03</v>
      </c>
      <c r="AD89" s="160"/>
      <c r="AE89" s="150"/>
      <c r="AF89" s="150"/>
      <c r="AG89" s="161">
        <v>16300</v>
      </c>
      <c r="AH89" s="161"/>
      <c r="AI89" s="161"/>
      <c r="AJ89" s="146">
        <v>1833710</v>
      </c>
      <c r="AK89" s="162">
        <f t="shared" si="12"/>
        <v>8.8890827884452825</v>
      </c>
      <c r="AL89" s="162"/>
      <c r="AM89" s="162"/>
      <c r="AN89" s="163"/>
      <c r="AO89" s="164"/>
      <c r="AP89" s="164"/>
      <c r="AQ89" s="164"/>
      <c r="AR89" s="165">
        <v>-417000000</v>
      </c>
      <c r="AS89" s="165"/>
      <c r="AT89" s="165"/>
      <c r="AU89" s="165">
        <f t="shared" si="18"/>
        <v>-227407.82348353884</v>
      </c>
      <c r="AV89" s="165"/>
      <c r="AW89" s="165"/>
      <c r="AX89" s="165"/>
      <c r="AY89" s="165"/>
      <c r="AZ89" s="165"/>
      <c r="BA89" s="166"/>
      <c r="BB89" s="166"/>
      <c r="BC89" s="166"/>
      <c r="BD89" s="165"/>
      <c r="BE89" s="165"/>
      <c r="BF89" s="166"/>
      <c r="BG89" s="165"/>
      <c r="BH89" s="165"/>
      <c r="BI89" s="166"/>
      <c r="BJ89" s="167" t="s">
        <v>182</v>
      </c>
      <c r="BK89" s="133" t="str">
        <f t="shared" si="15"/>
        <v>Cost-saving</v>
      </c>
      <c r="BL89" s="133">
        <f t="shared" si="13"/>
        <v>0</v>
      </c>
      <c r="BM89" s="133">
        <f t="shared" si="13"/>
        <v>0</v>
      </c>
      <c r="BN89" s="168" t="s">
        <v>183</v>
      </c>
      <c r="BO89" s="169"/>
      <c r="BP89" s="169"/>
      <c r="BQ89" s="168" t="s">
        <v>183</v>
      </c>
      <c r="BR89" s="169"/>
      <c r="BS89" s="169"/>
      <c r="BT89" s="168" t="s">
        <v>183</v>
      </c>
      <c r="BU89" s="169"/>
      <c r="BV89" s="169"/>
      <c r="BW89" s="66"/>
      <c r="BX89" s="66" t="s">
        <v>229</v>
      </c>
      <c r="BY89" s="150" t="s">
        <v>229</v>
      </c>
      <c r="BZ89" s="140">
        <v>2016</v>
      </c>
      <c r="CA89" s="133"/>
      <c r="CB89" s="133"/>
      <c r="CC89" s="143">
        <f t="shared" si="16"/>
        <v>62</v>
      </c>
      <c r="CD89" s="133"/>
      <c r="CE89" s="133"/>
      <c r="CF89" s="133"/>
      <c r="CG89" s="144">
        <v>1</v>
      </c>
      <c r="CH89" s="144" t="str">
        <f>IF(CK89=0,"",IF(V89="Persistent",5,IF(V89="Once",1,IF(V89="One-off",1,"manual overwrite"))))</f>
        <v/>
      </c>
      <c r="CI89" s="144"/>
      <c r="CJ89" s="133">
        <f t="shared" si="17"/>
        <v>0</v>
      </c>
      <c r="CK89" s="133">
        <f>IF(CA89="C",0,IF(P89="Het",0,IF(SUM(AG89,AO89)=0,0,1)))</f>
        <v>0</v>
      </c>
      <c r="CL89" s="145" t="e">
        <f>IF(G89="AUS",VLOOKUP(H89,$CU$5:$CW$23,2),IF(G89="NZ",VLOOKUP(H89,$CU$5:$CW$23,3),"error"))*AU89</f>
        <v>#N/A</v>
      </c>
      <c r="CM89" s="139" t="e">
        <f>IF(G89="AUS",VLOOKUP(H89,$CU$5:$CW$23,2),IF(G89="NZ",VLOOKUP(H89,$CU$5:$CW$23,3),"error"))*AX89</f>
        <v>#N/A</v>
      </c>
      <c r="CN89" s="145" t="e">
        <f>IF(G89="AUS",VLOOKUP(H89,$CU$5:$CW$23,2),IF(G89="NZ",VLOOKUP(H89,$CU$5:$CW$23,3),"error"))*BK89</f>
        <v>#N/A</v>
      </c>
    </row>
    <row r="90" spans="1:92" s="108" customFormat="1" ht="167.25">
      <c r="A90" s="83" t="str">
        <f t="shared" si="14"/>
        <v>Tobacco</v>
      </c>
      <c r="B90" s="85" t="s">
        <v>170</v>
      </c>
      <c r="C90" s="86"/>
      <c r="D90" s="85" t="s">
        <v>321</v>
      </c>
      <c r="E90" s="85" t="s">
        <v>172</v>
      </c>
      <c r="F90" s="85" t="str">
        <f t="shared" si="11"/>
        <v>Tobacco; ; Prevention ; Taxes and Subsidies</v>
      </c>
      <c r="G90" s="85" t="s">
        <v>205</v>
      </c>
      <c r="H90" s="85">
        <v>2011</v>
      </c>
      <c r="I90" s="85" t="str">
        <f>CONCATENATE(A90,", ",G90,": ",J90)</f>
        <v>Tobacco, NZ: Ongoing tobacco tax increases (10% annually from 2011 to 2025)</v>
      </c>
      <c r="J90" s="87" t="s">
        <v>322</v>
      </c>
      <c r="K90" s="87" t="s">
        <v>230</v>
      </c>
      <c r="L90" s="115">
        <v>0</v>
      </c>
      <c r="M90" s="115">
        <v>3</v>
      </c>
      <c r="N90" s="115">
        <v>0</v>
      </c>
      <c r="O90" s="115">
        <v>14.2</v>
      </c>
      <c r="P90" s="85" t="s">
        <v>215</v>
      </c>
      <c r="Q90" s="85" t="str">
        <f>IF($P90="Main",J90,BX90)</f>
        <v>in non-Māori men age 0-14 yrs</v>
      </c>
      <c r="R90" s="85" t="str">
        <f>IF($P90="Main",CONCATENATE(J90,": ",G90),BY90)</f>
        <v>in non-Māori men age 0-14 yrs</v>
      </c>
      <c r="S90" s="85" t="s">
        <v>234</v>
      </c>
      <c r="T90" s="85" t="s">
        <v>235</v>
      </c>
      <c r="U90" s="88" t="s">
        <v>236</v>
      </c>
      <c r="V90" s="88"/>
      <c r="W90" s="88">
        <v>14</v>
      </c>
      <c r="X90" s="88" t="s">
        <v>199</v>
      </c>
      <c r="Y90" s="85"/>
      <c r="Z90" s="85"/>
      <c r="AA90" s="85"/>
      <c r="AB90" s="85"/>
      <c r="AC90" s="89">
        <v>0.03</v>
      </c>
      <c r="AD90" s="122"/>
      <c r="AE90" s="83"/>
      <c r="AF90" s="83"/>
      <c r="AG90" s="90">
        <v>4100</v>
      </c>
      <c r="AH90" s="90"/>
      <c r="AI90" s="90"/>
      <c r="AJ90" s="91">
        <v>340140</v>
      </c>
      <c r="AK90" s="92">
        <f t="shared" si="12"/>
        <v>12.053860175221967</v>
      </c>
      <c r="AL90" s="92"/>
      <c r="AM90" s="92"/>
      <c r="AN90" s="93"/>
      <c r="AO90" s="94"/>
      <c r="AP90" s="94"/>
      <c r="AQ90" s="94"/>
      <c r="AR90" s="95">
        <v>-129000000</v>
      </c>
      <c r="AS90" s="95"/>
      <c r="AT90" s="95"/>
      <c r="AU90" s="95">
        <f t="shared" si="18"/>
        <v>-379255.60063503264</v>
      </c>
      <c r="AV90" s="95"/>
      <c r="AW90" s="95"/>
      <c r="AX90" s="95"/>
      <c r="AY90" s="95"/>
      <c r="AZ90" s="95"/>
      <c r="BA90" s="96"/>
      <c r="BB90" s="96"/>
      <c r="BC90" s="96"/>
      <c r="BD90" s="95"/>
      <c r="BE90" s="95"/>
      <c r="BF90" s="96"/>
      <c r="BG90" s="95"/>
      <c r="BH90" s="95"/>
      <c r="BI90" s="96"/>
      <c r="BJ90" s="97" t="s">
        <v>182</v>
      </c>
      <c r="BK90" s="98" t="str">
        <f t="shared" si="15"/>
        <v>Cost-saving</v>
      </c>
      <c r="BL90" s="98">
        <f t="shared" si="13"/>
        <v>0</v>
      </c>
      <c r="BM90" s="98">
        <f t="shared" si="13"/>
        <v>0</v>
      </c>
      <c r="BN90" s="99" t="s">
        <v>183</v>
      </c>
      <c r="BO90" s="100"/>
      <c r="BP90" s="100"/>
      <c r="BQ90" s="99" t="s">
        <v>183</v>
      </c>
      <c r="BR90" s="100"/>
      <c r="BS90" s="100"/>
      <c r="BT90" s="99" t="s">
        <v>183</v>
      </c>
      <c r="BU90" s="100"/>
      <c r="BV90" s="100"/>
      <c r="BW90" s="85"/>
      <c r="BX90" s="85" t="s">
        <v>237</v>
      </c>
      <c r="BY90" s="83" t="s">
        <v>237</v>
      </c>
      <c r="BZ90" s="102">
        <v>2016</v>
      </c>
      <c r="CA90" s="98"/>
      <c r="CB90" s="98"/>
      <c r="CC90" s="103">
        <f t="shared" si="16"/>
        <v>62</v>
      </c>
      <c r="CD90" s="98"/>
      <c r="CE90" s="98"/>
      <c r="CF90" s="98"/>
      <c r="CG90" s="105">
        <v>1</v>
      </c>
      <c r="CH90" s="105" t="str">
        <f>IF(CK90=0,"",IF(V90="Persistent",5,IF(V90="Once",1,IF(V90="One-off",1,"manual overwrite"))))</f>
        <v/>
      </c>
      <c r="CI90" s="105"/>
      <c r="CJ90" s="98">
        <f t="shared" si="17"/>
        <v>0</v>
      </c>
      <c r="CK90" s="98">
        <f>IF(CA90="C",0,IF(P90="Het",0,IF(SUM(AG90,AO90)=0,0,1)))</f>
        <v>0</v>
      </c>
      <c r="CL90" s="106" t="e">
        <f>IF(G90="AUS",VLOOKUP(H90,$CU$5:$CW$23,2),IF(G90="NZ",VLOOKUP(H90,$CU$5:$CW$23,3),"error"))*AU90</f>
        <v>#N/A</v>
      </c>
      <c r="CM90" s="107" t="e">
        <f>IF(G90="AUS",VLOOKUP(H90,$CU$5:$CW$23,2),IF(G90="NZ",VLOOKUP(H90,$CU$5:$CW$23,3),"error"))*AX90</f>
        <v>#N/A</v>
      </c>
      <c r="CN90" s="106" t="e">
        <f>IF(G90="AUS",VLOOKUP(H90,$CU$5:$CW$23,2),IF(G90="NZ",VLOOKUP(H90,$CU$5:$CW$23,3),"error"))*BK90</f>
        <v>#N/A</v>
      </c>
    </row>
    <row r="91" spans="1:92" s="108" customFormat="1" ht="167.25">
      <c r="A91" s="83" t="str">
        <f t="shared" si="14"/>
        <v>Tobacco</v>
      </c>
      <c r="B91" s="85" t="s">
        <v>170</v>
      </c>
      <c r="C91" s="86"/>
      <c r="D91" s="85" t="s">
        <v>321</v>
      </c>
      <c r="E91" s="85" t="s">
        <v>172</v>
      </c>
      <c r="F91" s="85" t="str">
        <f t="shared" si="11"/>
        <v>Tobacco; ; Prevention ; Taxes and Subsidies</v>
      </c>
      <c r="G91" s="85" t="s">
        <v>205</v>
      </c>
      <c r="H91" s="85">
        <v>2011</v>
      </c>
      <c r="I91" s="85" t="str">
        <f>CONCATENATE(A91,", ",G91,": ",J91)</f>
        <v>Tobacco, NZ: Ongoing tobacco tax increases (10% annually from 2011 to 2025)</v>
      </c>
      <c r="J91" s="87" t="s">
        <v>322</v>
      </c>
      <c r="K91" s="87" t="s">
        <v>230</v>
      </c>
      <c r="L91" s="115">
        <v>0</v>
      </c>
      <c r="M91" s="115">
        <v>3</v>
      </c>
      <c r="N91" s="115">
        <v>0</v>
      </c>
      <c r="O91" s="115">
        <v>14.2</v>
      </c>
      <c r="P91" s="85" t="s">
        <v>215</v>
      </c>
      <c r="Q91" s="85" t="str">
        <f>IF($P91="Main",J91,BX91)</f>
        <v>in non-Māori men age 15-24 yrs</v>
      </c>
      <c r="R91" s="85" t="str">
        <f>IF($P91="Main",CONCATENATE(J91,": ",G91),BY91)</f>
        <v>in non-Māori men age 15-24 yrs</v>
      </c>
      <c r="S91" s="85" t="s">
        <v>239</v>
      </c>
      <c r="T91" s="85" t="s">
        <v>235</v>
      </c>
      <c r="U91" s="88" t="s">
        <v>236</v>
      </c>
      <c r="V91" s="88"/>
      <c r="W91" s="88">
        <v>14</v>
      </c>
      <c r="X91" s="88" t="s">
        <v>199</v>
      </c>
      <c r="Y91" s="85"/>
      <c r="Z91" s="85"/>
      <c r="AA91" s="85"/>
      <c r="AB91" s="85"/>
      <c r="AC91" s="89">
        <v>0.03</v>
      </c>
      <c r="AD91" s="122"/>
      <c r="AE91" s="83"/>
      <c r="AF91" s="83"/>
      <c r="AG91" s="90">
        <v>3780</v>
      </c>
      <c r="AH91" s="90"/>
      <c r="AI91" s="90"/>
      <c r="AJ91" s="91">
        <v>266130</v>
      </c>
      <c r="AK91" s="92">
        <f t="shared" si="12"/>
        <v>14.203584714237403</v>
      </c>
      <c r="AL91" s="92"/>
      <c r="AM91" s="92"/>
      <c r="AN91" s="93"/>
      <c r="AO91" s="94"/>
      <c r="AP91" s="94"/>
      <c r="AQ91" s="94"/>
      <c r="AR91" s="95">
        <v>-112000000</v>
      </c>
      <c r="AS91" s="95"/>
      <c r="AT91" s="95"/>
      <c r="AU91" s="95">
        <f t="shared" si="18"/>
        <v>-420846.95449592307</v>
      </c>
      <c r="AV91" s="95"/>
      <c r="AW91" s="95"/>
      <c r="AX91" s="95"/>
      <c r="AY91" s="95"/>
      <c r="AZ91" s="95"/>
      <c r="BA91" s="96"/>
      <c r="BB91" s="96"/>
      <c r="BC91" s="96"/>
      <c r="BD91" s="95"/>
      <c r="BE91" s="95"/>
      <c r="BF91" s="96"/>
      <c r="BG91" s="95"/>
      <c r="BH91" s="95"/>
      <c r="BI91" s="96"/>
      <c r="BJ91" s="97" t="s">
        <v>182</v>
      </c>
      <c r="BK91" s="98" t="str">
        <f t="shared" si="15"/>
        <v>Cost-saving</v>
      </c>
      <c r="BL91" s="98">
        <f t="shared" si="13"/>
        <v>0</v>
      </c>
      <c r="BM91" s="98">
        <f t="shared" si="13"/>
        <v>0</v>
      </c>
      <c r="BN91" s="99" t="s">
        <v>183</v>
      </c>
      <c r="BO91" s="100"/>
      <c r="BP91" s="100"/>
      <c r="BQ91" s="99" t="s">
        <v>183</v>
      </c>
      <c r="BR91" s="100"/>
      <c r="BS91" s="100"/>
      <c r="BT91" s="99" t="s">
        <v>183</v>
      </c>
      <c r="BU91" s="100"/>
      <c r="BV91" s="100"/>
      <c r="BW91" s="85"/>
      <c r="BX91" s="85" t="s">
        <v>240</v>
      </c>
      <c r="BY91" s="83" t="s">
        <v>240</v>
      </c>
      <c r="BZ91" s="102">
        <v>2016</v>
      </c>
      <c r="CA91" s="98"/>
      <c r="CB91" s="98"/>
      <c r="CC91" s="103">
        <f t="shared" si="16"/>
        <v>62</v>
      </c>
      <c r="CD91" s="98"/>
      <c r="CE91" s="98"/>
      <c r="CF91" s="98"/>
      <c r="CG91" s="105">
        <v>1</v>
      </c>
      <c r="CH91" s="105" t="str">
        <f>IF(CK91=0,"",IF(V91="Persistent",5,IF(V91="Once",1,IF(V91="One-off",1,"manual overwrite"))))</f>
        <v/>
      </c>
      <c r="CI91" s="105"/>
      <c r="CJ91" s="98">
        <f t="shared" si="17"/>
        <v>0</v>
      </c>
      <c r="CK91" s="98">
        <f>IF(CA91="C",0,IF(P91="Het",0,IF(SUM(AG91,AO91)=0,0,1)))</f>
        <v>0</v>
      </c>
      <c r="CL91" s="106" t="e">
        <f>IF(G91="AUS",VLOOKUP(H91,$CU$5:$CW$23,2),IF(G91="NZ",VLOOKUP(H91,$CU$5:$CW$23,3),"error"))*AU91</f>
        <v>#N/A</v>
      </c>
      <c r="CM91" s="107" t="e">
        <f>IF(G91="AUS",VLOOKUP(H91,$CU$5:$CW$23,2),IF(G91="NZ",VLOOKUP(H91,$CU$5:$CW$23,3),"error"))*AX91</f>
        <v>#N/A</v>
      </c>
      <c r="CN91" s="106" t="e">
        <f>IF(G91="AUS",VLOOKUP(H91,$CU$5:$CW$23,2),IF(G91="NZ",VLOOKUP(H91,$CU$5:$CW$23,3),"error"))*BK91</f>
        <v>#N/A</v>
      </c>
    </row>
    <row r="92" spans="1:92" s="108" customFormat="1" ht="167.25">
      <c r="A92" s="83" t="str">
        <f t="shared" si="14"/>
        <v>Tobacco</v>
      </c>
      <c r="B92" s="85" t="s">
        <v>170</v>
      </c>
      <c r="C92" s="86"/>
      <c r="D92" s="85" t="s">
        <v>321</v>
      </c>
      <c r="E92" s="85" t="s">
        <v>172</v>
      </c>
      <c r="F92" s="85" t="str">
        <f t="shared" si="11"/>
        <v>Tobacco; ; Prevention ; Taxes and Subsidies</v>
      </c>
      <c r="G92" s="85" t="s">
        <v>205</v>
      </c>
      <c r="H92" s="85">
        <v>2011</v>
      </c>
      <c r="I92" s="85" t="str">
        <f>CONCATENATE(A92,", ",G92,": ",J92)</f>
        <v>Tobacco, NZ: Ongoing tobacco tax increases (10% annually from 2011 to 2025)</v>
      </c>
      <c r="J92" s="87" t="s">
        <v>322</v>
      </c>
      <c r="K92" s="87" t="s">
        <v>230</v>
      </c>
      <c r="L92" s="115">
        <v>0</v>
      </c>
      <c r="M92" s="115">
        <v>3</v>
      </c>
      <c r="N92" s="115">
        <v>0</v>
      </c>
      <c r="O92" s="115">
        <v>14.2</v>
      </c>
      <c r="P92" s="85" t="s">
        <v>215</v>
      </c>
      <c r="Q92" s="85" t="str">
        <f>IF($P92="Main",J92,BX92)</f>
        <v>in non-Māori men age 25-44 yrs</v>
      </c>
      <c r="R92" s="85" t="str">
        <f>IF($P92="Main",CONCATENATE(J92,": ",G92),BY92)</f>
        <v>in non-Māori men age 25-44 yrs</v>
      </c>
      <c r="S92" s="85" t="s">
        <v>241</v>
      </c>
      <c r="T92" s="85" t="s">
        <v>235</v>
      </c>
      <c r="U92" s="88" t="s">
        <v>236</v>
      </c>
      <c r="V92" s="88"/>
      <c r="W92" s="88">
        <v>14</v>
      </c>
      <c r="X92" s="88" t="s">
        <v>199</v>
      </c>
      <c r="Y92" s="85"/>
      <c r="Z92" s="85"/>
      <c r="AA92" s="85"/>
      <c r="AB92" s="85"/>
      <c r="AC92" s="89">
        <v>0.03</v>
      </c>
      <c r="AD92" s="122"/>
      <c r="AE92" s="83"/>
      <c r="AF92" s="83"/>
      <c r="AG92" s="90">
        <v>5280</v>
      </c>
      <c r="AH92" s="90"/>
      <c r="AI92" s="90"/>
      <c r="AJ92" s="91">
        <v>486350</v>
      </c>
      <c r="AK92" s="92">
        <f t="shared" si="12"/>
        <v>10.856379150817313</v>
      </c>
      <c r="AL92" s="92"/>
      <c r="AM92" s="92"/>
      <c r="AN92" s="93"/>
      <c r="AO92" s="94"/>
      <c r="AP92" s="94"/>
      <c r="AQ92" s="94"/>
      <c r="AR92" s="95">
        <v>-127000000</v>
      </c>
      <c r="AS92" s="95"/>
      <c r="AT92" s="95"/>
      <c r="AU92" s="95">
        <f t="shared" si="18"/>
        <v>-261128.81669579522</v>
      </c>
      <c r="AV92" s="95"/>
      <c r="AW92" s="95"/>
      <c r="AX92" s="95"/>
      <c r="AY92" s="95"/>
      <c r="AZ92" s="95"/>
      <c r="BA92" s="96"/>
      <c r="BB92" s="96"/>
      <c r="BC92" s="96"/>
      <c r="BD92" s="95"/>
      <c r="BE92" s="95"/>
      <c r="BF92" s="96"/>
      <c r="BG92" s="95"/>
      <c r="BH92" s="95"/>
      <c r="BI92" s="96"/>
      <c r="BJ92" s="97" t="s">
        <v>182</v>
      </c>
      <c r="BK92" s="98" t="str">
        <f t="shared" si="15"/>
        <v>Cost-saving</v>
      </c>
      <c r="BL92" s="98">
        <f t="shared" si="13"/>
        <v>0</v>
      </c>
      <c r="BM92" s="98">
        <f t="shared" si="13"/>
        <v>0</v>
      </c>
      <c r="BN92" s="99" t="s">
        <v>183</v>
      </c>
      <c r="BO92" s="100"/>
      <c r="BP92" s="100"/>
      <c r="BQ92" s="99" t="s">
        <v>183</v>
      </c>
      <c r="BR92" s="100"/>
      <c r="BS92" s="100"/>
      <c r="BT92" s="99" t="s">
        <v>183</v>
      </c>
      <c r="BU92" s="100"/>
      <c r="BV92" s="100"/>
      <c r="BW92" s="85"/>
      <c r="BX92" s="85" t="s">
        <v>242</v>
      </c>
      <c r="BY92" s="83" t="s">
        <v>242</v>
      </c>
      <c r="BZ92" s="102">
        <v>2016</v>
      </c>
      <c r="CA92" s="98"/>
      <c r="CB92" s="98"/>
      <c r="CC92" s="103">
        <f t="shared" si="16"/>
        <v>62</v>
      </c>
      <c r="CD92" s="98"/>
      <c r="CE92" s="98"/>
      <c r="CF92" s="98"/>
      <c r="CG92" s="105">
        <v>1</v>
      </c>
      <c r="CH92" s="105" t="str">
        <f>IF(CK92=0,"",IF(V92="Persistent",5,IF(V92="Once",1,IF(V92="One-off",1,"manual overwrite"))))</f>
        <v/>
      </c>
      <c r="CI92" s="105"/>
      <c r="CJ92" s="98">
        <f t="shared" si="17"/>
        <v>0</v>
      </c>
      <c r="CK92" s="98">
        <f>IF(CA92="C",0,IF(P92="Het",0,IF(SUM(AG92,AO92)=0,0,1)))</f>
        <v>0</v>
      </c>
      <c r="CL92" s="106" t="e">
        <f>IF(G92="AUS",VLOOKUP(H92,$CU$5:$CW$23,2),IF(G92="NZ",VLOOKUP(H92,$CU$5:$CW$23,3),"error"))*AU92</f>
        <v>#N/A</v>
      </c>
      <c r="CM92" s="107" t="e">
        <f>IF(G92="AUS",VLOOKUP(H92,$CU$5:$CW$23,2),IF(G92="NZ",VLOOKUP(H92,$CU$5:$CW$23,3),"error"))*AX92</f>
        <v>#N/A</v>
      </c>
      <c r="CN92" s="106" t="e">
        <f>IF(G92="AUS",VLOOKUP(H92,$CU$5:$CW$23,2),IF(G92="NZ",VLOOKUP(H92,$CU$5:$CW$23,3),"error"))*BK92</f>
        <v>#N/A</v>
      </c>
    </row>
    <row r="93" spans="1:92" s="108" customFormat="1" ht="167.25">
      <c r="A93" s="83" t="str">
        <f t="shared" si="14"/>
        <v>Tobacco</v>
      </c>
      <c r="B93" s="85" t="s">
        <v>170</v>
      </c>
      <c r="C93" s="86"/>
      <c r="D93" s="85" t="s">
        <v>321</v>
      </c>
      <c r="E93" s="85" t="s">
        <v>172</v>
      </c>
      <c r="F93" s="85" t="str">
        <f t="shared" si="11"/>
        <v>Tobacco; ; Prevention ; Taxes and Subsidies</v>
      </c>
      <c r="G93" s="85" t="s">
        <v>205</v>
      </c>
      <c r="H93" s="85">
        <v>2011</v>
      </c>
      <c r="I93" s="85" t="str">
        <f>CONCATENATE(A93,", ",G93,": ",J93)</f>
        <v>Tobacco, NZ: Ongoing tobacco tax increases (10% annually from 2011 to 2025)</v>
      </c>
      <c r="J93" s="87" t="s">
        <v>322</v>
      </c>
      <c r="K93" s="87" t="s">
        <v>230</v>
      </c>
      <c r="L93" s="115">
        <v>0</v>
      </c>
      <c r="M93" s="115">
        <v>1</v>
      </c>
      <c r="N93" s="115">
        <v>0</v>
      </c>
      <c r="O93" s="115">
        <v>14.2</v>
      </c>
      <c r="P93" s="85" t="s">
        <v>215</v>
      </c>
      <c r="Q93" s="85" t="str">
        <f>IF($P93="Main",J93,BX93)</f>
        <v>in non-Māori men age 45-64 yrs</v>
      </c>
      <c r="R93" s="85" t="str">
        <f>IF($P93="Main",CONCATENATE(J93,": ",G93),BY93)</f>
        <v>in non-Māori men age 45-64 yrs</v>
      </c>
      <c r="S93" s="85" t="s">
        <v>244</v>
      </c>
      <c r="T93" s="85" t="s">
        <v>235</v>
      </c>
      <c r="U93" s="88" t="s">
        <v>236</v>
      </c>
      <c r="V93" s="88"/>
      <c r="W93" s="88">
        <v>14</v>
      </c>
      <c r="X93" s="88" t="s">
        <v>199</v>
      </c>
      <c r="Y93" s="85"/>
      <c r="Z93" s="85"/>
      <c r="AA93" s="85"/>
      <c r="AB93" s="85"/>
      <c r="AC93" s="89">
        <v>0.03</v>
      </c>
      <c r="AD93" s="122"/>
      <c r="AE93" s="83"/>
      <c r="AF93" s="83"/>
      <c r="AG93" s="90">
        <v>2890</v>
      </c>
      <c r="AH93" s="90"/>
      <c r="AI93" s="90"/>
      <c r="AJ93" s="91">
        <v>487380</v>
      </c>
      <c r="AK93" s="92">
        <f t="shared" si="12"/>
        <v>5.9296647379867862</v>
      </c>
      <c r="AL93" s="92"/>
      <c r="AM93" s="92"/>
      <c r="AN93" s="93"/>
      <c r="AO93" s="94"/>
      <c r="AP93" s="94"/>
      <c r="AQ93" s="94"/>
      <c r="AR93" s="95">
        <v>-48000000</v>
      </c>
      <c r="AS93" s="95"/>
      <c r="AT93" s="95"/>
      <c r="AU93" s="95">
        <f t="shared" si="18"/>
        <v>-98485.781115351478</v>
      </c>
      <c r="AV93" s="95"/>
      <c r="AW93" s="95"/>
      <c r="AX93" s="95"/>
      <c r="AY93" s="95"/>
      <c r="AZ93" s="95"/>
      <c r="BA93" s="96"/>
      <c r="BB93" s="96"/>
      <c r="BC93" s="96"/>
      <c r="BD93" s="95"/>
      <c r="BE93" s="95"/>
      <c r="BF93" s="96"/>
      <c r="BG93" s="95"/>
      <c r="BH93" s="95"/>
      <c r="BI93" s="96"/>
      <c r="BJ93" s="97" t="s">
        <v>182</v>
      </c>
      <c r="BK93" s="98" t="str">
        <f t="shared" si="15"/>
        <v>Cost-saving</v>
      </c>
      <c r="BL93" s="98">
        <f t="shared" si="13"/>
        <v>0</v>
      </c>
      <c r="BM93" s="98">
        <f t="shared" si="13"/>
        <v>0</v>
      </c>
      <c r="BN93" s="99" t="s">
        <v>183</v>
      </c>
      <c r="BO93" s="100"/>
      <c r="BP93" s="100"/>
      <c r="BQ93" s="99" t="s">
        <v>183</v>
      </c>
      <c r="BR93" s="100"/>
      <c r="BS93" s="100"/>
      <c r="BT93" s="99" t="s">
        <v>183</v>
      </c>
      <c r="BU93" s="100"/>
      <c r="BV93" s="100"/>
      <c r="BW93" s="85"/>
      <c r="BX93" s="85" t="s">
        <v>245</v>
      </c>
      <c r="BY93" s="83" t="s">
        <v>245</v>
      </c>
      <c r="BZ93" s="102">
        <v>2016</v>
      </c>
      <c r="CA93" s="98"/>
      <c r="CB93" s="98"/>
      <c r="CC93" s="103">
        <f t="shared" si="16"/>
        <v>62</v>
      </c>
      <c r="CD93" s="98"/>
      <c r="CE93" s="98"/>
      <c r="CF93" s="98"/>
      <c r="CG93" s="105">
        <v>1</v>
      </c>
      <c r="CH93" s="105" t="str">
        <f>IF(CK93=0,"",IF(V93="Persistent",5,IF(V93="Once",1,IF(V93="One-off",1,"manual overwrite"))))</f>
        <v/>
      </c>
      <c r="CI93" s="105"/>
      <c r="CJ93" s="98">
        <f t="shared" si="17"/>
        <v>0</v>
      </c>
      <c r="CK93" s="98">
        <f>IF(CA93="C",0,IF(P93="Het",0,IF(SUM(AG93,AO93)=0,0,1)))</f>
        <v>0</v>
      </c>
      <c r="CL93" s="106" t="e">
        <f>IF(G93="AUS",VLOOKUP(H93,$CU$5:$CW$23,2),IF(G93="NZ",VLOOKUP(H93,$CU$5:$CW$23,3),"error"))*AU93</f>
        <v>#N/A</v>
      </c>
      <c r="CM93" s="107" t="e">
        <f>IF(G93="AUS",VLOOKUP(H93,$CU$5:$CW$23,2),IF(G93="NZ",VLOOKUP(H93,$CU$5:$CW$23,3),"error"))*AX93</f>
        <v>#N/A</v>
      </c>
      <c r="CN93" s="106" t="e">
        <f>IF(G93="AUS",VLOOKUP(H93,$CU$5:$CW$23,2),IF(G93="NZ",VLOOKUP(H93,$CU$5:$CW$23,3),"error"))*BK93</f>
        <v>#N/A</v>
      </c>
    </row>
    <row r="94" spans="1:92" s="108" customFormat="1" ht="167.25">
      <c r="A94" s="83" t="str">
        <f t="shared" si="14"/>
        <v>Tobacco</v>
      </c>
      <c r="B94" s="85" t="s">
        <v>170</v>
      </c>
      <c r="C94" s="86"/>
      <c r="D94" s="85" t="s">
        <v>321</v>
      </c>
      <c r="E94" s="85" t="s">
        <v>172</v>
      </c>
      <c r="F94" s="85" t="str">
        <f t="shared" si="11"/>
        <v>Tobacco; ; Prevention ; Taxes and Subsidies</v>
      </c>
      <c r="G94" s="85" t="s">
        <v>205</v>
      </c>
      <c r="H94" s="85">
        <v>2011</v>
      </c>
      <c r="I94" s="85" t="str">
        <f>CONCATENATE(A94,", ",G94,": ",J94)</f>
        <v>Tobacco, NZ: Ongoing tobacco tax increases (10% annually from 2011 to 2025)</v>
      </c>
      <c r="J94" s="87" t="s">
        <v>322</v>
      </c>
      <c r="K94" s="87" t="s">
        <v>230</v>
      </c>
      <c r="L94" s="115">
        <v>0</v>
      </c>
      <c r="M94" s="115">
        <v>0.5</v>
      </c>
      <c r="N94" s="115">
        <v>0</v>
      </c>
      <c r="O94" s="115">
        <v>14.2</v>
      </c>
      <c r="P94" s="85" t="s">
        <v>215</v>
      </c>
      <c r="Q94" s="85" t="str">
        <f>IF($P94="Main",J94,BX94)</f>
        <v xml:space="preserve">in non-Māori men age 65+ yrs </v>
      </c>
      <c r="R94" s="85" t="str">
        <f>IF($P94="Main",CONCATENATE(J94,": ",G94),BY94)</f>
        <v xml:space="preserve">in non-Māori men age 65+ yrs </v>
      </c>
      <c r="S94" s="85" t="s">
        <v>247</v>
      </c>
      <c r="T94" s="85" t="s">
        <v>235</v>
      </c>
      <c r="U94" s="88" t="s">
        <v>236</v>
      </c>
      <c r="V94" s="88"/>
      <c r="W94" s="88">
        <v>14</v>
      </c>
      <c r="X94" s="88" t="s">
        <v>199</v>
      </c>
      <c r="Y94" s="85"/>
      <c r="Z94" s="85"/>
      <c r="AA94" s="85"/>
      <c r="AB94" s="85"/>
      <c r="AC94" s="89">
        <v>0.03</v>
      </c>
      <c r="AD94" s="122"/>
      <c r="AE94" s="83"/>
      <c r="AF94" s="83"/>
      <c r="AG94" s="90">
        <v>230</v>
      </c>
      <c r="AH94" s="90"/>
      <c r="AI94" s="90"/>
      <c r="AJ94" s="91">
        <v>253710</v>
      </c>
      <c r="AK94" s="92">
        <f t="shared" si="12"/>
        <v>0.90654684482282921</v>
      </c>
      <c r="AL94" s="92"/>
      <c r="AM94" s="92"/>
      <c r="AN94" s="93"/>
      <c r="AO94" s="94"/>
      <c r="AP94" s="94"/>
      <c r="AQ94" s="94"/>
      <c r="AR94" s="95">
        <v>-1930000</v>
      </c>
      <c r="AS94" s="95"/>
      <c r="AT94" s="95"/>
      <c r="AU94" s="95">
        <f t="shared" si="18"/>
        <v>-7607.110480469828</v>
      </c>
      <c r="AV94" s="95"/>
      <c r="AW94" s="95"/>
      <c r="AX94" s="95"/>
      <c r="AY94" s="95"/>
      <c r="AZ94" s="95"/>
      <c r="BA94" s="96"/>
      <c r="BB94" s="96"/>
      <c r="BC94" s="96"/>
      <c r="BD94" s="95"/>
      <c r="BE94" s="95"/>
      <c r="BF94" s="96"/>
      <c r="BG94" s="95"/>
      <c r="BH94" s="95"/>
      <c r="BI94" s="96"/>
      <c r="BJ94" s="97" t="s">
        <v>182</v>
      </c>
      <c r="BK94" s="98" t="str">
        <f t="shared" si="15"/>
        <v>Cost-saving</v>
      </c>
      <c r="BL94" s="98">
        <f t="shared" si="13"/>
        <v>0</v>
      </c>
      <c r="BM94" s="98">
        <f t="shared" si="13"/>
        <v>0</v>
      </c>
      <c r="BN94" s="99" t="s">
        <v>183</v>
      </c>
      <c r="BO94" s="100"/>
      <c r="BP94" s="100"/>
      <c r="BQ94" s="99" t="s">
        <v>183</v>
      </c>
      <c r="BR94" s="100"/>
      <c r="BS94" s="100"/>
      <c r="BT94" s="99" t="s">
        <v>183</v>
      </c>
      <c r="BU94" s="100"/>
      <c r="BV94" s="100"/>
      <c r="BW94" s="85"/>
      <c r="BX94" s="85" t="s">
        <v>248</v>
      </c>
      <c r="BY94" s="83" t="s">
        <v>248</v>
      </c>
      <c r="BZ94" s="102">
        <v>2016</v>
      </c>
      <c r="CA94" s="98"/>
      <c r="CB94" s="98"/>
      <c r="CC94" s="103">
        <f t="shared" si="16"/>
        <v>62</v>
      </c>
      <c r="CD94" s="98"/>
      <c r="CE94" s="98"/>
      <c r="CF94" s="98"/>
      <c r="CG94" s="105">
        <v>1</v>
      </c>
      <c r="CH94" s="105" t="str">
        <f>IF(CK94=0,"",IF(V94="Persistent",5,IF(V94="Once",1,IF(V94="One-off",1,"manual overwrite"))))</f>
        <v/>
      </c>
      <c r="CI94" s="105"/>
      <c r="CJ94" s="98">
        <f t="shared" si="17"/>
        <v>0</v>
      </c>
      <c r="CK94" s="98">
        <f>IF(CA94="C",0,IF(P94="Het",0,IF(SUM(AG94,AO94)=0,0,1)))</f>
        <v>0</v>
      </c>
      <c r="CL94" s="106" t="e">
        <f>IF(G94="AUS",VLOOKUP(H94,$CU$5:$CW$23,2),IF(G94="NZ",VLOOKUP(H94,$CU$5:$CW$23,3),"error"))*AU94</f>
        <v>#N/A</v>
      </c>
      <c r="CM94" s="107" t="e">
        <f>IF(G94="AUS",VLOOKUP(H94,$CU$5:$CW$23,2),IF(G94="NZ",VLOOKUP(H94,$CU$5:$CW$23,3),"error"))*AX94</f>
        <v>#N/A</v>
      </c>
      <c r="CN94" s="106" t="e">
        <f>IF(G94="AUS",VLOOKUP(H94,$CU$5:$CW$23,2),IF(G94="NZ",VLOOKUP(H94,$CU$5:$CW$23,3),"error"))*BK94</f>
        <v>#N/A</v>
      </c>
    </row>
    <row r="95" spans="1:92" s="108" customFormat="1" ht="167.25" hidden="1">
      <c r="A95" s="83" t="str">
        <f t="shared" si="14"/>
        <v>Tobacco</v>
      </c>
      <c r="B95" s="85" t="s">
        <v>170</v>
      </c>
      <c r="C95" s="86"/>
      <c r="D95" s="85" t="s">
        <v>321</v>
      </c>
      <c r="E95" s="85" t="s">
        <v>172</v>
      </c>
      <c r="F95" s="85" t="str">
        <f t="shared" si="11"/>
        <v>Tobacco; ; Prevention ; Taxes and Subsidies</v>
      </c>
      <c r="G95" s="85" t="s">
        <v>205</v>
      </c>
      <c r="H95" s="85">
        <v>2011</v>
      </c>
      <c r="I95" s="85" t="str">
        <f>CONCATENATE(A95,", ",G95,": ",J95)</f>
        <v>Tobacco, NZ: Ongoing tobacco tax increases (10% annually from 2011 to 2025)</v>
      </c>
      <c r="J95" s="87" t="s">
        <v>322</v>
      </c>
      <c r="K95" s="87"/>
      <c r="L95" s="87"/>
      <c r="M95" s="87"/>
      <c r="N95" s="87"/>
      <c r="O95" s="87"/>
      <c r="P95" s="85" t="s">
        <v>215</v>
      </c>
      <c r="Q95" s="85" t="str">
        <f>IF($P95="Main",J95,BX95)</f>
        <v xml:space="preserve">in non-Māori women </v>
      </c>
      <c r="R95" s="85" t="str">
        <f>IF($P95="Main",CONCATENATE(J95,": ",G95),BY95)</f>
        <v xml:space="preserve">in non-Māori women </v>
      </c>
      <c r="S95" s="85"/>
      <c r="T95" s="85"/>
      <c r="U95" s="85"/>
      <c r="V95" s="88"/>
      <c r="W95" s="88"/>
      <c r="X95" s="88"/>
      <c r="Y95" s="85"/>
      <c r="Z95" s="85"/>
      <c r="AA95" s="85"/>
      <c r="AB95" s="85"/>
      <c r="AC95" s="89">
        <v>0.03</v>
      </c>
      <c r="AD95" s="122"/>
      <c r="AE95" s="83"/>
      <c r="AF95" s="83"/>
      <c r="AG95" s="90">
        <v>13400</v>
      </c>
      <c r="AH95" s="90"/>
      <c r="AI95" s="90"/>
      <c r="AJ95" s="91">
        <v>1897360</v>
      </c>
      <c r="AK95" s="92">
        <f t="shared" si="12"/>
        <v>7.06244465994856</v>
      </c>
      <c r="AL95" s="92"/>
      <c r="AM95" s="92"/>
      <c r="AN95" s="93"/>
      <c r="AO95" s="94"/>
      <c r="AP95" s="94"/>
      <c r="AQ95" s="94"/>
      <c r="AR95" s="95">
        <v>-294000000</v>
      </c>
      <c r="AS95" s="95"/>
      <c r="AT95" s="95"/>
      <c r="AU95" s="95">
        <f t="shared" si="18"/>
        <v>-154952.14403170723</v>
      </c>
      <c r="AV95" s="95"/>
      <c r="AW95" s="95"/>
      <c r="AX95" s="95"/>
      <c r="AY95" s="95"/>
      <c r="AZ95" s="95"/>
      <c r="BA95" s="96"/>
      <c r="BB95" s="96"/>
      <c r="BC95" s="96"/>
      <c r="BD95" s="95"/>
      <c r="BE95" s="95"/>
      <c r="BF95" s="96"/>
      <c r="BG95" s="95"/>
      <c r="BH95" s="95"/>
      <c r="BI95" s="96"/>
      <c r="BJ95" s="97" t="s">
        <v>182</v>
      </c>
      <c r="BK95" s="98" t="str">
        <f t="shared" si="15"/>
        <v>Cost-saving</v>
      </c>
      <c r="BL95" s="98">
        <f t="shared" si="13"/>
        <v>0</v>
      </c>
      <c r="BM95" s="98">
        <f t="shared" si="13"/>
        <v>0</v>
      </c>
      <c r="BN95" s="99" t="s">
        <v>183</v>
      </c>
      <c r="BO95" s="100"/>
      <c r="BP95" s="100"/>
      <c r="BQ95" s="99" t="s">
        <v>183</v>
      </c>
      <c r="BR95" s="100"/>
      <c r="BS95" s="100"/>
      <c r="BT95" s="99" t="s">
        <v>183</v>
      </c>
      <c r="BU95" s="100"/>
      <c r="BV95" s="100"/>
      <c r="BW95" s="85"/>
      <c r="BX95" s="85" t="s">
        <v>320</v>
      </c>
      <c r="BY95" s="83" t="s">
        <v>320</v>
      </c>
      <c r="BZ95" s="102">
        <v>2016</v>
      </c>
      <c r="CA95" s="98"/>
      <c r="CB95" s="98"/>
      <c r="CC95" s="103">
        <f t="shared" si="16"/>
        <v>62</v>
      </c>
      <c r="CD95" s="98"/>
      <c r="CE95" s="98"/>
      <c r="CF95" s="98"/>
      <c r="CG95" s="105">
        <v>1</v>
      </c>
      <c r="CH95" s="105" t="str">
        <f>IF(CK95=0,"",IF(V95="Persistent",5,IF(V95="Once",1,IF(V95="One-off",1,"manual overwrite"))))</f>
        <v/>
      </c>
      <c r="CI95" s="105"/>
      <c r="CJ95" s="98">
        <f t="shared" si="17"/>
        <v>0</v>
      </c>
      <c r="CK95" s="98">
        <f>IF(CA95="C",0,IF(P95="Het",0,IF(SUM(AG95,AO95)=0,0,1)))</f>
        <v>0</v>
      </c>
      <c r="CL95" s="106" t="e">
        <f>IF(G95="AUS",VLOOKUP(H95,$CU$5:$CW$23,2),IF(G95="NZ",VLOOKUP(H95,$CU$5:$CW$23,3),"error"))*AU95</f>
        <v>#N/A</v>
      </c>
      <c r="CM95" s="107" t="e">
        <f>IF(G95="AUS",VLOOKUP(H95,$CU$5:$CW$23,2),IF(G95="NZ",VLOOKUP(H95,$CU$5:$CW$23,3),"error"))*AX95</f>
        <v>#N/A</v>
      </c>
      <c r="CN95" s="106" t="e">
        <f>IF(G95="AUS",VLOOKUP(H95,$CU$5:$CW$23,2),IF(G95="NZ",VLOOKUP(H95,$CU$5:$CW$23,3),"error"))*BK95</f>
        <v>#N/A</v>
      </c>
    </row>
    <row r="96" spans="1:92" s="108" customFormat="1" ht="167.25">
      <c r="A96" s="83" t="str">
        <f t="shared" si="14"/>
        <v>Tobacco</v>
      </c>
      <c r="B96" s="85" t="s">
        <v>170</v>
      </c>
      <c r="C96" s="86"/>
      <c r="D96" s="85" t="s">
        <v>321</v>
      </c>
      <c r="E96" s="85" t="s">
        <v>172</v>
      </c>
      <c r="F96" s="85" t="str">
        <f t="shared" si="11"/>
        <v>Tobacco; ; Prevention ; Taxes and Subsidies</v>
      </c>
      <c r="G96" s="85" t="s">
        <v>205</v>
      </c>
      <c r="H96" s="85">
        <v>2011</v>
      </c>
      <c r="I96" s="85" t="str">
        <f>CONCATENATE(A96,", ",G96,": ",J96)</f>
        <v>Tobacco, NZ: Ongoing tobacco tax increases (10% annually from 2011 to 2025)</v>
      </c>
      <c r="J96" s="87" t="s">
        <v>322</v>
      </c>
      <c r="K96" s="87" t="s">
        <v>230</v>
      </c>
      <c r="L96" s="115">
        <v>0</v>
      </c>
      <c r="M96" s="115">
        <v>3</v>
      </c>
      <c r="N96" s="115">
        <v>0</v>
      </c>
      <c r="O96" s="115">
        <v>12.8</v>
      </c>
      <c r="P96" s="85" t="s">
        <v>215</v>
      </c>
      <c r="Q96" s="85" t="str">
        <f>IF($P96="Main",J96,BX96)</f>
        <v>in non-Māori women age 0-14 yrs</v>
      </c>
      <c r="R96" s="85" t="str">
        <f>IF($P96="Main",CONCATENATE(J96,": ",G96),BY96)</f>
        <v>in non-Māori women age 0-14 yrs</v>
      </c>
      <c r="S96" s="85" t="s">
        <v>234</v>
      </c>
      <c r="T96" s="85" t="s">
        <v>250</v>
      </c>
      <c r="U96" s="88" t="s">
        <v>236</v>
      </c>
      <c r="V96" s="88"/>
      <c r="W96" s="88">
        <v>14</v>
      </c>
      <c r="X96" s="88" t="s">
        <v>199</v>
      </c>
      <c r="Y96" s="85"/>
      <c r="Z96" s="85"/>
      <c r="AA96" s="85"/>
      <c r="AB96" s="85"/>
      <c r="AC96" s="89">
        <v>0.03</v>
      </c>
      <c r="AD96" s="122"/>
      <c r="AE96" s="83"/>
      <c r="AF96" s="83"/>
      <c r="AG96" s="90">
        <v>3480</v>
      </c>
      <c r="AH96" s="90"/>
      <c r="AI96" s="90"/>
      <c r="AJ96" s="91">
        <v>323780</v>
      </c>
      <c r="AK96" s="92">
        <f t="shared" si="12"/>
        <v>10.74803879177219</v>
      </c>
      <c r="AL96" s="92"/>
      <c r="AM96" s="92"/>
      <c r="AN96" s="93"/>
      <c r="AO96" s="94"/>
      <c r="AP96" s="94"/>
      <c r="AQ96" s="94"/>
      <c r="AR96" s="95">
        <v>-92000000</v>
      </c>
      <c r="AS96" s="95"/>
      <c r="AT96" s="95"/>
      <c r="AU96" s="95">
        <f t="shared" si="18"/>
        <v>-284143.55426524184</v>
      </c>
      <c r="AV96" s="95"/>
      <c r="AW96" s="95"/>
      <c r="AX96" s="96"/>
      <c r="AY96" s="95"/>
      <c r="AZ96" s="95"/>
      <c r="BA96" s="96"/>
      <c r="BB96" s="96"/>
      <c r="BC96" s="96"/>
      <c r="BD96" s="95"/>
      <c r="BE96" s="95"/>
      <c r="BF96" s="96"/>
      <c r="BG96" s="95"/>
      <c r="BH96" s="95"/>
      <c r="BI96" s="96"/>
      <c r="BJ96" s="97" t="s">
        <v>182</v>
      </c>
      <c r="BK96" s="98" t="str">
        <f t="shared" si="15"/>
        <v>Cost-saving</v>
      </c>
      <c r="BL96" s="98">
        <f t="shared" si="13"/>
        <v>0</v>
      </c>
      <c r="BM96" s="98">
        <f t="shared" si="13"/>
        <v>0</v>
      </c>
      <c r="BN96" s="99" t="s">
        <v>183</v>
      </c>
      <c r="BO96" s="100"/>
      <c r="BP96" s="100"/>
      <c r="BQ96" s="99" t="s">
        <v>183</v>
      </c>
      <c r="BR96" s="100"/>
      <c r="BS96" s="100"/>
      <c r="BT96" s="99" t="s">
        <v>183</v>
      </c>
      <c r="BU96" s="100"/>
      <c r="BV96" s="100"/>
      <c r="BW96" s="85"/>
      <c r="BX96" s="85" t="s">
        <v>251</v>
      </c>
      <c r="BY96" s="83" t="s">
        <v>251</v>
      </c>
      <c r="BZ96" s="102">
        <v>2016</v>
      </c>
      <c r="CA96" s="98"/>
      <c r="CB96" s="98"/>
      <c r="CC96" s="103">
        <f t="shared" si="16"/>
        <v>62</v>
      </c>
      <c r="CD96" s="98"/>
      <c r="CE96" s="98"/>
      <c r="CF96" s="98"/>
      <c r="CG96" s="105">
        <v>1</v>
      </c>
      <c r="CH96" s="105" t="str">
        <f>IF(CK96=0,"",IF(V96="Persistent",5,IF(V96="Once",1,IF(V96="One-off",1,"manual overwrite"))))</f>
        <v/>
      </c>
      <c r="CI96" s="105"/>
      <c r="CJ96" s="98">
        <f t="shared" si="17"/>
        <v>0</v>
      </c>
      <c r="CK96" s="98">
        <f>IF(CA96="C",0,IF(P96="Het",0,IF(SUM(AG96,AO96)=0,0,1)))</f>
        <v>0</v>
      </c>
      <c r="CL96" s="106" t="e">
        <f>IF(G96="AUS",VLOOKUP(H96,$CU$5:$CW$23,2),IF(G96="NZ",VLOOKUP(H96,$CU$5:$CW$23,3),"error"))*AU96</f>
        <v>#N/A</v>
      </c>
      <c r="CM96" s="107" t="e">
        <f>IF(G96="AUS",VLOOKUP(H96,$CU$5:$CW$23,2),IF(G96="NZ",VLOOKUP(H96,$CU$5:$CW$23,3),"error"))*AX96</f>
        <v>#N/A</v>
      </c>
      <c r="CN96" s="106" t="e">
        <f>IF(G96="AUS",VLOOKUP(H96,$CU$5:$CW$23,2),IF(G96="NZ",VLOOKUP(H96,$CU$5:$CW$23,3),"error"))*BK96</f>
        <v>#N/A</v>
      </c>
    </row>
    <row r="97" spans="1:92" s="108" customFormat="1" ht="167.25">
      <c r="A97" s="83" t="str">
        <f t="shared" si="14"/>
        <v>Tobacco</v>
      </c>
      <c r="B97" s="85" t="s">
        <v>170</v>
      </c>
      <c r="C97" s="86"/>
      <c r="D97" s="85" t="s">
        <v>321</v>
      </c>
      <c r="E97" s="85" t="s">
        <v>172</v>
      </c>
      <c r="F97" s="85" t="str">
        <f t="shared" si="11"/>
        <v>Tobacco; ; Prevention ; Taxes and Subsidies</v>
      </c>
      <c r="G97" s="85" t="s">
        <v>205</v>
      </c>
      <c r="H97" s="85">
        <v>2011</v>
      </c>
      <c r="I97" s="85" t="str">
        <f>CONCATENATE(A97,", ",G97,": ",J97)</f>
        <v>Tobacco, NZ: Ongoing tobacco tax increases (10% annually from 2011 to 2025)</v>
      </c>
      <c r="J97" s="87" t="s">
        <v>322</v>
      </c>
      <c r="K97" s="87" t="s">
        <v>230</v>
      </c>
      <c r="L97" s="115">
        <v>0</v>
      </c>
      <c r="M97" s="115">
        <v>3</v>
      </c>
      <c r="N97" s="115">
        <v>0</v>
      </c>
      <c r="O97" s="115">
        <v>12.8</v>
      </c>
      <c r="P97" s="85" t="s">
        <v>215</v>
      </c>
      <c r="Q97" s="85" t="str">
        <f>IF($P97="Main",J97,BX97)</f>
        <v>in non-Māori women age 15-24 yrs</v>
      </c>
      <c r="R97" s="85" t="str">
        <f>IF($P97="Main",CONCATENATE(J97,": ",G97),BY97)</f>
        <v>in non-Māori women age 15-24 yrs</v>
      </c>
      <c r="S97" s="85" t="s">
        <v>239</v>
      </c>
      <c r="T97" s="85" t="s">
        <v>250</v>
      </c>
      <c r="U97" s="88" t="s">
        <v>236</v>
      </c>
      <c r="V97" s="88"/>
      <c r="W97" s="88">
        <v>14</v>
      </c>
      <c r="X97" s="88" t="s">
        <v>199</v>
      </c>
      <c r="Y97" s="85"/>
      <c r="Z97" s="85"/>
      <c r="AA97" s="85"/>
      <c r="AB97" s="85"/>
      <c r="AC97" s="89">
        <v>0.03</v>
      </c>
      <c r="AD97" s="122"/>
      <c r="AE97" s="83"/>
      <c r="AF97" s="83"/>
      <c r="AG97" s="90">
        <v>2860</v>
      </c>
      <c r="AH97" s="90"/>
      <c r="AI97" s="90"/>
      <c r="AJ97" s="91">
        <v>248800</v>
      </c>
      <c r="AK97" s="92">
        <f t="shared" si="12"/>
        <v>11.495176848874598</v>
      </c>
      <c r="AL97" s="92"/>
      <c r="AM97" s="92"/>
      <c r="AN97" s="93"/>
      <c r="AO97" s="94"/>
      <c r="AP97" s="94"/>
      <c r="AQ97" s="94"/>
      <c r="AR97" s="95">
        <v>-73000000</v>
      </c>
      <c r="AS97" s="95"/>
      <c r="AT97" s="95"/>
      <c r="AU97" s="95">
        <f t="shared" si="18"/>
        <v>-293408.36012861738</v>
      </c>
      <c r="AV97" s="95"/>
      <c r="AW97" s="95"/>
      <c r="AX97" s="96"/>
      <c r="AY97" s="95"/>
      <c r="AZ97" s="95"/>
      <c r="BA97" s="96"/>
      <c r="BB97" s="96"/>
      <c r="BC97" s="96"/>
      <c r="BD97" s="95"/>
      <c r="BE97" s="95"/>
      <c r="BF97" s="96"/>
      <c r="BG97" s="95"/>
      <c r="BH97" s="95"/>
      <c r="BI97" s="96"/>
      <c r="BJ97" s="97" t="s">
        <v>182</v>
      </c>
      <c r="BK97" s="98" t="str">
        <f t="shared" si="15"/>
        <v>Cost-saving</v>
      </c>
      <c r="BL97" s="98">
        <f t="shared" si="13"/>
        <v>0</v>
      </c>
      <c r="BM97" s="98">
        <f t="shared" si="13"/>
        <v>0</v>
      </c>
      <c r="BN97" s="99" t="s">
        <v>183</v>
      </c>
      <c r="BO97" s="100"/>
      <c r="BP97" s="100"/>
      <c r="BQ97" s="99" t="s">
        <v>183</v>
      </c>
      <c r="BR97" s="100"/>
      <c r="BS97" s="100"/>
      <c r="BT97" s="99" t="s">
        <v>183</v>
      </c>
      <c r="BU97" s="100"/>
      <c r="BV97" s="100"/>
      <c r="BW97" s="85"/>
      <c r="BX97" s="85" t="s">
        <v>252</v>
      </c>
      <c r="BY97" s="83" t="s">
        <v>252</v>
      </c>
      <c r="BZ97" s="102">
        <v>2016</v>
      </c>
      <c r="CA97" s="98"/>
      <c r="CB97" s="98"/>
      <c r="CC97" s="103">
        <f t="shared" si="16"/>
        <v>62</v>
      </c>
      <c r="CD97" s="98"/>
      <c r="CE97" s="98"/>
      <c r="CF97" s="98"/>
      <c r="CG97" s="105">
        <v>1</v>
      </c>
      <c r="CH97" s="105" t="str">
        <f>IF(CK97=0,"",IF(V97="Persistent",5,IF(V97="Once",1,IF(V97="One-off",1,"manual overwrite"))))</f>
        <v/>
      </c>
      <c r="CI97" s="105"/>
      <c r="CJ97" s="98">
        <f t="shared" si="17"/>
        <v>0</v>
      </c>
      <c r="CK97" s="98">
        <f>IF(CA97="C",0,IF(P97="Het",0,IF(SUM(AG97,AO97)=0,0,1)))</f>
        <v>0</v>
      </c>
      <c r="CL97" s="106" t="e">
        <f>IF(G97="AUS",VLOOKUP(H97,$CU$5:$CW$23,2),IF(G97="NZ",VLOOKUP(H97,$CU$5:$CW$23,3),"error"))*AU97</f>
        <v>#N/A</v>
      </c>
      <c r="CM97" s="107" t="e">
        <f>IF(G97="AUS",VLOOKUP(H97,$CU$5:$CW$23,2),IF(G97="NZ",VLOOKUP(H97,$CU$5:$CW$23,3),"error"))*AX97</f>
        <v>#N/A</v>
      </c>
      <c r="CN97" s="106" t="e">
        <f>IF(G97="AUS",VLOOKUP(H97,$CU$5:$CW$23,2),IF(G97="NZ",VLOOKUP(H97,$CU$5:$CW$23,3),"error"))*BK97</f>
        <v>#N/A</v>
      </c>
    </row>
    <row r="98" spans="1:92" s="108" customFormat="1" ht="167.25">
      <c r="A98" s="83" t="str">
        <f t="shared" si="14"/>
        <v>Tobacco</v>
      </c>
      <c r="B98" s="85" t="s">
        <v>170</v>
      </c>
      <c r="C98" s="86"/>
      <c r="D98" s="85" t="s">
        <v>321</v>
      </c>
      <c r="E98" s="85" t="s">
        <v>172</v>
      </c>
      <c r="F98" s="85" t="str">
        <f t="shared" si="11"/>
        <v>Tobacco; ; Prevention ; Taxes and Subsidies</v>
      </c>
      <c r="G98" s="85" t="s">
        <v>205</v>
      </c>
      <c r="H98" s="85">
        <v>2011</v>
      </c>
      <c r="I98" s="85" t="str">
        <f>CONCATENATE(A98,", ",G98,": ",J98)</f>
        <v>Tobacco, NZ: Ongoing tobacco tax increases (10% annually from 2011 to 2025)</v>
      </c>
      <c r="J98" s="87" t="s">
        <v>322</v>
      </c>
      <c r="K98" s="87" t="s">
        <v>230</v>
      </c>
      <c r="L98" s="115">
        <v>0</v>
      </c>
      <c r="M98" s="115">
        <v>3</v>
      </c>
      <c r="N98" s="115">
        <v>0</v>
      </c>
      <c r="O98" s="115">
        <v>12.8</v>
      </c>
      <c r="P98" s="85" t="s">
        <v>215</v>
      </c>
      <c r="Q98" s="85" t="str">
        <f>IF($P98="Main",J98,BX98)</f>
        <v>in non-Māori women age 25-44 yrs</v>
      </c>
      <c r="R98" s="85" t="str">
        <f>IF($P98="Main",CONCATENATE(J98,": ",G98),BY98)</f>
        <v>in non-Māori women age 25-44 yrs</v>
      </c>
      <c r="S98" s="85" t="s">
        <v>241</v>
      </c>
      <c r="T98" s="85" t="s">
        <v>250</v>
      </c>
      <c r="U98" s="88" t="s">
        <v>236</v>
      </c>
      <c r="V98" s="88"/>
      <c r="W98" s="88">
        <v>14</v>
      </c>
      <c r="X98" s="88" t="s">
        <v>199</v>
      </c>
      <c r="Y98" s="85"/>
      <c r="Z98" s="85"/>
      <c r="AA98" s="85"/>
      <c r="AB98" s="85"/>
      <c r="AC98" s="89">
        <v>0.03</v>
      </c>
      <c r="AD98" s="122"/>
      <c r="AE98" s="83"/>
      <c r="AF98" s="83"/>
      <c r="AG98" s="90">
        <v>4270</v>
      </c>
      <c r="AH98" s="90"/>
      <c r="AI98" s="90"/>
      <c r="AJ98" s="91">
        <v>515290</v>
      </c>
      <c r="AK98" s="92">
        <f t="shared" si="12"/>
        <v>8.2865958974558023</v>
      </c>
      <c r="AL98" s="92"/>
      <c r="AM98" s="92"/>
      <c r="AN98" s="93"/>
      <c r="AO98" s="94"/>
      <c r="AP98" s="94"/>
      <c r="AQ98" s="94"/>
      <c r="AR98" s="95">
        <v>-92000000</v>
      </c>
      <c r="AS98" s="95"/>
      <c r="AT98" s="95"/>
      <c r="AU98" s="95">
        <f t="shared" si="18"/>
        <v>-178540.23947679947</v>
      </c>
      <c r="AV98" s="95"/>
      <c r="AW98" s="95"/>
      <c r="AX98" s="96"/>
      <c r="AY98" s="95"/>
      <c r="AZ98" s="95"/>
      <c r="BA98" s="96"/>
      <c r="BB98" s="96"/>
      <c r="BC98" s="96"/>
      <c r="BD98" s="95"/>
      <c r="BE98" s="95"/>
      <c r="BF98" s="96"/>
      <c r="BG98" s="95"/>
      <c r="BH98" s="95"/>
      <c r="BI98" s="96"/>
      <c r="BJ98" s="97" t="s">
        <v>182</v>
      </c>
      <c r="BK98" s="98" t="str">
        <f t="shared" si="15"/>
        <v>Cost-saving</v>
      </c>
      <c r="BL98" s="98">
        <f t="shared" si="13"/>
        <v>0</v>
      </c>
      <c r="BM98" s="98">
        <f t="shared" si="13"/>
        <v>0</v>
      </c>
      <c r="BN98" s="99" t="s">
        <v>183</v>
      </c>
      <c r="BO98" s="100"/>
      <c r="BP98" s="100"/>
      <c r="BQ98" s="99" t="s">
        <v>183</v>
      </c>
      <c r="BR98" s="100"/>
      <c r="BS98" s="100"/>
      <c r="BT98" s="99" t="s">
        <v>183</v>
      </c>
      <c r="BU98" s="100"/>
      <c r="BV98" s="100"/>
      <c r="BW98" s="85"/>
      <c r="BX98" s="85" t="s">
        <v>333</v>
      </c>
      <c r="BY98" s="83" t="s">
        <v>333</v>
      </c>
      <c r="BZ98" s="102">
        <v>2016</v>
      </c>
      <c r="CA98" s="98"/>
      <c r="CB98" s="98"/>
      <c r="CC98" s="103">
        <f t="shared" si="16"/>
        <v>62</v>
      </c>
      <c r="CD98" s="98"/>
      <c r="CE98" s="98"/>
      <c r="CF98" s="98"/>
      <c r="CG98" s="105">
        <v>1</v>
      </c>
      <c r="CH98" s="105" t="str">
        <f>IF(CK98=0,"",IF(V98="Persistent",5,IF(V98="Once",1,IF(V98="One-off",1,"manual overwrite"))))</f>
        <v/>
      </c>
      <c r="CI98" s="105"/>
      <c r="CJ98" s="98">
        <f t="shared" si="17"/>
        <v>0</v>
      </c>
      <c r="CK98" s="98">
        <f>IF(CA98="C",0,IF(P98="Het",0,IF(SUM(AG98,AO98)=0,0,1)))</f>
        <v>0</v>
      </c>
      <c r="CL98" s="106" t="e">
        <f>IF(G98="AUS",VLOOKUP(H98,$CU$5:$CW$23,2),IF(G98="NZ",VLOOKUP(H98,$CU$5:$CW$23,3),"error"))*AU98</f>
        <v>#N/A</v>
      </c>
      <c r="CM98" s="107" t="e">
        <f>IF(G98="AUS",VLOOKUP(H98,$CU$5:$CW$23,2),IF(G98="NZ",VLOOKUP(H98,$CU$5:$CW$23,3),"error"))*AX98</f>
        <v>#N/A</v>
      </c>
      <c r="CN98" s="106" t="e">
        <f>IF(G98="AUS",VLOOKUP(H98,$CU$5:$CW$23,2),IF(G98="NZ",VLOOKUP(H98,$CU$5:$CW$23,3),"error"))*BK98</f>
        <v>#N/A</v>
      </c>
    </row>
    <row r="99" spans="1:92" s="108" customFormat="1" ht="167.25">
      <c r="A99" s="83" t="str">
        <f t="shared" si="14"/>
        <v>Tobacco</v>
      </c>
      <c r="B99" s="85" t="s">
        <v>170</v>
      </c>
      <c r="C99" s="86"/>
      <c r="D99" s="85" t="s">
        <v>321</v>
      </c>
      <c r="E99" s="85" t="s">
        <v>172</v>
      </c>
      <c r="F99" s="85" t="str">
        <f t="shared" si="11"/>
        <v>Tobacco; ; Prevention ; Taxes and Subsidies</v>
      </c>
      <c r="G99" s="85" t="s">
        <v>205</v>
      </c>
      <c r="H99" s="85">
        <v>2011</v>
      </c>
      <c r="I99" s="85" t="str">
        <f>CONCATENATE(A99,", ",G99,": ",J99)</f>
        <v>Tobacco, NZ: Ongoing tobacco tax increases (10% annually from 2011 to 2025)</v>
      </c>
      <c r="J99" s="87" t="s">
        <v>322</v>
      </c>
      <c r="K99" s="87" t="s">
        <v>230</v>
      </c>
      <c r="L99" s="115">
        <v>0</v>
      </c>
      <c r="M99" s="115">
        <v>1</v>
      </c>
      <c r="N99" s="115">
        <v>0</v>
      </c>
      <c r="O99" s="115">
        <v>12.8</v>
      </c>
      <c r="P99" s="85" t="s">
        <v>215</v>
      </c>
      <c r="Q99" s="85" t="str">
        <f>IF($P99="Main",J99,BX99)</f>
        <v>in non-Māori women age 45-64 yrs</v>
      </c>
      <c r="R99" s="85" t="str">
        <f>IF($P99="Main",CONCATENATE(J99,": ",G99),BY99)</f>
        <v>in non-Māori women age 45-64 yrs</v>
      </c>
      <c r="S99" s="85" t="s">
        <v>244</v>
      </c>
      <c r="T99" s="85" t="s">
        <v>250</v>
      </c>
      <c r="U99" s="88" t="s">
        <v>236</v>
      </c>
      <c r="V99" s="88"/>
      <c r="W99" s="88">
        <v>14</v>
      </c>
      <c r="X99" s="88" t="s">
        <v>199</v>
      </c>
      <c r="Y99" s="85"/>
      <c r="Z99" s="85"/>
      <c r="AA99" s="85"/>
      <c r="AB99" s="85"/>
      <c r="AC99" s="89">
        <v>0.03</v>
      </c>
      <c r="AD99" s="122"/>
      <c r="AE99" s="83"/>
      <c r="AF99" s="83"/>
      <c r="AG99" s="90">
        <v>2540</v>
      </c>
      <c r="AH99" s="90"/>
      <c r="AI99" s="90"/>
      <c r="AJ99" s="91">
        <v>508320</v>
      </c>
      <c r="AK99" s="92">
        <f t="shared" si="12"/>
        <v>4.9968523764557755</v>
      </c>
      <c r="AL99" s="92"/>
      <c r="AM99" s="92"/>
      <c r="AN99" s="93"/>
      <c r="AO99" s="94"/>
      <c r="AP99" s="94"/>
      <c r="AQ99" s="94"/>
      <c r="AR99" s="95">
        <v>-35000000</v>
      </c>
      <c r="AS99" s="95"/>
      <c r="AT99" s="95"/>
      <c r="AU99" s="95">
        <f t="shared" si="18"/>
        <v>-68854.265029902424</v>
      </c>
      <c r="AV99" s="95"/>
      <c r="AW99" s="95"/>
      <c r="AX99" s="96"/>
      <c r="AY99" s="95"/>
      <c r="AZ99" s="95"/>
      <c r="BA99" s="96"/>
      <c r="BB99" s="96"/>
      <c r="BC99" s="96"/>
      <c r="BD99" s="95"/>
      <c r="BE99" s="95"/>
      <c r="BF99" s="96"/>
      <c r="BG99" s="95"/>
      <c r="BH99" s="95"/>
      <c r="BI99" s="96"/>
      <c r="BJ99" s="97" t="s">
        <v>182</v>
      </c>
      <c r="BK99" s="98" t="str">
        <f t="shared" si="15"/>
        <v>Cost-saving</v>
      </c>
      <c r="BL99" s="98">
        <f t="shared" si="15"/>
        <v>0</v>
      </c>
      <c r="BM99" s="98">
        <f t="shared" si="15"/>
        <v>0</v>
      </c>
      <c r="BN99" s="99" t="s">
        <v>183</v>
      </c>
      <c r="BO99" s="100"/>
      <c r="BP99" s="100"/>
      <c r="BQ99" s="99" t="s">
        <v>183</v>
      </c>
      <c r="BR99" s="100"/>
      <c r="BS99" s="100"/>
      <c r="BT99" s="99" t="s">
        <v>183</v>
      </c>
      <c r="BU99" s="100"/>
      <c r="BV99" s="100"/>
      <c r="BW99" s="85"/>
      <c r="BX99" s="85" t="s">
        <v>254</v>
      </c>
      <c r="BY99" s="83" t="s">
        <v>254</v>
      </c>
      <c r="BZ99" s="102">
        <v>2016</v>
      </c>
      <c r="CA99" s="98"/>
      <c r="CB99" s="98"/>
      <c r="CC99" s="103">
        <f t="shared" si="16"/>
        <v>62</v>
      </c>
      <c r="CD99" s="98"/>
      <c r="CE99" s="98"/>
      <c r="CF99" s="98"/>
      <c r="CG99" s="105">
        <v>1</v>
      </c>
      <c r="CH99" s="105" t="str">
        <f>IF(CK99=0,"",IF(V99="Persistent",5,IF(V99="Once",1,IF(V99="One-off",1,"manual overwrite"))))</f>
        <v/>
      </c>
      <c r="CI99" s="105"/>
      <c r="CJ99" s="98">
        <f t="shared" si="17"/>
        <v>0</v>
      </c>
      <c r="CK99" s="98">
        <f>IF(CA99="C",0,IF(P99="Het",0,IF(SUM(AG99,AO99)=0,0,1)))</f>
        <v>0</v>
      </c>
      <c r="CL99" s="106" t="e">
        <f>IF(G99="AUS",VLOOKUP(H99,$CU$5:$CW$23,2),IF(G99="NZ",VLOOKUP(H99,$CU$5:$CW$23,3),"error"))*AU99</f>
        <v>#N/A</v>
      </c>
      <c r="CM99" s="107" t="e">
        <f>IF(G99="AUS",VLOOKUP(H99,$CU$5:$CW$23,2),IF(G99="NZ",VLOOKUP(H99,$CU$5:$CW$23,3),"error"))*AX99</f>
        <v>#N/A</v>
      </c>
      <c r="CN99" s="106" t="e">
        <f>IF(G99="AUS",VLOOKUP(H99,$CU$5:$CW$23,2),IF(G99="NZ",VLOOKUP(H99,$CU$5:$CW$23,3),"error"))*BK99</f>
        <v>#N/A</v>
      </c>
    </row>
    <row r="100" spans="1:92" s="108" customFormat="1" ht="167.25">
      <c r="A100" s="83" t="str">
        <f t="shared" si="14"/>
        <v>Tobacco</v>
      </c>
      <c r="B100" s="85" t="s">
        <v>170</v>
      </c>
      <c r="C100" s="86"/>
      <c r="D100" s="85" t="s">
        <v>321</v>
      </c>
      <c r="E100" s="85" t="s">
        <v>172</v>
      </c>
      <c r="F100" s="85" t="str">
        <f t="shared" si="11"/>
        <v>Tobacco; ; Prevention ; Taxes and Subsidies</v>
      </c>
      <c r="G100" s="85" t="s">
        <v>205</v>
      </c>
      <c r="H100" s="85">
        <v>2011</v>
      </c>
      <c r="I100" s="85" t="str">
        <f>CONCATENATE(A100,", ",G100,": ",J100)</f>
        <v>Tobacco, NZ: Ongoing tobacco tax increases (10% annually from 2011 to 2025)</v>
      </c>
      <c r="J100" s="87" t="s">
        <v>322</v>
      </c>
      <c r="K100" s="87" t="s">
        <v>230</v>
      </c>
      <c r="L100" s="115">
        <v>0</v>
      </c>
      <c r="M100" s="115">
        <v>0.5</v>
      </c>
      <c r="N100" s="115">
        <v>0</v>
      </c>
      <c r="O100" s="115">
        <v>12.8</v>
      </c>
      <c r="P100" s="85" t="s">
        <v>215</v>
      </c>
      <c r="Q100" s="85" t="str">
        <f>IF($P100="Main",J100,BX100)</f>
        <v xml:space="preserve">in non-Māori women age 65+ yrs </v>
      </c>
      <c r="R100" s="85" t="str">
        <f>IF($P100="Main",CONCATENATE(J100,": ",G100),BY100)</f>
        <v xml:space="preserve">in non-Māori women age 65+ yrs </v>
      </c>
      <c r="S100" s="85" t="s">
        <v>247</v>
      </c>
      <c r="T100" s="85" t="s">
        <v>250</v>
      </c>
      <c r="U100" s="88" t="s">
        <v>236</v>
      </c>
      <c r="V100" s="88"/>
      <c r="W100" s="88">
        <v>14</v>
      </c>
      <c r="X100" s="88" t="s">
        <v>199</v>
      </c>
      <c r="Y100" s="85"/>
      <c r="Z100" s="85"/>
      <c r="AA100" s="85"/>
      <c r="AB100" s="85"/>
      <c r="AC100" s="89">
        <v>0.03</v>
      </c>
      <c r="AD100" s="122"/>
      <c r="AE100" s="83"/>
      <c r="AF100" s="83"/>
      <c r="AG100" s="90">
        <v>250</v>
      </c>
      <c r="AH100" s="90"/>
      <c r="AI100" s="90"/>
      <c r="AJ100" s="91">
        <v>301170</v>
      </c>
      <c r="AK100" s="92">
        <f t="shared" si="12"/>
        <v>0.83009595909287115</v>
      </c>
      <c r="AL100" s="92"/>
      <c r="AM100" s="92"/>
      <c r="AN100" s="93"/>
      <c r="AO100" s="94"/>
      <c r="AP100" s="94"/>
      <c r="AQ100" s="94"/>
      <c r="AR100" s="95">
        <v>-1530000</v>
      </c>
      <c r="AS100" s="95"/>
      <c r="AT100" s="95"/>
      <c r="AU100" s="95">
        <f t="shared" si="18"/>
        <v>-5080.1872696483715</v>
      </c>
      <c r="AV100" s="95"/>
      <c r="AW100" s="95"/>
      <c r="AX100" s="96"/>
      <c r="AY100" s="95"/>
      <c r="AZ100" s="95"/>
      <c r="BA100" s="96"/>
      <c r="BB100" s="96"/>
      <c r="BC100" s="96"/>
      <c r="BD100" s="95"/>
      <c r="BE100" s="95"/>
      <c r="BF100" s="96"/>
      <c r="BG100" s="95"/>
      <c r="BH100" s="95"/>
      <c r="BI100" s="96"/>
      <c r="BJ100" s="97" t="s">
        <v>182</v>
      </c>
      <c r="BK100" s="98" t="str">
        <f t="shared" si="15"/>
        <v>Cost-saving</v>
      </c>
      <c r="BL100" s="98">
        <f t="shared" si="15"/>
        <v>0</v>
      </c>
      <c r="BM100" s="98">
        <f t="shared" si="15"/>
        <v>0</v>
      </c>
      <c r="BN100" s="99" t="s">
        <v>183</v>
      </c>
      <c r="BO100" s="100"/>
      <c r="BP100" s="100"/>
      <c r="BQ100" s="99" t="s">
        <v>183</v>
      </c>
      <c r="BR100" s="100"/>
      <c r="BS100" s="100"/>
      <c r="BT100" s="99" t="s">
        <v>183</v>
      </c>
      <c r="BU100" s="100"/>
      <c r="BV100" s="100"/>
      <c r="BW100" s="85"/>
      <c r="BX100" s="85" t="s">
        <v>255</v>
      </c>
      <c r="BY100" s="83" t="s">
        <v>255</v>
      </c>
      <c r="BZ100" s="102">
        <v>2016</v>
      </c>
      <c r="CA100" s="98"/>
      <c r="CB100" s="98"/>
      <c r="CC100" s="103">
        <f t="shared" si="16"/>
        <v>62</v>
      </c>
      <c r="CD100" s="98"/>
      <c r="CE100" s="98"/>
      <c r="CF100" s="98"/>
      <c r="CG100" s="105">
        <v>1</v>
      </c>
      <c r="CH100" s="105" t="str">
        <f>IF(CK100=0,"",IF(V100="Persistent",5,IF(V100="Once",1,IF(V100="One-off",1,"manual overwrite"))))</f>
        <v/>
      </c>
      <c r="CI100" s="105"/>
      <c r="CJ100" s="98">
        <f t="shared" si="17"/>
        <v>0</v>
      </c>
      <c r="CK100" s="98">
        <f>IF(CA100="C",0,IF(P100="Het",0,IF(SUM(AG100,AO100)=0,0,1)))</f>
        <v>0</v>
      </c>
      <c r="CL100" s="106" t="e">
        <f>IF(G100="AUS",VLOOKUP(H100,$CU$5:$CW$23,2),IF(G100="NZ",VLOOKUP(H100,$CU$5:$CW$23,3),"error"))*AU100</f>
        <v>#N/A</v>
      </c>
      <c r="CM100" s="107" t="e">
        <f>IF(G100="AUS",VLOOKUP(H100,$CU$5:$CW$23,2),IF(G100="NZ",VLOOKUP(H100,$CU$5:$CW$23,3),"error"))*AX100</f>
        <v>#N/A</v>
      </c>
      <c r="CN100" s="106" t="e">
        <f>IF(G100="AUS",VLOOKUP(H100,$CU$5:$CW$23,2),IF(G100="NZ",VLOOKUP(H100,$CU$5:$CW$23,3),"error"))*BK100</f>
        <v>#N/A</v>
      </c>
    </row>
    <row r="101" spans="1:92" s="108" customFormat="1" ht="167.25" hidden="1">
      <c r="A101" s="83" t="str">
        <f t="shared" si="14"/>
        <v>Tobacco</v>
      </c>
      <c r="B101" s="85" t="s">
        <v>170</v>
      </c>
      <c r="C101" s="86"/>
      <c r="D101" s="85" t="s">
        <v>321</v>
      </c>
      <c r="E101" s="85" t="s">
        <v>172</v>
      </c>
      <c r="F101" s="85" t="str">
        <f t="shared" si="11"/>
        <v>Tobacco; ; Prevention ; Taxes and Subsidies</v>
      </c>
      <c r="G101" s="85" t="s">
        <v>205</v>
      </c>
      <c r="H101" s="85">
        <v>2011</v>
      </c>
      <c r="I101" s="85" t="str">
        <f>CONCATENATE(A101,", ",G101,": ",J101)</f>
        <v>Tobacco, NZ: Ongoing tobacco tax increases (10% annually from 2011 to 2025)</v>
      </c>
      <c r="J101" s="87" t="s">
        <v>322</v>
      </c>
      <c r="K101" s="87"/>
      <c r="L101" s="87"/>
      <c r="M101" s="87"/>
      <c r="N101" s="87"/>
      <c r="O101" s="87"/>
      <c r="P101" s="85" t="s">
        <v>215</v>
      </c>
      <c r="Q101" s="85" t="str">
        <f>IF($P101="Main",J101,BX101)</f>
        <v>in Māori</v>
      </c>
      <c r="R101" s="85" t="str">
        <f>IF($P101="Main",CONCATENATE(J101,": ",G101),BY101)</f>
        <v>in Māori</v>
      </c>
      <c r="S101" s="85"/>
      <c r="T101" s="85"/>
      <c r="U101" s="85"/>
      <c r="V101" s="88"/>
      <c r="W101" s="88"/>
      <c r="X101" s="88"/>
      <c r="Y101" s="85"/>
      <c r="Z101" s="85"/>
      <c r="AA101" s="85"/>
      <c r="AB101" s="85"/>
      <c r="AC101" s="89">
        <v>0.03</v>
      </c>
      <c r="AD101" s="122"/>
      <c r="AE101" s="83"/>
      <c r="AF101" s="83"/>
      <c r="AG101" s="90">
        <v>23500</v>
      </c>
      <c r="AH101" s="90">
        <v>12900</v>
      </c>
      <c r="AI101" s="90">
        <v>37800</v>
      </c>
      <c r="AJ101" s="91">
        <v>674200</v>
      </c>
      <c r="AK101" s="92">
        <f t="shared" si="12"/>
        <v>34.85612577870068</v>
      </c>
      <c r="AL101" s="92">
        <f>AH101/$AJ101*1000</f>
        <v>19.133788193414418</v>
      </c>
      <c r="AM101" s="92">
        <f>AI101/$AJ101*1000</f>
        <v>56.066449124888756</v>
      </c>
      <c r="AN101" s="93"/>
      <c r="AO101" s="94">
        <v>3.49E-2</v>
      </c>
      <c r="AP101" s="94"/>
      <c r="AQ101" s="94"/>
      <c r="AR101" s="95">
        <v>-374000000</v>
      </c>
      <c r="AS101" s="95">
        <v>-209000000</v>
      </c>
      <c r="AT101" s="95">
        <v>-609000000</v>
      </c>
      <c r="AU101" s="95">
        <f t="shared" si="18"/>
        <v>-554731.53366953426</v>
      </c>
      <c r="AV101" s="95">
        <f>1000*AS101/$AJ101</f>
        <v>-309997.03352121031</v>
      </c>
      <c r="AW101" s="95">
        <f>1000*AT101/$AJ101</f>
        <v>-903292.79145654105</v>
      </c>
      <c r="AX101" s="95">
        <v>-554</v>
      </c>
      <c r="AY101" s="95"/>
      <c r="AZ101" s="95"/>
      <c r="BA101" s="96"/>
      <c r="BB101" s="96"/>
      <c r="BC101" s="96"/>
      <c r="BD101" s="95"/>
      <c r="BE101" s="95"/>
      <c r="BF101" s="96"/>
      <c r="BG101" s="95"/>
      <c r="BH101" s="95"/>
      <c r="BI101" s="96"/>
      <c r="BJ101" s="97" t="s">
        <v>182</v>
      </c>
      <c r="BK101" s="98" t="str">
        <f t="shared" si="15"/>
        <v>Cost-saving</v>
      </c>
      <c r="BL101" s="98">
        <f t="shared" si="15"/>
        <v>0</v>
      </c>
      <c r="BM101" s="98">
        <f t="shared" si="15"/>
        <v>0</v>
      </c>
      <c r="BN101" s="99" t="s">
        <v>183</v>
      </c>
      <c r="BO101" s="100"/>
      <c r="BP101" s="100"/>
      <c r="BQ101" s="99" t="s">
        <v>183</v>
      </c>
      <c r="BR101" s="100"/>
      <c r="BS101" s="100"/>
      <c r="BT101" s="99" t="s">
        <v>183</v>
      </c>
      <c r="BU101" s="100"/>
      <c r="BV101" s="100"/>
      <c r="BW101" s="85"/>
      <c r="BX101" s="85" t="s">
        <v>256</v>
      </c>
      <c r="BY101" s="83" t="s">
        <v>256</v>
      </c>
      <c r="BZ101" s="102">
        <v>2016</v>
      </c>
      <c r="CA101" s="98"/>
      <c r="CB101" s="98"/>
      <c r="CC101" s="103">
        <f t="shared" si="16"/>
        <v>62</v>
      </c>
      <c r="CD101" s="98"/>
      <c r="CE101" s="98"/>
      <c r="CF101" s="98"/>
      <c r="CG101" s="105">
        <v>1</v>
      </c>
      <c r="CH101" s="105" t="str">
        <f>IF(CK101=0,"",IF(V101="Persistent",5,IF(V101="Once",1,IF(V101="One-off",1,"manual overwrite"))))</f>
        <v/>
      </c>
      <c r="CI101" s="105"/>
      <c r="CJ101" s="98">
        <f t="shared" si="17"/>
        <v>0</v>
      </c>
      <c r="CK101" s="98">
        <f>IF(CA101="C",0,IF(P101="Het",0,IF(SUM(AG101,AO101)=0,0,1)))</f>
        <v>0</v>
      </c>
      <c r="CL101" s="106" t="e">
        <f>IF(G101="AUS",VLOOKUP(H101,$CU$5:$CW$23,2),IF(G101="NZ",VLOOKUP(H101,$CU$5:$CW$23,3),"error"))*AU101</f>
        <v>#N/A</v>
      </c>
      <c r="CM101" s="107" t="e">
        <f>IF(G101="AUS",VLOOKUP(H101,$CU$5:$CW$23,2),IF(G101="NZ",VLOOKUP(H101,$CU$5:$CW$23,3),"error"))*AX101</f>
        <v>#N/A</v>
      </c>
      <c r="CN101" s="106" t="e">
        <f>IF(G101="AUS",VLOOKUP(H101,$CU$5:$CW$23,2),IF(G101="NZ",VLOOKUP(H101,$CU$5:$CW$23,3),"error"))*BK101</f>
        <v>#N/A</v>
      </c>
    </row>
    <row r="102" spans="1:92" s="108" customFormat="1" ht="167.25" hidden="1">
      <c r="A102" s="83" t="str">
        <f t="shared" si="14"/>
        <v>Tobacco</v>
      </c>
      <c r="B102" s="85" t="s">
        <v>170</v>
      </c>
      <c r="C102" s="86"/>
      <c r="D102" s="85" t="s">
        <v>321</v>
      </c>
      <c r="E102" s="85" t="s">
        <v>172</v>
      </c>
      <c r="F102" s="85" t="str">
        <f t="shared" si="11"/>
        <v>Tobacco; ; Prevention ; Taxes and Subsidies</v>
      </c>
      <c r="G102" s="85" t="s">
        <v>205</v>
      </c>
      <c r="H102" s="85">
        <v>2011</v>
      </c>
      <c r="I102" s="85" t="str">
        <f>CONCATENATE(A102,", ",G102,": ",J102)</f>
        <v>Tobacco, NZ: Ongoing tobacco tax increases (10% annually from 2011 to 2025)</v>
      </c>
      <c r="J102" s="87" t="s">
        <v>322</v>
      </c>
      <c r="K102" s="87"/>
      <c r="L102" s="87"/>
      <c r="M102" s="87"/>
      <c r="N102" s="87"/>
      <c r="O102" s="87"/>
      <c r="P102" s="85" t="s">
        <v>215</v>
      </c>
      <c r="Q102" s="85" t="str">
        <f>IF($P102="Main",J102,BX102)</f>
        <v xml:space="preserve">in Māori men </v>
      </c>
      <c r="R102" s="85" t="str">
        <f>IF($P102="Main",CONCATENATE(J102,": ",G102),BY102)</f>
        <v xml:space="preserve">in Māori men </v>
      </c>
      <c r="S102" s="85"/>
      <c r="T102" s="85"/>
      <c r="U102" s="85"/>
      <c r="V102" s="88"/>
      <c r="W102" s="88"/>
      <c r="X102" s="88"/>
      <c r="Y102" s="85"/>
      <c r="Z102" s="85"/>
      <c r="AA102" s="85"/>
      <c r="AB102" s="85"/>
      <c r="AC102" s="89">
        <v>0.03</v>
      </c>
      <c r="AD102" s="122"/>
      <c r="AE102" s="83"/>
      <c r="AF102" s="83"/>
      <c r="AG102" s="90">
        <v>9560</v>
      </c>
      <c r="AH102" s="90"/>
      <c r="AI102" s="90"/>
      <c r="AJ102" s="91">
        <v>330900</v>
      </c>
      <c r="AK102" s="92">
        <f t="shared" si="12"/>
        <v>28.890903596252645</v>
      </c>
      <c r="AL102" s="92"/>
      <c r="AM102" s="92"/>
      <c r="AN102" s="93"/>
      <c r="AO102" s="94"/>
      <c r="AP102" s="94"/>
      <c r="AQ102" s="94"/>
      <c r="AR102" s="95">
        <v>-210000000</v>
      </c>
      <c r="AS102" s="95"/>
      <c r="AT102" s="95"/>
      <c r="AU102" s="95">
        <f t="shared" si="18"/>
        <v>-634632.81958295556</v>
      </c>
      <c r="AV102" s="95"/>
      <c r="AW102" s="95"/>
      <c r="AX102" s="95"/>
      <c r="AY102" s="95"/>
      <c r="AZ102" s="95"/>
      <c r="BA102" s="96"/>
      <c r="BB102" s="96"/>
      <c r="BC102" s="96"/>
      <c r="BD102" s="95"/>
      <c r="BE102" s="95"/>
      <c r="BF102" s="96"/>
      <c r="BG102" s="95"/>
      <c r="BH102" s="95"/>
      <c r="BI102" s="96"/>
      <c r="BJ102" s="97" t="s">
        <v>182</v>
      </c>
      <c r="BK102" s="98" t="str">
        <f t="shared" si="15"/>
        <v>Cost-saving</v>
      </c>
      <c r="BL102" s="98">
        <f t="shared" si="15"/>
        <v>0</v>
      </c>
      <c r="BM102" s="98">
        <f t="shared" si="15"/>
        <v>0</v>
      </c>
      <c r="BN102" s="99" t="s">
        <v>183</v>
      </c>
      <c r="BO102" s="100"/>
      <c r="BP102" s="100"/>
      <c r="BQ102" s="99" t="s">
        <v>183</v>
      </c>
      <c r="BR102" s="100"/>
      <c r="BS102" s="100"/>
      <c r="BT102" s="99" t="s">
        <v>183</v>
      </c>
      <c r="BU102" s="100"/>
      <c r="BV102" s="100"/>
      <c r="BW102" s="85"/>
      <c r="BX102" s="85" t="s">
        <v>257</v>
      </c>
      <c r="BY102" s="83" t="s">
        <v>257</v>
      </c>
      <c r="BZ102" s="102">
        <v>2016</v>
      </c>
      <c r="CA102" s="98"/>
      <c r="CB102" s="98"/>
      <c r="CC102" s="103">
        <f t="shared" si="16"/>
        <v>62</v>
      </c>
      <c r="CD102" s="98"/>
      <c r="CE102" s="98"/>
      <c r="CF102" s="98"/>
      <c r="CG102" s="105">
        <v>1</v>
      </c>
      <c r="CH102" s="105" t="str">
        <f>IF(CK102=0,"",IF(V102="Persistent",5,IF(V102="Once",1,IF(V102="One-off",1,"manual overwrite"))))</f>
        <v/>
      </c>
      <c r="CI102" s="105"/>
      <c r="CJ102" s="98">
        <f t="shared" si="17"/>
        <v>0</v>
      </c>
      <c r="CK102" s="98">
        <f>IF(CA102="C",0,IF(P102="Het",0,IF(SUM(AG102,AO102)=0,0,1)))</f>
        <v>0</v>
      </c>
      <c r="CL102" s="106" t="e">
        <f>IF(G102="AUS",VLOOKUP(H102,$CU$5:$CW$23,2),IF(G102="NZ",VLOOKUP(H102,$CU$5:$CW$23,3),"error"))*AU102</f>
        <v>#N/A</v>
      </c>
      <c r="CM102" s="107" t="e">
        <f>IF(G102="AUS",VLOOKUP(H102,$CU$5:$CW$23,2),IF(G102="NZ",VLOOKUP(H102,$CU$5:$CW$23,3),"error"))*AX102</f>
        <v>#N/A</v>
      </c>
      <c r="CN102" s="106" t="e">
        <f>IF(G102="AUS",VLOOKUP(H102,$CU$5:$CW$23,2),IF(G102="NZ",VLOOKUP(H102,$CU$5:$CW$23,3),"error"))*BK102</f>
        <v>#N/A</v>
      </c>
    </row>
    <row r="103" spans="1:92" s="108" customFormat="1" ht="167.25">
      <c r="A103" s="83" t="str">
        <f t="shared" si="14"/>
        <v>Tobacco</v>
      </c>
      <c r="B103" s="85" t="s">
        <v>170</v>
      </c>
      <c r="C103" s="86"/>
      <c r="D103" s="85" t="s">
        <v>321</v>
      </c>
      <c r="E103" s="85" t="s">
        <v>172</v>
      </c>
      <c r="F103" s="85" t="str">
        <f t="shared" si="11"/>
        <v>Tobacco; ; Prevention ; Taxes and Subsidies</v>
      </c>
      <c r="G103" s="85" t="s">
        <v>205</v>
      </c>
      <c r="H103" s="85">
        <v>2011</v>
      </c>
      <c r="I103" s="85" t="str">
        <f>CONCATENATE(A103,", ",G103,": ",J103)</f>
        <v>Tobacco, NZ: Ongoing tobacco tax increases (10% annually from 2011 to 2025)</v>
      </c>
      <c r="J103" s="87" t="s">
        <v>322</v>
      </c>
      <c r="K103" s="87" t="s">
        <v>230</v>
      </c>
      <c r="L103" s="115">
        <v>0</v>
      </c>
      <c r="M103" s="115">
        <v>6</v>
      </c>
      <c r="N103" s="115">
        <v>0</v>
      </c>
      <c r="O103" s="115">
        <v>26.5</v>
      </c>
      <c r="P103" s="85" t="s">
        <v>215</v>
      </c>
      <c r="Q103" s="85" t="str">
        <f>IF($P103="Main",J103,BX103)</f>
        <v>in Māori men age 0-14 yrs</v>
      </c>
      <c r="R103" s="85" t="str">
        <f>IF($P103="Main",CONCATENATE(J103,": ",G103),BY103)</f>
        <v>in Māori men age 0-14 yrs</v>
      </c>
      <c r="S103" s="85" t="s">
        <v>234</v>
      </c>
      <c r="T103" s="85" t="s">
        <v>235</v>
      </c>
      <c r="U103" s="88" t="s">
        <v>259</v>
      </c>
      <c r="V103" s="88"/>
      <c r="W103" s="88">
        <v>14</v>
      </c>
      <c r="X103" s="88" t="s">
        <v>199</v>
      </c>
      <c r="Y103" s="85"/>
      <c r="Z103" s="85"/>
      <c r="AA103" s="85"/>
      <c r="AB103" s="85"/>
      <c r="AC103" s="89">
        <v>0.03</v>
      </c>
      <c r="AD103" s="122"/>
      <c r="AE103" s="83"/>
      <c r="AF103" s="83"/>
      <c r="AG103" s="90">
        <v>4080</v>
      </c>
      <c r="AH103" s="90"/>
      <c r="AI103" s="90"/>
      <c r="AJ103" s="91">
        <v>118100</v>
      </c>
      <c r="AK103" s="92">
        <f t="shared" si="12"/>
        <v>34.546994072819643</v>
      </c>
      <c r="AL103" s="92"/>
      <c r="AM103" s="92"/>
      <c r="AN103" s="93"/>
      <c r="AO103" s="94"/>
      <c r="AP103" s="94"/>
      <c r="AQ103" s="94"/>
      <c r="AR103" s="95">
        <v>-99000000</v>
      </c>
      <c r="AS103" s="95"/>
      <c r="AT103" s="95"/>
      <c r="AU103" s="95">
        <f t="shared" si="18"/>
        <v>-838272.65029635897</v>
      </c>
      <c r="AV103" s="95"/>
      <c r="AW103" s="95"/>
      <c r="AX103" s="95"/>
      <c r="AY103" s="95"/>
      <c r="AZ103" s="95"/>
      <c r="BA103" s="96"/>
      <c r="BB103" s="96"/>
      <c r="BC103" s="96"/>
      <c r="BD103" s="95"/>
      <c r="BE103" s="95"/>
      <c r="BF103" s="96"/>
      <c r="BG103" s="95"/>
      <c r="BH103" s="95"/>
      <c r="BI103" s="96"/>
      <c r="BJ103" s="97" t="s">
        <v>182</v>
      </c>
      <c r="BK103" s="98" t="str">
        <f t="shared" si="15"/>
        <v>Cost-saving</v>
      </c>
      <c r="BL103" s="98">
        <f t="shared" si="15"/>
        <v>0</v>
      </c>
      <c r="BM103" s="98">
        <f t="shared" si="15"/>
        <v>0</v>
      </c>
      <c r="BN103" s="99" t="s">
        <v>183</v>
      </c>
      <c r="BO103" s="100"/>
      <c r="BP103" s="100"/>
      <c r="BQ103" s="99" t="s">
        <v>183</v>
      </c>
      <c r="BR103" s="100"/>
      <c r="BS103" s="100"/>
      <c r="BT103" s="99" t="s">
        <v>183</v>
      </c>
      <c r="BU103" s="100"/>
      <c r="BV103" s="100"/>
      <c r="BW103" s="85"/>
      <c r="BX103" s="85" t="s">
        <v>334</v>
      </c>
      <c r="BY103" s="83" t="s">
        <v>334</v>
      </c>
      <c r="BZ103" s="102">
        <v>2016</v>
      </c>
      <c r="CA103" s="98"/>
      <c r="CB103" s="98"/>
      <c r="CC103" s="103">
        <f t="shared" si="16"/>
        <v>62</v>
      </c>
      <c r="CD103" s="98"/>
      <c r="CE103" s="98"/>
      <c r="CF103" s="98"/>
      <c r="CG103" s="105">
        <v>1</v>
      </c>
      <c r="CH103" s="105" t="str">
        <f>IF(CK103=0,"",IF(V103="Persistent",5,IF(V103="Once",1,IF(V103="One-off",1,"manual overwrite"))))</f>
        <v/>
      </c>
      <c r="CI103" s="105"/>
      <c r="CJ103" s="98">
        <f t="shared" si="17"/>
        <v>0</v>
      </c>
      <c r="CK103" s="98">
        <f>IF(CA103="C",0,IF(P103="Het",0,IF(SUM(AG103,AO103)=0,0,1)))</f>
        <v>0</v>
      </c>
      <c r="CL103" s="106" t="e">
        <f>IF(G103="AUS",VLOOKUP(H103,$CU$5:$CW$23,2),IF(G103="NZ",VLOOKUP(H103,$CU$5:$CW$23,3),"error"))*AU103</f>
        <v>#N/A</v>
      </c>
      <c r="CM103" s="107" t="e">
        <f>IF(G103="AUS",VLOOKUP(H103,$CU$5:$CW$23,2),IF(G103="NZ",VLOOKUP(H103,$CU$5:$CW$23,3),"error"))*AX103</f>
        <v>#N/A</v>
      </c>
      <c r="CN103" s="106" t="e">
        <f>IF(G103="AUS",VLOOKUP(H103,$CU$5:$CW$23,2),IF(G103="NZ",VLOOKUP(H103,$CU$5:$CW$23,3),"error"))*BK103</f>
        <v>#N/A</v>
      </c>
    </row>
    <row r="104" spans="1:92" s="108" customFormat="1" ht="167.25">
      <c r="A104" s="83" t="str">
        <f t="shared" si="14"/>
        <v>Tobacco</v>
      </c>
      <c r="B104" s="85" t="s">
        <v>170</v>
      </c>
      <c r="C104" s="86"/>
      <c r="D104" s="85" t="s">
        <v>321</v>
      </c>
      <c r="E104" s="85" t="s">
        <v>172</v>
      </c>
      <c r="F104" s="85" t="str">
        <f t="shared" si="11"/>
        <v>Tobacco; ; Prevention ; Taxes and Subsidies</v>
      </c>
      <c r="G104" s="85" t="s">
        <v>205</v>
      </c>
      <c r="H104" s="85">
        <v>2011</v>
      </c>
      <c r="I104" s="85" t="str">
        <f>CONCATENATE(A104,", ",G104,": ",J104)</f>
        <v>Tobacco, NZ: Ongoing tobacco tax increases (10% annually from 2011 to 2025)</v>
      </c>
      <c r="J104" s="87" t="s">
        <v>322</v>
      </c>
      <c r="K104" s="87" t="s">
        <v>230</v>
      </c>
      <c r="L104" s="115">
        <v>0</v>
      </c>
      <c r="M104" s="115">
        <v>6</v>
      </c>
      <c r="N104" s="115">
        <v>0</v>
      </c>
      <c r="O104" s="115">
        <v>26.5</v>
      </c>
      <c r="P104" s="85" t="s">
        <v>215</v>
      </c>
      <c r="Q104" s="85" t="str">
        <f>IF($P104="Main",J104,BX104)</f>
        <v>in Māori men age 15-24 yrs</v>
      </c>
      <c r="R104" s="85" t="str">
        <f>IF($P104="Main",CONCATENATE(J104,": ",G104),BY104)</f>
        <v>in Māori men age 15-24 yrs</v>
      </c>
      <c r="S104" s="85" t="s">
        <v>239</v>
      </c>
      <c r="T104" s="85" t="s">
        <v>235</v>
      </c>
      <c r="U104" s="88" t="s">
        <v>259</v>
      </c>
      <c r="V104" s="88"/>
      <c r="W104" s="88">
        <v>14</v>
      </c>
      <c r="X104" s="88" t="s">
        <v>199</v>
      </c>
      <c r="Y104" s="85"/>
      <c r="Z104" s="85"/>
      <c r="AA104" s="85"/>
      <c r="AB104" s="85"/>
      <c r="AC104" s="89">
        <v>0.03</v>
      </c>
      <c r="AD104" s="122"/>
      <c r="AE104" s="83"/>
      <c r="AF104" s="83"/>
      <c r="AG104" s="90">
        <v>2540</v>
      </c>
      <c r="AH104" s="90"/>
      <c r="AI104" s="90"/>
      <c r="AJ104" s="91">
        <v>64800</v>
      </c>
      <c r="AK104" s="92">
        <f t="shared" si="12"/>
        <v>39.197530864197532</v>
      </c>
      <c r="AL104" s="92"/>
      <c r="AM104" s="92"/>
      <c r="AN104" s="93"/>
      <c r="AO104" s="94"/>
      <c r="AP104" s="94"/>
      <c r="AQ104" s="94"/>
      <c r="AR104" s="95">
        <v>-58000000</v>
      </c>
      <c r="AS104" s="95"/>
      <c r="AT104" s="95"/>
      <c r="AU104" s="95">
        <f t="shared" si="18"/>
        <v>-895061.72839506168</v>
      </c>
      <c r="AV104" s="95"/>
      <c r="AW104" s="95"/>
      <c r="AX104" s="95"/>
      <c r="AY104" s="95"/>
      <c r="AZ104" s="95"/>
      <c r="BA104" s="96"/>
      <c r="BB104" s="96"/>
      <c r="BC104" s="96"/>
      <c r="BD104" s="95"/>
      <c r="BE104" s="95"/>
      <c r="BF104" s="96"/>
      <c r="BG104" s="95"/>
      <c r="BH104" s="95"/>
      <c r="BI104" s="96"/>
      <c r="BJ104" s="97" t="s">
        <v>182</v>
      </c>
      <c r="BK104" s="98" t="str">
        <f t="shared" si="15"/>
        <v>Cost-saving</v>
      </c>
      <c r="BL104" s="98">
        <f t="shared" si="15"/>
        <v>0</v>
      </c>
      <c r="BM104" s="98">
        <f t="shared" si="15"/>
        <v>0</v>
      </c>
      <c r="BN104" s="99" t="s">
        <v>183</v>
      </c>
      <c r="BO104" s="100"/>
      <c r="BP104" s="100"/>
      <c r="BQ104" s="99" t="s">
        <v>183</v>
      </c>
      <c r="BR104" s="100"/>
      <c r="BS104" s="100"/>
      <c r="BT104" s="99" t="s">
        <v>183</v>
      </c>
      <c r="BU104" s="100"/>
      <c r="BV104" s="100"/>
      <c r="BW104" s="85"/>
      <c r="BX104" s="85" t="s">
        <v>261</v>
      </c>
      <c r="BY104" s="83" t="s">
        <v>261</v>
      </c>
      <c r="BZ104" s="102">
        <v>2016</v>
      </c>
      <c r="CA104" s="98"/>
      <c r="CB104" s="98"/>
      <c r="CC104" s="103">
        <f t="shared" si="16"/>
        <v>62</v>
      </c>
      <c r="CD104" s="98"/>
      <c r="CE104" s="98"/>
      <c r="CF104" s="98"/>
      <c r="CG104" s="105">
        <v>1</v>
      </c>
      <c r="CH104" s="105" t="str">
        <f>IF(CK104=0,"",IF(V104="Persistent",5,IF(V104="Once",1,IF(V104="One-off",1,"manual overwrite"))))</f>
        <v/>
      </c>
      <c r="CI104" s="105"/>
      <c r="CJ104" s="98">
        <f t="shared" si="17"/>
        <v>0</v>
      </c>
      <c r="CK104" s="98">
        <f>IF(CA104="C",0,IF(P104="Het",0,IF(SUM(AG104,AO104)=0,0,1)))</f>
        <v>0</v>
      </c>
      <c r="CL104" s="106" t="e">
        <f>IF(G104="AUS",VLOOKUP(H104,$CU$5:$CW$23,2),IF(G104="NZ",VLOOKUP(H104,$CU$5:$CW$23,3),"error"))*AU104</f>
        <v>#N/A</v>
      </c>
      <c r="CM104" s="107" t="e">
        <f>IF(G104="AUS",VLOOKUP(H104,$CU$5:$CW$23,2),IF(G104="NZ",VLOOKUP(H104,$CU$5:$CW$23,3),"error"))*AX104</f>
        <v>#N/A</v>
      </c>
      <c r="CN104" s="106" t="e">
        <f>IF(G104="AUS",VLOOKUP(H104,$CU$5:$CW$23,2),IF(G104="NZ",VLOOKUP(H104,$CU$5:$CW$23,3),"error"))*BK104</f>
        <v>#N/A</v>
      </c>
    </row>
    <row r="105" spans="1:92" s="108" customFormat="1" ht="167.25">
      <c r="A105" s="83" t="str">
        <f t="shared" si="14"/>
        <v>Tobacco</v>
      </c>
      <c r="B105" s="85" t="s">
        <v>170</v>
      </c>
      <c r="C105" s="86"/>
      <c r="D105" s="85" t="s">
        <v>321</v>
      </c>
      <c r="E105" s="85" t="s">
        <v>172</v>
      </c>
      <c r="F105" s="85" t="str">
        <f t="shared" si="11"/>
        <v>Tobacco; ; Prevention ; Taxes and Subsidies</v>
      </c>
      <c r="G105" s="85" t="s">
        <v>205</v>
      </c>
      <c r="H105" s="85">
        <v>2011</v>
      </c>
      <c r="I105" s="85" t="str">
        <f>CONCATENATE(A105,", ",G105,": ",J105)</f>
        <v>Tobacco, NZ: Ongoing tobacco tax increases (10% annually from 2011 to 2025)</v>
      </c>
      <c r="J105" s="87" t="s">
        <v>322</v>
      </c>
      <c r="K105" s="87" t="s">
        <v>230</v>
      </c>
      <c r="L105" s="115">
        <v>0</v>
      </c>
      <c r="M105" s="115">
        <v>6</v>
      </c>
      <c r="N105" s="115">
        <v>0</v>
      </c>
      <c r="O105" s="115">
        <v>26.5</v>
      </c>
      <c r="P105" s="85" t="s">
        <v>215</v>
      </c>
      <c r="Q105" s="85" t="str">
        <f>IF($P105="Main",J105,BX105)</f>
        <v>in Māori men age 25-44 yrs</v>
      </c>
      <c r="R105" s="85" t="str">
        <f>IF($P105="Main",CONCATENATE(J105,": ",G105),BY105)</f>
        <v>in Māori men age 25-44 yrs</v>
      </c>
      <c r="S105" s="85" t="s">
        <v>241</v>
      </c>
      <c r="T105" s="85" t="s">
        <v>235</v>
      </c>
      <c r="U105" s="88" t="s">
        <v>259</v>
      </c>
      <c r="V105" s="88"/>
      <c r="W105" s="88">
        <v>14</v>
      </c>
      <c r="X105" s="88" t="s">
        <v>199</v>
      </c>
      <c r="Y105" s="85"/>
      <c r="Z105" s="85"/>
      <c r="AA105" s="85"/>
      <c r="AB105" s="85"/>
      <c r="AC105" s="89">
        <v>0.03</v>
      </c>
      <c r="AD105" s="122"/>
      <c r="AE105" s="83"/>
      <c r="AF105" s="83"/>
      <c r="AG105" s="90">
        <v>2220</v>
      </c>
      <c r="AH105" s="90"/>
      <c r="AI105" s="90"/>
      <c r="AJ105" s="91">
        <v>78600</v>
      </c>
      <c r="AK105" s="92">
        <f t="shared" si="12"/>
        <v>28.244274809160306</v>
      </c>
      <c r="AL105" s="92"/>
      <c r="AM105" s="92"/>
      <c r="AN105" s="93"/>
      <c r="AO105" s="94"/>
      <c r="AP105" s="94"/>
      <c r="AQ105" s="94"/>
      <c r="AR105" s="95">
        <v>-42000000</v>
      </c>
      <c r="AS105" s="95"/>
      <c r="AT105" s="95"/>
      <c r="AU105" s="95">
        <f t="shared" si="18"/>
        <v>-534351.14503816795</v>
      </c>
      <c r="AV105" s="95"/>
      <c r="AW105" s="95"/>
      <c r="AX105" s="95"/>
      <c r="AY105" s="95"/>
      <c r="AZ105" s="95"/>
      <c r="BA105" s="96"/>
      <c r="BB105" s="96"/>
      <c r="BC105" s="96"/>
      <c r="BD105" s="95"/>
      <c r="BE105" s="95"/>
      <c r="BF105" s="96"/>
      <c r="BG105" s="95"/>
      <c r="BH105" s="95"/>
      <c r="BI105" s="96"/>
      <c r="BJ105" s="97" t="s">
        <v>182</v>
      </c>
      <c r="BK105" s="98" t="str">
        <f t="shared" si="15"/>
        <v>Cost-saving</v>
      </c>
      <c r="BL105" s="98">
        <f t="shared" si="15"/>
        <v>0</v>
      </c>
      <c r="BM105" s="98">
        <f t="shared" si="15"/>
        <v>0</v>
      </c>
      <c r="BN105" s="99" t="s">
        <v>183</v>
      </c>
      <c r="BO105" s="100"/>
      <c r="BP105" s="100"/>
      <c r="BQ105" s="99" t="s">
        <v>183</v>
      </c>
      <c r="BR105" s="100"/>
      <c r="BS105" s="100"/>
      <c r="BT105" s="99" t="s">
        <v>183</v>
      </c>
      <c r="BU105" s="100"/>
      <c r="BV105" s="100"/>
      <c r="BW105" s="85"/>
      <c r="BX105" s="85" t="s">
        <v>262</v>
      </c>
      <c r="BY105" s="83" t="s">
        <v>262</v>
      </c>
      <c r="BZ105" s="102">
        <v>2016</v>
      </c>
      <c r="CA105" s="98"/>
      <c r="CB105" s="98"/>
      <c r="CC105" s="103">
        <f t="shared" si="16"/>
        <v>62</v>
      </c>
      <c r="CD105" s="98"/>
      <c r="CE105" s="98"/>
      <c r="CF105" s="98"/>
      <c r="CG105" s="105">
        <v>1</v>
      </c>
      <c r="CH105" s="105" t="str">
        <f>IF(CK105=0,"",IF(V105="Persistent",5,IF(V105="Once",1,IF(V105="One-off",1,"manual overwrite"))))</f>
        <v/>
      </c>
      <c r="CI105" s="105"/>
      <c r="CJ105" s="98">
        <f t="shared" si="17"/>
        <v>0</v>
      </c>
      <c r="CK105" s="98">
        <f>IF(CA105="C",0,IF(P105="Het",0,IF(SUM(AG105,AO105)=0,0,1)))</f>
        <v>0</v>
      </c>
      <c r="CL105" s="106" t="e">
        <f>IF(G105="AUS",VLOOKUP(H105,$CU$5:$CW$23,2),IF(G105="NZ",VLOOKUP(H105,$CU$5:$CW$23,3),"error"))*AU105</f>
        <v>#N/A</v>
      </c>
      <c r="CM105" s="107" t="e">
        <f>IF(G105="AUS",VLOOKUP(H105,$CU$5:$CW$23,2),IF(G105="NZ",VLOOKUP(H105,$CU$5:$CW$23,3),"error"))*AX105</f>
        <v>#N/A</v>
      </c>
      <c r="CN105" s="106" t="e">
        <f>IF(G105="AUS",VLOOKUP(H105,$CU$5:$CW$23,2),IF(G105="NZ",VLOOKUP(H105,$CU$5:$CW$23,3),"error"))*BK105</f>
        <v>#N/A</v>
      </c>
    </row>
    <row r="106" spans="1:92" s="108" customFormat="1" ht="167.25">
      <c r="A106" s="83" t="str">
        <f t="shared" si="14"/>
        <v>Tobacco</v>
      </c>
      <c r="B106" s="85" t="s">
        <v>170</v>
      </c>
      <c r="C106" s="86"/>
      <c r="D106" s="85" t="s">
        <v>321</v>
      </c>
      <c r="E106" s="85" t="s">
        <v>172</v>
      </c>
      <c r="F106" s="85" t="str">
        <f t="shared" si="11"/>
        <v>Tobacco; ; Prevention ; Taxes and Subsidies</v>
      </c>
      <c r="G106" s="85" t="s">
        <v>205</v>
      </c>
      <c r="H106" s="85">
        <v>2011</v>
      </c>
      <c r="I106" s="85" t="str">
        <f>CONCATENATE(A106,", ",G106,": ",J106)</f>
        <v>Tobacco, NZ: Ongoing tobacco tax increases (10% annually from 2011 to 2025)</v>
      </c>
      <c r="J106" s="87" t="s">
        <v>322</v>
      </c>
      <c r="K106" s="87" t="s">
        <v>230</v>
      </c>
      <c r="L106" s="115">
        <v>0</v>
      </c>
      <c r="M106" s="115">
        <v>2</v>
      </c>
      <c r="N106" s="115">
        <v>0</v>
      </c>
      <c r="O106" s="115">
        <v>26.5</v>
      </c>
      <c r="P106" s="85" t="s">
        <v>215</v>
      </c>
      <c r="Q106" s="85" t="str">
        <f>IF($P106="Main",J106,BX106)</f>
        <v>in Māori men age 45-64 yrs</v>
      </c>
      <c r="R106" s="85" t="str">
        <f>IF($P106="Main",CONCATENATE(J106,": ",G106),BY106)</f>
        <v>in Māori men age 45-64 yrs</v>
      </c>
      <c r="S106" s="85" t="s">
        <v>244</v>
      </c>
      <c r="T106" s="85" t="s">
        <v>235</v>
      </c>
      <c r="U106" s="88" t="s">
        <v>259</v>
      </c>
      <c r="V106" s="88"/>
      <c r="W106" s="88">
        <v>14</v>
      </c>
      <c r="X106" s="88" t="s">
        <v>199</v>
      </c>
      <c r="Y106" s="85"/>
      <c r="Z106" s="85"/>
      <c r="AA106" s="85"/>
      <c r="AB106" s="85"/>
      <c r="AC106" s="89">
        <v>0.03</v>
      </c>
      <c r="AD106" s="122"/>
      <c r="AE106" s="83"/>
      <c r="AF106" s="83"/>
      <c r="AG106" s="90">
        <v>700</v>
      </c>
      <c r="AH106" s="90"/>
      <c r="AI106" s="90"/>
      <c r="AJ106" s="91">
        <v>54800</v>
      </c>
      <c r="AK106" s="92">
        <f t="shared" si="12"/>
        <v>12.773722627737227</v>
      </c>
      <c r="AL106" s="92"/>
      <c r="AM106" s="92"/>
      <c r="AN106" s="93"/>
      <c r="AO106" s="94"/>
      <c r="AP106" s="94"/>
      <c r="AQ106" s="94"/>
      <c r="AR106" s="95">
        <v>-9700000</v>
      </c>
      <c r="AS106" s="95"/>
      <c r="AT106" s="95"/>
      <c r="AU106" s="95">
        <f t="shared" si="18"/>
        <v>-177007.29927007298</v>
      </c>
      <c r="AV106" s="95"/>
      <c r="AW106" s="95"/>
      <c r="AX106" s="95"/>
      <c r="AY106" s="95"/>
      <c r="AZ106" s="95"/>
      <c r="BA106" s="96"/>
      <c r="BB106" s="96"/>
      <c r="BC106" s="96"/>
      <c r="BD106" s="95"/>
      <c r="BE106" s="95"/>
      <c r="BF106" s="96"/>
      <c r="BG106" s="95"/>
      <c r="BH106" s="95"/>
      <c r="BI106" s="96"/>
      <c r="BJ106" s="97" t="s">
        <v>182</v>
      </c>
      <c r="BK106" s="98" t="str">
        <f t="shared" si="15"/>
        <v>Cost-saving</v>
      </c>
      <c r="BL106" s="98">
        <f t="shared" si="15"/>
        <v>0</v>
      </c>
      <c r="BM106" s="98">
        <f t="shared" si="15"/>
        <v>0</v>
      </c>
      <c r="BN106" s="99" t="s">
        <v>183</v>
      </c>
      <c r="BO106" s="100"/>
      <c r="BP106" s="100"/>
      <c r="BQ106" s="99" t="s">
        <v>183</v>
      </c>
      <c r="BR106" s="100"/>
      <c r="BS106" s="100"/>
      <c r="BT106" s="99" t="s">
        <v>183</v>
      </c>
      <c r="BU106" s="100"/>
      <c r="BV106" s="100"/>
      <c r="BW106" s="85"/>
      <c r="BX106" s="85" t="s">
        <v>264</v>
      </c>
      <c r="BY106" s="83" t="s">
        <v>264</v>
      </c>
      <c r="BZ106" s="102">
        <v>2016</v>
      </c>
      <c r="CA106" s="98"/>
      <c r="CB106" s="98"/>
      <c r="CC106" s="103">
        <f t="shared" si="16"/>
        <v>62</v>
      </c>
      <c r="CD106" s="98"/>
      <c r="CE106" s="98"/>
      <c r="CF106" s="98"/>
      <c r="CG106" s="105">
        <v>1</v>
      </c>
      <c r="CH106" s="105" t="str">
        <f>IF(CK106=0,"",IF(V106="Persistent",5,IF(V106="Once",1,IF(V106="One-off",1,"manual overwrite"))))</f>
        <v/>
      </c>
      <c r="CI106" s="105"/>
      <c r="CJ106" s="98">
        <f t="shared" si="17"/>
        <v>0</v>
      </c>
      <c r="CK106" s="98">
        <f>IF(CA106="C",0,IF(P106="Het",0,IF(SUM(AG106,AO106)=0,0,1)))</f>
        <v>0</v>
      </c>
      <c r="CL106" s="106" t="e">
        <f>IF(G106="AUS",VLOOKUP(H106,$CU$5:$CW$23,2),IF(G106="NZ",VLOOKUP(H106,$CU$5:$CW$23,3),"error"))*AU106</f>
        <v>#N/A</v>
      </c>
      <c r="CM106" s="107" t="e">
        <f>IF(G106="AUS",VLOOKUP(H106,$CU$5:$CW$23,2),IF(G106="NZ",VLOOKUP(H106,$CU$5:$CW$23,3),"error"))*AX106</f>
        <v>#N/A</v>
      </c>
      <c r="CN106" s="106" t="e">
        <f>IF(G106="AUS",VLOOKUP(H106,$CU$5:$CW$23,2),IF(G106="NZ",VLOOKUP(H106,$CU$5:$CW$23,3),"error"))*BK106</f>
        <v>#N/A</v>
      </c>
    </row>
    <row r="107" spans="1:92" s="108" customFormat="1" ht="167.25">
      <c r="A107" s="83" t="str">
        <f t="shared" si="14"/>
        <v>Tobacco</v>
      </c>
      <c r="B107" s="85" t="s">
        <v>170</v>
      </c>
      <c r="C107" s="86"/>
      <c r="D107" s="85" t="s">
        <v>321</v>
      </c>
      <c r="E107" s="85" t="s">
        <v>172</v>
      </c>
      <c r="F107" s="85" t="str">
        <f t="shared" si="11"/>
        <v>Tobacco; ; Prevention ; Taxes and Subsidies</v>
      </c>
      <c r="G107" s="85" t="s">
        <v>205</v>
      </c>
      <c r="H107" s="85">
        <v>2011</v>
      </c>
      <c r="I107" s="85" t="str">
        <f>CONCATENATE(A107,", ",G107,": ",J107)</f>
        <v>Tobacco, NZ: Ongoing tobacco tax increases (10% annually from 2011 to 2025)</v>
      </c>
      <c r="J107" s="87" t="s">
        <v>322</v>
      </c>
      <c r="K107" s="87" t="s">
        <v>230</v>
      </c>
      <c r="L107" s="115">
        <v>0</v>
      </c>
      <c r="M107" s="115">
        <v>1</v>
      </c>
      <c r="N107" s="115">
        <v>0</v>
      </c>
      <c r="O107" s="115">
        <v>26.5</v>
      </c>
      <c r="P107" s="85" t="s">
        <v>215</v>
      </c>
      <c r="Q107" s="85" t="str">
        <f>IF($P107="Main",J107,BX107)</f>
        <v>in Māori men age 65+ yrs</v>
      </c>
      <c r="R107" s="85" t="str">
        <f>IF($P107="Main",CONCATENATE(J107,": ",G107),BY107)</f>
        <v>in Māori men age 65+ yrs</v>
      </c>
      <c r="S107" s="85" t="s">
        <v>247</v>
      </c>
      <c r="T107" s="85" t="s">
        <v>235</v>
      </c>
      <c r="U107" s="88" t="s">
        <v>259</v>
      </c>
      <c r="V107" s="88"/>
      <c r="W107" s="88">
        <v>14</v>
      </c>
      <c r="X107" s="88" t="s">
        <v>199</v>
      </c>
      <c r="Y107" s="85"/>
      <c r="Z107" s="85"/>
      <c r="AA107" s="85"/>
      <c r="AB107" s="85"/>
      <c r="AC107" s="89">
        <v>0.03</v>
      </c>
      <c r="AD107" s="122"/>
      <c r="AE107" s="83"/>
      <c r="AF107" s="83"/>
      <c r="AG107" s="90">
        <v>19</v>
      </c>
      <c r="AH107" s="90"/>
      <c r="AI107" s="90"/>
      <c r="AJ107" s="91">
        <v>14600</v>
      </c>
      <c r="AK107" s="92">
        <f t="shared" si="12"/>
        <v>1.3013698630136987</v>
      </c>
      <c r="AL107" s="92"/>
      <c r="AM107" s="92"/>
      <c r="AN107" s="93"/>
      <c r="AO107" s="94"/>
      <c r="AP107" s="94"/>
      <c r="AQ107" s="94"/>
      <c r="AR107" s="95">
        <v>-160000</v>
      </c>
      <c r="AS107" s="95"/>
      <c r="AT107" s="95"/>
      <c r="AU107" s="95">
        <f t="shared" si="18"/>
        <v>-10958.904109589041</v>
      </c>
      <c r="AV107" s="95"/>
      <c r="AW107" s="95"/>
      <c r="AX107" s="95"/>
      <c r="AY107" s="95"/>
      <c r="AZ107" s="95"/>
      <c r="BA107" s="96"/>
      <c r="BB107" s="96"/>
      <c r="BC107" s="96"/>
      <c r="BD107" s="95"/>
      <c r="BE107" s="95"/>
      <c r="BF107" s="96"/>
      <c r="BG107" s="95"/>
      <c r="BH107" s="95"/>
      <c r="BI107" s="96"/>
      <c r="BJ107" s="97" t="s">
        <v>182</v>
      </c>
      <c r="BK107" s="98" t="str">
        <f t="shared" ref="BK107:BM138" si="19">IF($BJ107="Y",IF(BN107="",IF(BQ107="",BT107,BQ107),BN107),"")</f>
        <v>Cost-saving</v>
      </c>
      <c r="BL107" s="98">
        <f t="shared" si="19"/>
        <v>0</v>
      </c>
      <c r="BM107" s="98">
        <f t="shared" si="19"/>
        <v>0</v>
      </c>
      <c r="BN107" s="99" t="s">
        <v>183</v>
      </c>
      <c r="BO107" s="100"/>
      <c r="BP107" s="100"/>
      <c r="BQ107" s="99" t="s">
        <v>183</v>
      </c>
      <c r="BR107" s="100"/>
      <c r="BS107" s="100"/>
      <c r="BT107" s="99" t="s">
        <v>183</v>
      </c>
      <c r="BU107" s="100"/>
      <c r="BV107" s="100"/>
      <c r="BW107" s="85"/>
      <c r="BX107" s="85" t="s">
        <v>265</v>
      </c>
      <c r="BY107" s="83" t="s">
        <v>265</v>
      </c>
      <c r="BZ107" s="102">
        <v>2016</v>
      </c>
      <c r="CA107" s="98"/>
      <c r="CB107" s="98"/>
      <c r="CC107" s="103">
        <f t="shared" si="16"/>
        <v>62</v>
      </c>
      <c r="CD107" s="98"/>
      <c r="CE107" s="98"/>
      <c r="CF107" s="98"/>
      <c r="CG107" s="105">
        <v>1</v>
      </c>
      <c r="CH107" s="105" t="str">
        <f>IF(CK107=0,"",IF(V107="Persistent",5,IF(V107="Once",1,IF(V107="One-off",1,"manual overwrite"))))</f>
        <v/>
      </c>
      <c r="CI107" s="105"/>
      <c r="CJ107" s="98">
        <f t="shared" si="17"/>
        <v>0</v>
      </c>
      <c r="CK107" s="98">
        <f>IF(CA107="C",0,IF(P107="Het",0,IF(SUM(AG107,AO107)=0,0,1)))</f>
        <v>0</v>
      </c>
      <c r="CL107" s="106" t="e">
        <f>IF(G107="AUS",VLOOKUP(H107,$CU$5:$CW$23,2),IF(G107="NZ",VLOOKUP(H107,$CU$5:$CW$23,3),"error"))*AU107</f>
        <v>#N/A</v>
      </c>
      <c r="CM107" s="107" t="e">
        <f>IF(G107="AUS",VLOOKUP(H107,$CU$5:$CW$23,2),IF(G107="NZ",VLOOKUP(H107,$CU$5:$CW$23,3),"error"))*AX107</f>
        <v>#N/A</v>
      </c>
      <c r="CN107" s="106" t="e">
        <f>IF(G107="AUS",VLOOKUP(H107,$CU$5:$CW$23,2),IF(G107="NZ",VLOOKUP(H107,$CU$5:$CW$23,3),"error"))*BK107</f>
        <v>#N/A</v>
      </c>
    </row>
    <row r="108" spans="1:92" s="108" customFormat="1" ht="167.25" hidden="1">
      <c r="A108" s="83" t="str">
        <f t="shared" si="14"/>
        <v>Tobacco</v>
      </c>
      <c r="B108" s="85" t="s">
        <v>170</v>
      </c>
      <c r="C108" s="86"/>
      <c r="D108" s="85" t="s">
        <v>321</v>
      </c>
      <c r="E108" s="85" t="s">
        <v>172</v>
      </c>
      <c r="F108" s="85" t="str">
        <f t="shared" si="11"/>
        <v>Tobacco; ; Prevention ; Taxes and Subsidies</v>
      </c>
      <c r="G108" s="85" t="s">
        <v>205</v>
      </c>
      <c r="H108" s="85">
        <v>2011</v>
      </c>
      <c r="I108" s="85" t="str">
        <f>CONCATENATE(A108,", ",G108,": ",J108)</f>
        <v>Tobacco, NZ: Ongoing tobacco tax increases (10% annually from 2011 to 2025)</v>
      </c>
      <c r="J108" s="87" t="s">
        <v>322</v>
      </c>
      <c r="K108" s="87"/>
      <c r="L108" s="87"/>
      <c r="M108" s="87"/>
      <c r="N108" s="87"/>
      <c r="O108" s="87"/>
      <c r="P108" s="85" t="s">
        <v>215</v>
      </c>
      <c r="Q108" s="85" t="str">
        <f>IF($P108="Main",J108,BX108)</f>
        <v xml:space="preserve">in Māori women </v>
      </c>
      <c r="R108" s="85" t="str">
        <f>IF($P108="Main",CONCATENATE(J108,": ",G108),BY108)</f>
        <v xml:space="preserve">in Māori women </v>
      </c>
      <c r="S108" s="85"/>
      <c r="T108" s="85"/>
      <c r="U108" s="88"/>
      <c r="V108" s="88"/>
      <c r="W108" s="88"/>
      <c r="X108" s="88"/>
      <c r="Y108" s="85"/>
      <c r="Z108" s="85"/>
      <c r="AA108" s="85"/>
      <c r="AB108" s="85"/>
      <c r="AC108" s="89">
        <v>0.03</v>
      </c>
      <c r="AD108" s="122"/>
      <c r="AE108" s="83"/>
      <c r="AF108" s="83"/>
      <c r="AG108" s="90">
        <v>14000</v>
      </c>
      <c r="AH108" s="90"/>
      <c r="AI108" s="90"/>
      <c r="AJ108" s="91">
        <v>343300</v>
      </c>
      <c r="AK108" s="92">
        <f t="shared" si="12"/>
        <v>40.780658316341395</v>
      </c>
      <c r="AL108" s="92"/>
      <c r="AM108" s="92"/>
      <c r="AN108" s="93"/>
      <c r="AO108" s="94"/>
      <c r="AP108" s="94"/>
      <c r="AQ108" s="94"/>
      <c r="AR108" s="95">
        <v>-164000000</v>
      </c>
      <c r="AS108" s="95"/>
      <c r="AT108" s="95"/>
      <c r="AU108" s="95">
        <f t="shared" si="18"/>
        <v>-477716.28313428489</v>
      </c>
      <c r="AV108" s="95"/>
      <c r="AW108" s="95"/>
      <c r="AX108" s="95"/>
      <c r="AY108" s="95"/>
      <c r="AZ108" s="95"/>
      <c r="BA108" s="96"/>
      <c r="BB108" s="96"/>
      <c r="BC108" s="96"/>
      <c r="BD108" s="95"/>
      <c r="BE108" s="95"/>
      <c r="BF108" s="96"/>
      <c r="BG108" s="95"/>
      <c r="BH108" s="95"/>
      <c r="BI108" s="96"/>
      <c r="BJ108" s="97" t="s">
        <v>182</v>
      </c>
      <c r="BK108" s="98" t="str">
        <f t="shared" si="19"/>
        <v>Cost-saving</v>
      </c>
      <c r="BL108" s="98">
        <f t="shared" si="19"/>
        <v>0</v>
      </c>
      <c r="BM108" s="98">
        <f t="shared" si="19"/>
        <v>0</v>
      </c>
      <c r="BN108" s="99" t="s">
        <v>183</v>
      </c>
      <c r="BO108" s="100"/>
      <c r="BP108" s="100"/>
      <c r="BQ108" s="99" t="s">
        <v>183</v>
      </c>
      <c r="BR108" s="100"/>
      <c r="BS108" s="100"/>
      <c r="BT108" s="99" t="s">
        <v>183</v>
      </c>
      <c r="BU108" s="100"/>
      <c r="BV108" s="100"/>
      <c r="BW108" s="85"/>
      <c r="BX108" s="85" t="s">
        <v>266</v>
      </c>
      <c r="BY108" s="83" t="s">
        <v>266</v>
      </c>
      <c r="BZ108" s="102">
        <v>2016</v>
      </c>
      <c r="CA108" s="98"/>
      <c r="CB108" s="98"/>
      <c r="CC108" s="103">
        <f t="shared" si="16"/>
        <v>62</v>
      </c>
      <c r="CD108" s="98"/>
      <c r="CE108" s="98"/>
      <c r="CF108" s="98"/>
      <c r="CG108" s="105">
        <v>1</v>
      </c>
      <c r="CH108" s="105" t="str">
        <f>IF(CK108=0,"",IF(V108="Persistent",5,IF(V108="Once",1,IF(V108="One-off",1,"manual overwrite"))))</f>
        <v/>
      </c>
      <c r="CI108" s="105"/>
      <c r="CJ108" s="98">
        <f t="shared" si="17"/>
        <v>0</v>
      </c>
      <c r="CK108" s="98">
        <f>IF(CA108="C",0,IF(P108="Het",0,IF(SUM(AG108,AO108)=0,0,1)))</f>
        <v>0</v>
      </c>
      <c r="CL108" s="106" t="e">
        <f>IF(G108="AUS",VLOOKUP(H108,$CU$5:$CW$23,2),IF(G108="NZ",VLOOKUP(H108,$CU$5:$CW$23,3),"error"))*AU108</f>
        <v>#N/A</v>
      </c>
      <c r="CM108" s="107" t="e">
        <f>IF(G108="AUS",VLOOKUP(H108,$CU$5:$CW$23,2),IF(G108="NZ",VLOOKUP(H108,$CU$5:$CW$23,3),"error"))*AX108</f>
        <v>#N/A</v>
      </c>
      <c r="CN108" s="106" t="e">
        <f>IF(G108="AUS",VLOOKUP(H108,$CU$5:$CW$23,2),IF(G108="NZ",VLOOKUP(H108,$CU$5:$CW$23,3),"error"))*BK108</f>
        <v>#N/A</v>
      </c>
    </row>
    <row r="109" spans="1:92" s="108" customFormat="1" ht="167.25">
      <c r="A109" s="83" t="str">
        <f t="shared" si="14"/>
        <v>Tobacco</v>
      </c>
      <c r="B109" s="85" t="s">
        <v>170</v>
      </c>
      <c r="C109" s="86"/>
      <c r="D109" s="85" t="s">
        <v>321</v>
      </c>
      <c r="E109" s="85" t="s">
        <v>172</v>
      </c>
      <c r="F109" s="85" t="str">
        <f t="shared" si="11"/>
        <v>Tobacco; ; Prevention ; Taxes and Subsidies</v>
      </c>
      <c r="G109" s="85" t="s">
        <v>205</v>
      </c>
      <c r="H109" s="85">
        <v>2011</v>
      </c>
      <c r="I109" s="85" t="str">
        <f>CONCATENATE(A109,", ",G109,": ",J109)</f>
        <v>Tobacco, NZ: Ongoing tobacco tax increases (10% annually from 2011 to 2025)</v>
      </c>
      <c r="J109" s="87" t="s">
        <v>322</v>
      </c>
      <c r="K109" s="87" t="s">
        <v>230</v>
      </c>
      <c r="L109" s="115">
        <v>0</v>
      </c>
      <c r="M109" s="115">
        <v>6</v>
      </c>
      <c r="N109" s="115">
        <v>0</v>
      </c>
      <c r="O109" s="115">
        <v>28.5</v>
      </c>
      <c r="P109" s="85" t="s">
        <v>215</v>
      </c>
      <c r="Q109" s="85" t="str">
        <f>IF($P109="Main",J109,BX109)</f>
        <v>in Māori women age 0-14 yrs</v>
      </c>
      <c r="R109" s="85" t="str">
        <f>IF($P109="Main",CONCATENATE(J109,": ",G109),BY109)</f>
        <v>in Māori women age 0-14 yrs</v>
      </c>
      <c r="S109" s="85" t="s">
        <v>234</v>
      </c>
      <c r="T109" s="85" t="s">
        <v>250</v>
      </c>
      <c r="U109" s="88" t="s">
        <v>259</v>
      </c>
      <c r="V109" s="88"/>
      <c r="W109" s="88">
        <v>14</v>
      </c>
      <c r="X109" s="88" t="s">
        <v>199</v>
      </c>
      <c r="Y109" s="85"/>
      <c r="Z109" s="85"/>
      <c r="AA109" s="85"/>
      <c r="AB109" s="85"/>
      <c r="AC109" s="89">
        <v>0.03</v>
      </c>
      <c r="AD109" s="122"/>
      <c r="AE109" s="83"/>
      <c r="AF109" s="83"/>
      <c r="AG109" s="90">
        <v>5690</v>
      </c>
      <c r="AH109" s="90"/>
      <c r="AI109" s="90"/>
      <c r="AJ109" s="91">
        <v>112600</v>
      </c>
      <c r="AK109" s="92">
        <f t="shared" si="12"/>
        <v>50.53285968028419</v>
      </c>
      <c r="AL109" s="92"/>
      <c r="AM109" s="92"/>
      <c r="AN109" s="93"/>
      <c r="AO109" s="94"/>
      <c r="AP109" s="94"/>
      <c r="AQ109" s="94"/>
      <c r="AR109" s="95">
        <v>-76000000</v>
      </c>
      <c r="AS109" s="95"/>
      <c r="AT109" s="95"/>
      <c r="AU109" s="95">
        <f t="shared" si="18"/>
        <v>-674955.59502664302</v>
      </c>
      <c r="AV109" s="95"/>
      <c r="AW109" s="95"/>
      <c r="AX109" s="95"/>
      <c r="AY109" s="95"/>
      <c r="AZ109" s="95"/>
      <c r="BA109" s="96"/>
      <c r="BB109" s="96"/>
      <c r="BC109" s="96"/>
      <c r="BD109" s="95"/>
      <c r="BE109" s="95"/>
      <c r="BF109" s="96"/>
      <c r="BG109" s="95"/>
      <c r="BH109" s="95"/>
      <c r="BI109" s="96"/>
      <c r="BJ109" s="97" t="s">
        <v>182</v>
      </c>
      <c r="BK109" s="98" t="str">
        <f t="shared" si="19"/>
        <v>Cost-saving</v>
      </c>
      <c r="BL109" s="98">
        <f t="shared" si="19"/>
        <v>0</v>
      </c>
      <c r="BM109" s="98">
        <f t="shared" si="19"/>
        <v>0</v>
      </c>
      <c r="BN109" s="99" t="s">
        <v>183</v>
      </c>
      <c r="BO109" s="100"/>
      <c r="BP109" s="100"/>
      <c r="BQ109" s="99" t="s">
        <v>183</v>
      </c>
      <c r="BR109" s="100"/>
      <c r="BS109" s="100"/>
      <c r="BT109" s="99" t="s">
        <v>183</v>
      </c>
      <c r="BU109" s="100"/>
      <c r="BV109" s="100"/>
      <c r="BW109" s="85"/>
      <c r="BX109" s="85" t="s">
        <v>335</v>
      </c>
      <c r="BY109" s="83" t="s">
        <v>335</v>
      </c>
      <c r="BZ109" s="102">
        <v>2016</v>
      </c>
      <c r="CA109" s="98"/>
      <c r="CB109" s="98"/>
      <c r="CC109" s="103">
        <f t="shared" si="16"/>
        <v>62</v>
      </c>
      <c r="CD109" s="98"/>
      <c r="CE109" s="98"/>
      <c r="CF109" s="98"/>
      <c r="CG109" s="105">
        <v>1</v>
      </c>
      <c r="CH109" s="105" t="str">
        <f>IF(CK109=0,"",IF(V109="Persistent",5,IF(V109="Once",1,IF(V109="One-off",1,"manual overwrite"))))</f>
        <v/>
      </c>
      <c r="CI109" s="105"/>
      <c r="CJ109" s="98">
        <f t="shared" si="17"/>
        <v>0</v>
      </c>
      <c r="CK109" s="98">
        <f>IF(CA109="C",0,IF(P109="Het",0,IF(SUM(AG109,AO109)=0,0,1)))</f>
        <v>0</v>
      </c>
      <c r="CL109" s="106" t="e">
        <f>IF(G109="AUS",VLOOKUP(H109,$CU$5:$CW$23,2),IF(G109="NZ",VLOOKUP(H109,$CU$5:$CW$23,3),"error"))*AU109</f>
        <v>#N/A</v>
      </c>
      <c r="CM109" s="107" t="e">
        <f>IF(G109="AUS",VLOOKUP(H109,$CU$5:$CW$23,2),IF(G109="NZ",VLOOKUP(H109,$CU$5:$CW$23,3),"error"))*AX109</f>
        <v>#N/A</v>
      </c>
      <c r="CN109" s="106" t="e">
        <f>IF(G109="AUS",VLOOKUP(H109,$CU$5:$CW$23,2),IF(G109="NZ",VLOOKUP(H109,$CU$5:$CW$23,3),"error"))*BK109</f>
        <v>#N/A</v>
      </c>
    </row>
    <row r="110" spans="1:92" s="108" customFormat="1" ht="167.25">
      <c r="A110" s="83" t="str">
        <f t="shared" si="14"/>
        <v>Tobacco</v>
      </c>
      <c r="B110" s="85" t="s">
        <v>170</v>
      </c>
      <c r="C110" s="86"/>
      <c r="D110" s="85" t="s">
        <v>321</v>
      </c>
      <c r="E110" s="85" t="s">
        <v>172</v>
      </c>
      <c r="F110" s="85" t="str">
        <f t="shared" si="11"/>
        <v>Tobacco; ; Prevention ; Taxes and Subsidies</v>
      </c>
      <c r="G110" s="85" t="s">
        <v>205</v>
      </c>
      <c r="H110" s="85">
        <v>2011</v>
      </c>
      <c r="I110" s="85" t="str">
        <f>CONCATENATE(A110,", ",G110,": ",J110)</f>
        <v>Tobacco, NZ: Ongoing tobacco tax increases (10% annually from 2011 to 2025)</v>
      </c>
      <c r="J110" s="87" t="s">
        <v>322</v>
      </c>
      <c r="K110" s="87" t="s">
        <v>230</v>
      </c>
      <c r="L110" s="115">
        <v>0</v>
      </c>
      <c r="M110" s="115">
        <v>6</v>
      </c>
      <c r="N110" s="115">
        <v>0</v>
      </c>
      <c r="O110" s="115">
        <v>28.5</v>
      </c>
      <c r="P110" s="85" t="s">
        <v>215</v>
      </c>
      <c r="Q110" s="85" t="str">
        <f>IF($P110="Main",J110,BX110)</f>
        <v>in Māori women age 15-24 yrs</v>
      </c>
      <c r="R110" s="85" t="str">
        <f>IF($P110="Main",CONCATENATE(J110,": ",G110),BY110)</f>
        <v>in Māori women age 15-24 yrs</v>
      </c>
      <c r="S110" s="85" t="s">
        <v>239</v>
      </c>
      <c r="T110" s="85" t="s">
        <v>250</v>
      </c>
      <c r="U110" s="88" t="s">
        <v>259</v>
      </c>
      <c r="V110" s="88"/>
      <c r="W110" s="88">
        <v>14</v>
      </c>
      <c r="X110" s="88" t="s">
        <v>199</v>
      </c>
      <c r="Y110" s="85"/>
      <c r="Z110" s="85"/>
      <c r="AA110" s="85"/>
      <c r="AB110" s="85"/>
      <c r="AC110" s="89">
        <v>0.03</v>
      </c>
      <c r="AD110" s="122"/>
      <c r="AE110" s="83"/>
      <c r="AF110" s="83"/>
      <c r="AG110" s="90">
        <v>3500</v>
      </c>
      <c r="AH110" s="90"/>
      <c r="AI110" s="90"/>
      <c r="AJ110" s="91">
        <v>62700</v>
      </c>
      <c r="AK110" s="92">
        <f t="shared" si="12"/>
        <v>55.82137161084529</v>
      </c>
      <c r="AL110" s="92"/>
      <c r="AM110" s="92"/>
      <c r="AN110" s="93"/>
      <c r="AO110" s="94"/>
      <c r="AP110" s="94"/>
      <c r="AQ110" s="94"/>
      <c r="AR110" s="95">
        <v>-44000000</v>
      </c>
      <c r="AS110" s="95"/>
      <c r="AT110" s="95"/>
      <c r="AU110" s="95">
        <f t="shared" si="18"/>
        <v>-701754.38596491225</v>
      </c>
      <c r="AV110" s="95"/>
      <c r="AW110" s="95"/>
      <c r="AX110" s="95"/>
      <c r="AY110" s="95"/>
      <c r="AZ110" s="95"/>
      <c r="BA110" s="96"/>
      <c r="BB110" s="96"/>
      <c r="BC110" s="96"/>
      <c r="BD110" s="95"/>
      <c r="BE110" s="95"/>
      <c r="BF110" s="96"/>
      <c r="BG110" s="95"/>
      <c r="BH110" s="95"/>
      <c r="BI110" s="96"/>
      <c r="BJ110" s="97" t="s">
        <v>182</v>
      </c>
      <c r="BK110" s="98" t="str">
        <f t="shared" si="19"/>
        <v>Cost-saving</v>
      </c>
      <c r="BL110" s="98">
        <f t="shared" si="19"/>
        <v>0</v>
      </c>
      <c r="BM110" s="98">
        <f t="shared" si="19"/>
        <v>0</v>
      </c>
      <c r="BN110" s="99" t="s">
        <v>183</v>
      </c>
      <c r="BO110" s="100"/>
      <c r="BP110" s="100"/>
      <c r="BQ110" s="99" t="s">
        <v>183</v>
      </c>
      <c r="BR110" s="100"/>
      <c r="BS110" s="100"/>
      <c r="BT110" s="99" t="s">
        <v>183</v>
      </c>
      <c r="BU110" s="100"/>
      <c r="BV110" s="100"/>
      <c r="BW110" s="85"/>
      <c r="BX110" s="85" t="s">
        <v>336</v>
      </c>
      <c r="BY110" s="83" t="s">
        <v>336</v>
      </c>
      <c r="BZ110" s="102">
        <v>2016</v>
      </c>
      <c r="CA110" s="98"/>
      <c r="CB110" s="98"/>
      <c r="CC110" s="103">
        <f t="shared" si="16"/>
        <v>62</v>
      </c>
      <c r="CD110" s="98"/>
      <c r="CE110" s="98"/>
      <c r="CF110" s="98"/>
      <c r="CG110" s="105">
        <v>1</v>
      </c>
      <c r="CH110" s="105" t="str">
        <f>IF(CK110=0,"",IF(V110="Persistent",5,IF(V110="Once",1,IF(V110="One-off",1,"manual overwrite"))))</f>
        <v/>
      </c>
      <c r="CI110" s="105"/>
      <c r="CJ110" s="98">
        <f t="shared" si="17"/>
        <v>0</v>
      </c>
      <c r="CK110" s="98">
        <f>IF(CA110="C",0,IF(P110="Het",0,IF(SUM(AG110,AO110)=0,0,1)))</f>
        <v>0</v>
      </c>
      <c r="CL110" s="106" t="e">
        <f>IF(G110="AUS",VLOOKUP(H110,$CU$5:$CW$23,2),IF(G110="NZ",VLOOKUP(H110,$CU$5:$CW$23,3),"error"))*AU110</f>
        <v>#N/A</v>
      </c>
      <c r="CM110" s="107" t="e">
        <f>IF(G110="AUS",VLOOKUP(H110,$CU$5:$CW$23,2),IF(G110="NZ",VLOOKUP(H110,$CU$5:$CW$23,3),"error"))*AX110</f>
        <v>#N/A</v>
      </c>
      <c r="CN110" s="106" t="e">
        <f>IF(G110="AUS",VLOOKUP(H110,$CU$5:$CW$23,2),IF(G110="NZ",VLOOKUP(H110,$CU$5:$CW$23,3),"error"))*BK110</f>
        <v>#N/A</v>
      </c>
    </row>
    <row r="111" spans="1:92" s="108" customFormat="1" ht="167.25">
      <c r="A111" s="83" t="str">
        <f t="shared" si="14"/>
        <v>Tobacco</v>
      </c>
      <c r="B111" s="85" t="s">
        <v>170</v>
      </c>
      <c r="C111" s="86"/>
      <c r="D111" s="85" t="s">
        <v>321</v>
      </c>
      <c r="E111" s="85" t="s">
        <v>172</v>
      </c>
      <c r="F111" s="85" t="str">
        <f t="shared" si="11"/>
        <v>Tobacco; ; Prevention ; Taxes and Subsidies</v>
      </c>
      <c r="G111" s="85" t="s">
        <v>205</v>
      </c>
      <c r="H111" s="85">
        <v>2011</v>
      </c>
      <c r="I111" s="85" t="str">
        <f>CONCATENATE(A111,", ",G111,": ",J111)</f>
        <v>Tobacco, NZ: Ongoing tobacco tax increases (10% annually from 2011 to 2025)</v>
      </c>
      <c r="J111" s="87" t="s">
        <v>322</v>
      </c>
      <c r="K111" s="87" t="s">
        <v>230</v>
      </c>
      <c r="L111" s="115">
        <v>0</v>
      </c>
      <c r="M111" s="115">
        <v>6</v>
      </c>
      <c r="N111" s="115">
        <v>0</v>
      </c>
      <c r="O111" s="115">
        <v>28.5</v>
      </c>
      <c r="P111" s="85" t="s">
        <v>215</v>
      </c>
      <c r="Q111" s="85" t="str">
        <f>IF($P111="Main",J111,BX111)</f>
        <v>in Māori women age 25-44 yrs</v>
      </c>
      <c r="R111" s="85" t="str">
        <f>IF($P111="Main",CONCATENATE(J111,": ",G111),BY111)</f>
        <v>in Māori women age 25-44 yrs</v>
      </c>
      <c r="S111" s="85" t="s">
        <v>241</v>
      </c>
      <c r="T111" s="85" t="s">
        <v>250</v>
      </c>
      <c r="U111" s="88" t="s">
        <v>259</v>
      </c>
      <c r="V111" s="88"/>
      <c r="W111" s="88">
        <v>14</v>
      </c>
      <c r="X111" s="88" t="s">
        <v>199</v>
      </c>
      <c r="Y111" s="85"/>
      <c r="Z111" s="85"/>
      <c r="AA111" s="85"/>
      <c r="AB111" s="85"/>
      <c r="AC111" s="89">
        <v>0.03</v>
      </c>
      <c r="AD111" s="122"/>
      <c r="AE111" s="83"/>
      <c r="AF111" s="83"/>
      <c r="AG111" s="90">
        <v>3520</v>
      </c>
      <c r="AH111" s="90"/>
      <c r="AI111" s="90"/>
      <c r="AJ111" s="91">
        <v>89100</v>
      </c>
      <c r="AK111" s="92">
        <f t="shared" si="12"/>
        <v>39.506172839506171</v>
      </c>
      <c r="AL111" s="92"/>
      <c r="AM111" s="92"/>
      <c r="AN111" s="93"/>
      <c r="AO111" s="94"/>
      <c r="AP111" s="94"/>
      <c r="AQ111" s="94"/>
      <c r="AR111" s="95">
        <v>-36000000</v>
      </c>
      <c r="AS111" s="95"/>
      <c r="AT111" s="95"/>
      <c r="AU111" s="95">
        <f t="shared" si="18"/>
        <v>-404040.40404040401</v>
      </c>
      <c r="AV111" s="95"/>
      <c r="AW111" s="95"/>
      <c r="AX111" s="95"/>
      <c r="AY111" s="95"/>
      <c r="AZ111" s="95"/>
      <c r="BA111" s="96"/>
      <c r="BB111" s="96"/>
      <c r="BC111" s="96"/>
      <c r="BD111" s="95"/>
      <c r="BE111" s="95"/>
      <c r="BF111" s="96"/>
      <c r="BG111" s="95"/>
      <c r="BH111" s="95"/>
      <c r="BI111" s="96"/>
      <c r="BJ111" s="97" t="s">
        <v>182</v>
      </c>
      <c r="BK111" s="98" t="str">
        <f t="shared" si="19"/>
        <v>Cost-saving</v>
      </c>
      <c r="BL111" s="98">
        <f t="shared" si="19"/>
        <v>0</v>
      </c>
      <c r="BM111" s="98">
        <f t="shared" si="19"/>
        <v>0</v>
      </c>
      <c r="BN111" s="99" t="s">
        <v>183</v>
      </c>
      <c r="BO111" s="100"/>
      <c r="BP111" s="100"/>
      <c r="BQ111" s="99" t="s">
        <v>183</v>
      </c>
      <c r="BR111" s="100"/>
      <c r="BS111" s="100"/>
      <c r="BT111" s="99" t="s">
        <v>183</v>
      </c>
      <c r="BU111" s="100"/>
      <c r="BV111" s="100"/>
      <c r="BW111" s="85"/>
      <c r="BX111" s="85" t="s">
        <v>337</v>
      </c>
      <c r="BY111" s="83" t="s">
        <v>337</v>
      </c>
      <c r="BZ111" s="102">
        <v>2016</v>
      </c>
      <c r="CA111" s="98"/>
      <c r="CB111" s="98"/>
      <c r="CC111" s="103">
        <f t="shared" si="16"/>
        <v>62</v>
      </c>
      <c r="CD111" s="98"/>
      <c r="CE111" s="98"/>
      <c r="CF111" s="98"/>
      <c r="CG111" s="105">
        <v>1</v>
      </c>
      <c r="CH111" s="105" t="str">
        <f>IF(CK111=0,"",IF(V111="Persistent",5,IF(V111="Once",1,IF(V111="One-off",1,"manual overwrite"))))</f>
        <v/>
      </c>
      <c r="CI111" s="105"/>
      <c r="CJ111" s="98">
        <f t="shared" si="17"/>
        <v>0</v>
      </c>
      <c r="CK111" s="98">
        <f>IF(CA111="C",0,IF(P111="Het",0,IF(SUM(AG111,AO111)=0,0,1)))</f>
        <v>0</v>
      </c>
      <c r="CL111" s="106" t="e">
        <f>IF(G111="AUS",VLOOKUP(H111,$CU$5:$CW$23,2),IF(G111="NZ",VLOOKUP(H111,$CU$5:$CW$23,3),"error"))*AU111</f>
        <v>#N/A</v>
      </c>
      <c r="CM111" s="107" t="e">
        <f>IF(G111="AUS",VLOOKUP(H111,$CU$5:$CW$23,2),IF(G111="NZ",VLOOKUP(H111,$CU$5:$CW$23,3),"error"))*AX111</f>
        <v>#N/A</v>
      </c>
      <c r="CN111" s="106" t="e">
        <f>IF(G111="AUS",VLOOKUP(H111,$CU$5:$CW$23,2),IF(G111="NZ",VLOOKUP(H111,$CU$5:$CW$23,3),"error"))*BK111</f>
        <v>#N/A</v>
      </c>
    </row>
    <row r="112" spans="1:92" s="108" customFormat="1" ht="167.25">
      <c r="A112" s="83" t="str">
        <f t="shared" si="14"/>
        <v>Tobacco</v>
      </c>
      <c r="B112" s="85" t="s">
        <v>170</v>
      </c>
      <c r="C112" s="86"/>
      <c r="D112" s="85" t="s">
        <v>321</v>
      </c>
      <c r="E112" s="85" t="s">
        <v>172</v>
      </c>
      <c r="F112" s="85" t="str">
        <f t="shared" si="11"/>
        <v>Tobacco; ; Prevention ; Taxes and Subsidies</v>
      </c>
      <c r="G112" s="85" t="s">
        <v>205</v>
      </c>
      <c r="H112" s="85">
        <v>2011</v>
      </c>
      <c r="I112" s="85" t="str">
        <f>CONCATENATE(A112,", ",G112,": ",J112)</f>
        <v>Tobacco, NZ: Ongoing tobacco tax increases (10% annually from 2011 to 2025)</v>
      </c>
      <c r="J112" s="87" t="s">
        <v>322</v>
      </c>
      <c r="K112" s="87" t="s">
        <v>230</v>
      </c>
      <c r="L112" s="115">
        <v>0</v>
      </c>
      <c r="M112" s="115">
        <v>2</v>
      </c>
      <c r="N112" s="115">
        <v>0</v>
      </c>
      <c r="O112" s="115">
        <v>28.5</v>
      </c>
      <c r="P112" s="85" t="s">
        <v>215</v>
      </c>
      <c r="Q112" s="85" t="str">
        <f>IF($P112="Main",J112,BX112)</f>
        <v>in Māori women age 45-64 yrs</v>
      </c>
      <c r="R112" s="85" t="str">
        <f>IF($P112="Main",CONCATENATE(J112,": ",G112),BY112)</f>
        <v>in Māori women age 45-64 yrs</v>
      </c>
      <c r="S112" s="85" t="s">
        <v>244</v>
      </c>
      <c r="T112" s="85" t="s">
        <v>250</v>
      </c>
      <c r="U112" s="88" t="s">
        <v>259</v>
      </c>
      <c r="V112" s="88"/>
      <c r="W112" s="88">
        <v>14</v>
      </c>
      <c r="X112" s="88" t="s">
        <v>199</v>
      </c>
      <c r="Y112" s="85"/>
      <c r="Z112" s="85"/>
      <c r="AA112" s="85"/>
      <c r="AB112" s="85"/>
      <c r="AC112" s="89">
        <v>0.03</v>
      </c>
      <c r="AD112" s="122"/>
      <c r="AE112" s="83"/>
      <c r="AF112" s="83"/>
      <c r="AG112" s="90">
        <v>1200</v>
      </c>
      <c r="AH112" s="90"/>
      <c r="AI112" s="90"/>
      <c r="AJ112" s="91">
        <v>61400</v>
      </c>
      <c r="AK112" s="92">
        <f t="shared" si="12"/>
        <v>19.543973941368076</v>
      </c>
      <c r="AL112" s="92"/>
      <c r="AM112" s="92"/>
      <c r="AN112" s="93"/>
      <c r="AO112" s="94"/>
      <c r="AP112" s="94"/>
      <c r="AQ112" s="94"/>
      <c r="AR112" s="95">
        <v>-8570000</v>
      </c>
      <c r="AS112" s="95"/>
      <c r="AT112" s="95"/>
      <c r="AU112" s="95">
        <f t="shared" si="18"/>
        <v>-139576.54723127035</v>
      </c>
      <c r="AV112" s="95"/>
      <c r="AW112" s="95"/>
      <c r="AX112" s="95"/>
      <c r="AY112" s="95"/>
      <c r="AZ112" s="95"/>
      <c r="BA112" s="96"/>
      <c r="BB112" s="96"/>
      <c r="BC112" s="96"/>
      <c r="BD112" s="95"/>
      <c r="BE112" s="95"/>
      <c r="BF112" s="96"/>
      <c r="BG112" s="95"/>
      <c r="BH112" s="95"/>
      <c r="BI112" s="96"/>
      <c r="BJ112" s="97" t="s">
        <v>182</v>
      </c>
      <c r="BK112" s="98" t="str">
        <f t="shared" si="19"/>
        <v>Cost-saving</v>
      </c>
      <c r="BL112" s="98">
        <f t="shared" si="19"/>
        <v>0</v>
      </c>
      <c r="BM112" s="98">
        <f t="shared" si="19"/>
        <v>0</v>
      </c>
      <c r="BN112" s="99" t="s">
        <v>183</v>
      </c>
      <c r="BO112" s="100"/>
      <c r="BP112" s="100"/>
      <c r="BQ112" s="99" t="s">
        <v>183</v>
      </c>
      <c r="BR112" s="100"/>
      <c r="BS112" s="100"/>
      <c r="BT112" s="99" t="s">
        <v>183</v>
      </c>
      <c r="BU112" s="100"/>
      <c r="BV112" s="100"/>
      <c r="BW112" s="85"/>
      <c r="BX112" s="85" t="s">
        <v>338</v>
      </c>
      <c r="BY112" s="83" t="s">
        <v>338</v>
      </c>
      <c r="BZ112" s="102">
        <v>2016</v>
      </c>
      <c r="CA112" s="98"/>
      <c r="CB112" s="98"/>
      <c r="CC112" s="103">
        <f t="shared" si="16"/>
        <v>62</v>
      </c>
      <c r="CD112" s="98"/>
      <c r="CE112" s="98"/>
      <c r="CF112" s="98"/>
      <c r="CG112" s="105">
        <v>1</v>
      </c>
      <c r="CH112" s="105" t="str">
        <f>IF(CK112=0,"",IF(V112="Persistent",5,IF(V112="Once",1,IF(V112="One-off",1,"manual overwrite"))))</f>
        <v/>
      </c>
      <c r="CI112" s="105"/>
      <c r="CJ112" s="98">
        <f t="shared" si="17"/>
        <v>0</v>
      </c>
      <c r="CK112" s="98">
        <f>IF(CA112="C",0,IF(P112="Het",0,IF(SUM(AG112,AO112)=0,0,1)))</f>
        <v>0</v>
      </c>
      <c r="CL112" s="106" t="e">
        <f>IF(G112="AUS",VLOOKUP(H112,$CU$5:$CW$23,2),IF(G112="NZ",VLOOKUP(H112,$CU$5:$CW$23,3),"error"))*AU112</f>
        <v>#N/A</v>
      </c>
      <c r="CM112" s="107" t="e">
        <f>IF(G112="AUS",VLOOKUP(H112,$CU$5:$CW$23,2),IF(G112="NZ",VLOOKUP(H112,$CU$5:$CW$23,3),"error"))*AX112</f>
        <v>#N/A</v>
      </c>
      <c r="CN112" s="106" t="e">
        <f>IF(G112="AUS",VLOOKUP(H112,$CU$5:$CW$23,2),IF(G112="NZ",VLOOKUP(H112,$CU$5:$CW$23,3),"error"))*BK112</f>
        <v>#N/A</v>
      </c>
    </row>
    <row r="113" spans="1:92" s="108" customFormat="1" ht="167.25">
      <c r="A113" s="83" t="str">
        <f t="shared" si="14"/>
        <v>Tobacco</v>
      </c>
      <c r="B113" s="85" t="s">
        <v>170</v>
      </c>
      <c r="C113" s="86"/>
      <c r="D113" s="85" t="s">
        <v>321</v>
      </c>
      <c r="E113" s="85" t="s">
        <v>172</v>
      </c>
      <c r="F113" s="85" t="str">
        <f t="shared" si="11"/>
        <v>Tobacco; ; Prevention ; Taxes and Subsidies</v>
      </c>
      <c r="G113" s="85" t="s">
        <v>205</v>
      </c>
      <c r="H113" s="85">
        <v>2011</v>
      </c>
      <c r="I113" s="85" t="str">
        <f>CONCATENATE(A113,", ",G113,": ",J113)</f>
        <v>Tobacco, NZ: Ongoing tobacco tax increases (10% annually from 2011 to 2025)</v>
      </c>
      <c r="J113" s="87" t="s">
        <v>322</v>
      </c>
      <c r="K113" s="87" t="s">
        <v>230</v>
      </c>
      <c r="L113" s="115">
        <v>0</v>
      </c>
      <c r="M113" s="115">
        <v>1</v>
      </c>
      <c r="N113" s="115">
        <v>0</v>
      </c>
      <c r="O113" s="115">
        <v>28.5</v>
      </c>
      <c r="P113" s="85" t="s">
        <v>215</v>
      </c>
      <c r="Q113" s="85" t="str">
        <f>IF($P113="Main",J113,BX113)</f>
        <v xml:space="preserve">in Māori women age 65+ yrs </v>
      </c>
      <c r="R113" s="85" t="str">
        <f>IF($P113="Main",CONCATENATE(J113,": ",G113),BY113)</f>
        <v xml:space="preserve">in Māori women age 65+ yrs </v>
      </c>
      <c r="S113" s="85" t="s">
        <v>247</v>
      </c>
      <c r="T113" s="85" t="s">
        <v>250</v>
      </c>
      <c r="U113" s="88" t="s">
        <v>259</v>
      </c>
      <c r="V113" s="88"/>
      <c r="W113" s="88">
        <v>14</v>
      </c>
      <c r="X113" s="88" t="s">
        <v>199</v>
      </c>
      <c r="Y113" s="85"/>
      <c r="Z113" s="85"/>
      <c r="AA113" s="85"/>
      <c r="AB113" s="85"/>
      <c r="AC113" s="89">
        <v>0.03</v>
      </c>
      <c r="AD113" s="122"/>
      <c r="AE113" s="83"/>
      <c r="AF113" s="83"/>
      <c r="AG113" s="90">
        <v>43</v>
      </c>
      <c r="AH113" s="90"/>
      <c r="AI113" s="90"/>
      <c r="AJ113" s="91">
        <v>17500</v>
      </c>
      <c r="AK113" s="92">
        <f t="shared" si="12"/>
        <v>2.4571428571428569</v>
      </c>
      <c r="AL113" s="92"/>
      <c r="AM113" s="92"/>
      <c r="AN113" s="93"/>
      <c r="AO113" s="94"/>
      <c r="AP113" s="94"/>
      <c r="AQ113" s="94"/>
      <c r="AR113" s="95">
        <v>-170000</v>
      </c>
      <c r="AS113" s="95"/>
      <c r="AT113" s="95"/>
      <c r="AU113" s="95">
        <f t="shared" si="18"/>
        <v>-9714.2857142857138</v>
      </c>
      <c r="AV113" s="95"/>
      <c r="AW113" s="95"/>
      <c r="AX113" s="95"/>
      <c r="AY113" s="95"/>
      <c r="AZ113" s="95"/>
      <c r="BA113" s="96"/>
      <c r="BB113" s="96"/>
      <c r="BC113" s="96"/>
      <c r="BD113" s="95"/>
      <c r="BE113" s="95"/>
      <c r="BF113" s="96"/>
      <c r="BG113" s="95"/>
      <c r="BH113" s="95"/>
      <c r="BI113" s="96"/>
      <c r="BJ113" s="97" t="s">
        <v>182</v>
      </c>
      <c r="BK113" s="98" t="str">
        <f t="shared" si="19"/>
        <v>Cost-saving</v>
      </c>
      <c r="BL113" s="98">
        <f t="shared" si="19"/>
        <v>0</v>
      </c>
      <c r="BM113" s="98">
        <f t="shared" si="19"/>
        <v>0</v>
      </c>
      <c r="BN113" s="99" t="s">
        <v>183</v>
      </c>
      <c r="BO113" s="100"/>
      <c r="BP113" s="100"/>
      <c r="BQ113" s="99" t="s">
        <v>183</v>
      </c>
      <c r="BR113" s="100"/>
      <c r="BS113" s="100"/>
      <c r="BT113" s="99" t="s">
        <v>183</v>
      </c>
      <c r="BU113" s="100"/>
      <c r="BV113" s="100"/>
      <c r="BW113" s="85"/>
      <c r="BX113" s="85" t="s">
        <v>271</v>
      </c>
      <c r="BY113" s="83" t="s">
        <v>271</v>
      </c>
      <c r="BZ113" s="102">
        <v>2016</v>
      </c>
      <c r="CA113" s="98"/>
      <c r="CB113" s="98"/>
      <c r="CC113" s="103">
        <f t="shared" si="16"/>
        <v>62</v>
      </c>
      <c r="CD113" s="98"/>
      <c r="CE113" s="98"/>
      <c r="CF113" s="98"/>
      <c r="CG113" s="105">
        <v>1</v>
      </c>
      <c r="CH113" s="105" t="str">
        <f>IF(CK113=0,"",IF(V113="Persistent",5,IF(V113="Once",1,IF(V113="One-off",1,"manual overwrite"))))</f>
        <v/>
      </c>
      <c r="CI113" s="105"/>
      <c r="CJ113" s="98">
        <f t="shared" si="17"/>
        <v>0</v>
      </c>
      <c r="CK113" s="98">
        <f>IF(CA113="C",0,IF(P113="Het",0,IF(SUM(AG113,AO113)=0,0,1)))</f>
        <v>0</v>
      </c>
      <c r="CL113" s="106" t="e">
        <f>IF(G113="AUS",VLOOKUP(H113,$CU$5:$CW$23,2),IF(G113="NZ",VLOOKUP(H113,$CU$5:$CW$23,3),"error"))*AU113</f>
        <v>#N/A</v>
      </c>
      <c r="CM113" s="107" t="e">
        <f>IF(G113="AUS",VLOOKUP(H113,$CU$5:$CW$23,2),IF(G113="NZ",VLOOKUP(H113,$CU$5:$CW$23,3),"error"))*AX113</f>
        <v>#N/A</v>
      </c>
      <c r="CN113" s="106" t="e">
        <f>IF(G113="AUS",VLOOKUP(H113,$CU$5:$CW$23,2),IF(G113="NZ",VLOOKUP(H113,$CU$5:$CW$23,3),"error"))*BK113</f>
        <v>#N/A</v>
      </c>
    </row>
    <row r="114" spans="1:92" s="108" customFormat="1" ht="167.25" hidden="1">
      <c r="A114" s="83" t="str">
        <f t="shared" si="14"/>
        <v>Tobacco</v>
      </c>
      <c r="B114" s="85" t="s">
        <v>170</v>
      </c>
      <c r="C114" s="86"/>
      <c r="D114" s="85" t="s">
        <v>321</v>
      </c>
      <c r="E114" s="85" t="s">
        <v>172</v>
      </c>
      <c r="F114" s="85" t="str">
        <f t="shared" si="11"/>
        <v>Tobacco; ; Prevention ; Taxes and Subsidies</v>
      </c>
      <c r="G114" s="85" t="s">
        <v>205</v>
      </c>
      <c r="H114" s="85">
        <v>2011</v>
      </c>
      <c r="I114" s="85" t="str">
        <f>CONCATENATE(A114,", ",G114,": ",J114)</f>
        <v>Tobacco, NZ: Ongoing tobacco tax increases (10% annually from 2011 to 2031)</v>
      </c>
      <c r="J114" s="87" t="s">
        <v>339</v>
      </c>
      <c r="K114" s="87" t="s">
        <v>230</v>
      </c>
      <c r="L114" s="115">
        <v>0</v>
      </c>
      <c r="M114" s="115"/>
      <c r="N114" s="115">
        <v>0</v>
      </c>
      <c r="O114" s="115"/>
      <c r="P114" s="85" t="s">
        <v>175</v>
      </c>
      <c r="Q114" s="85" t="str">
        <f>IF($P114="Main",J114,BX114)</f>
        <v>Ongoing tobacco tax increases (10% annually from 2011 to 2031)</v>
      </c>
      <c r="R114" s="85" t="str">
        <f>IF($P114="Main",CONCATENATE(J114,": ",G114),BY114)</f>
        <v>Ongoing tobacco tax increases (10% annually from 2011 to 2031): NZ</v>
      </c>
      <c r="S114" s="85" t="s">
        <v>276</v>
      </c>
      <c r="T114" s="85" t="s">
        <v>276</v>
      </c>
      <c r="U114" s="88" t="s">
        <v>276</v>
      </c>
      <c r="V114" s="88" t="s">
        <v>340</v>
      </c>
      <c r="W114" s="88" t="s">
        <v>341</v>
      </c>
      <c r="X114" s="88" t="s">
        <v>199</v>
      </c>
      <c r="Y114" s="85" t="s">
        <v>324</v>
      </c>
      <c r="Z114" s="85" t="s">
        <v>209</v>
      </c>
      <c r="AA114" s="85" t="s">
        <v>179</v>
      </c>
      <c r="AB114" s="85" t="s">
        <v>210</v>
      </c>
      <c r="AC114" s="89">
        <v>0.03</v>
      </c>
      <c r="AD114" s="122"/>
      <c r="AE114" s="83" t="s">
        <v>325</v>
      </c>
      <c r="AF114" s="83"/>
      <c r="AG114" s="90">
        <v>57500</v>
      </c>
      <c r="AH114" s="90"/>
      <c r="AI114" s="90"/>
      <c r="AJ114" s="91">
        <v>4410000</v>
      </c>
      <c r="AK114" s="92">
        <f t="shared" si="12"/>
        <v>13.038548752834467</v>
      </c>
      <c r="AL114" s="92"/>
      <c r="AM114" s="92"/>
      <c r="AN114" s="93"/>
      <c r="AO114" s="94"/>
      <c r="AP114" s="94"/>
      <c r="AQ114" s="94"/>
      <c r="AR114" s="95">
        <v>-1160000000</v>
      </c>
      <c r="AS114" s="95"/>
      <c r="AT114" s="95"/>
      <c r="AU114" s="95">
        <f t="shared" si="18"/>
        <v>-263038.54875283444</v>
      </c>
      <c r="AV114" s="95"/>
      <c r="AW114" s="95"/>
      <c r="AX114" s="95"/>
      <c r="AY114" s="95"/>
      <c r="AZ114" s="95"/>
      <c r="BA114" s="96"/>
      <c r="BB114" s="96"/>
      <c r="BC114" s="96"/>
      <c r="BD114" s="95"/>
      <c r="BE114" s="95"/>
      <c r="BF114" s="96"/>
      <c r="BG114" s="95"/>
      <c r="BH114" s="95"/>
      <c r="BI114" s="96"/>
      <c r="BJ114" s="97" t="s">
        <v>182</v>
      </c>
      <c r="BK114" s="98" t="str">
        <f t="shared" si="19"/>
        <v>Cost-saving</v>
      </c>
      <c r="BL114" s="98">
        <f t="shared" si="19"/>
        <v>0</v>
      </c>
      <c r="BM114" s="98">
        <f t="shared" si="19"/>
        <v>0</v>
      </c>
      <c r="BN114" s="99" t="s">
        <v>183</v>
      </c>
      <c r="BO114" s="100"/>
      <c r="BP114" s="100"/>
      <c r="BQ114" s="99" t="s">
        <v>183</v>
      </c>
      <c r="BR114" s="100"/>
      <c r="BS114" s="100"/>
      <c r="BT114" s="99" t="s">
        <v>183</v>
      </c>
      <c r="BU114" s="100"/>
      <c r="BV114" s="100"/>
      <c r="BW114" s="109" t="s">
        <v>342</v>
      </c>
      <c r="BX114" s="85" t="s">
        <v>339</v>
      </c>
      <c r="BY114" s="83" t="s">
        <v>339</v>
      </c>
      <c r="BZ114" s="102">
        <v>2015</v>
      </c>
      <c r="CA114" s="98"/>
      <c r="CB114" s="98"/>
      <c r="CC114" s="103">
        <f t="shared" si="16"/>
        <v>62</v>
      </c>
      <c r="CD114" s="98" t="s">
        <v>343</v>
      </c>
      <c r="CE114" s="98" t="s">
        <v>344</v>
      </c>
      <c r="CF114" s="98"/>
      <c r="CG114" s="105">
        <v>1</v>
      </c>
      <c r="CH114" s="105">
        <v>5</v>
      </c>
      <c r="CI114" s="105">
        <f>IF(AA114="Lifetime",2,IF(CJ114=1,2,"manual entry"))</f>
        <v>2</v>
      </c>
      <c r="CJ114" s="98">
        <f t="shared" si="17"/>
        <v>0</v>
      </c>
      <c r="CK114" s="98">
        <f>IF(CA114="C",0,IF(P114="Het",0,IF(SUM(AG114,AO114)=0,0,1)))</f>
        <v>1</v>
      </c>
      <c r="CL114" s="106" t="e">
        <f>IF(G114="AUS",VLOOKUP(H114,$CU$5:$CW$23,2),IF(G114="NZ",VLOOKUP(H114,$CU$5:$CW$23,3),"error"))*AU114</f>
        <v>#N/A</v>
      </c>
      <c r="CM114" s="107" t="e">
        <f>IF(G114="AUS",VLOOKUP(H114,$CU$5:$CW$23,2),IF(G114="NZ",VLOOKUP(H114,$CU$5:$CW$23,3),"error"))*AX114</f>
        <v>#N/A</v>
      </c>
      <c r="CN114" s="106" t="e">
        <f>IF(G114="AUS",VLOOKUP(H114,$CU$5:$CW$23,2),IF(G114="NZ",VLOOKUP(H114,$CU$5:$CW$23,3),"error"))*BK114</f>
        <v>#N/A</v>
      </c>
    </row>
    <row r="115" spans="1:92" s="108" customFormat="1" ht="183">
      <c r="A115" s="83" t="str">
        <f t="shared" si="14"/>
        <v>Tobacco</v>
      </c>
      <c r="B115" s="84" t="s">
        <v>170</v>
      </c>
      <c r="C115" s="85"/>
      <c r="D115" s="86"/>
      <c r="E115" s="85" t="s">
        <v>172</v>
      </c>
      <c r="F115" s="85" t="str">
        <f t="shared" si="11"/>
        <v xml:space="preserve">Tobacco; ; Prevention ; </v>
      </c>
      <c r="G115" s="85" t="s">
        <v>205</v>
      </c>
      <c r="H115" s="85">
        <v>2011</v>
      </c>
      <c r="I115" s="85" t="str">
        <f>CONCATENATE(A115,", ",G115,": ",J115)</f>
        <v>Tobacco, NZ: Permitting tobacco sales at half the liquor stores (and nowhere else) by law</v>
      </c>
      <c r="J115" s="87" t="s">
        <v>345</v>
      </c>
      <c r="K115" s="87" t="s">
        <v>233</v>
      </c>
      <c r="L115" s="87" t="s">
        <v>346</v>
      </c>
      <c r="M115" s="87" t="s">
        <v>347</v>
      </c>
      <c r="N115" s="87" t="s">
        <v>233</v>
      </c>
      <c r="O115" s="87" t="s">
        <v>275</v>
      </c>
      <c r="P115" s="85" t="s">
        <v>175</v>
      </c>
      <c r="Q115" s="85" t="str">
        <f>IF($P115="Main",J115,BX115)</f>
        <v>Permitting tobacco sales at half the liquor stores (and nowhere else) by law</v>
      </c>
      <c r="R115" s="85" t="str">
        <f>IF($P115="Main",CONCATENATE(J115,": ",G115),BY115)</f>
        <v>Permitting tobacco sales at half the liquor stores (and nowhere else) by law: NZ</v>
      </c>
      <c r="S115" s="85" t="s">
        <v>276</v>
      </c>
      <c r="T115" s="85" t="s">
        <v>276</v>
      </c>
      <c r="U115" s="88" t="s">
        <v>276</v>
      </c>
      <c r="V115" s="88" t="s">
        <v>277</v>
      </c>
      <c r="W115" s="88" t="s">
        <v>230</v>
      </c>
      <c r="X115" s="88" t="s">
        <v>199</v>
      </c>
      <c r="Y115" s="85" t="s">
        <v>208</v>
      </c>
      <c r="Z115" s="85" t="s">
        <v>209</v>
      </c>
      <c r="AA115" s="85" t="s">
        <v>179</v>
      </c>
      <c r="AB115" s="85" t="s">
        <v>180</v>
      </c>
      <c r="AC115" s="110">
        <v>0.03</v>
      </c>
      <c r="AD115" s="111"/>
      <c r="AE115" s="83" t="s">
        <v>278</v>
      </c>
      <c r="AF115" s="83" t="s">
        <v>348</v>
      </c>
      <c r="AG115" s="112">
        <v>26500</v>
      </c>
      <c r="AH115" s="90">
        <v>15600</v>
      </c>
      <c r="AI115" s="90">
        <v>42100</v>
      </c>
      <c r="AJ115" s="91">
        <v>4410000</v>
      </c>
      <c r="AK115" s="92">
        <f t="shared" si="12"/>
        <v>6.0090702947845802</v>
      </c>
      <c r="AL115" s="92">
        <f t="shared" si="12"/>
        <v>3.5374149659863945</v>
      </c>
      <c r="AM115" s="92">
        <f t="shared" si="12"/>
        <v>9.5464852607709751</v>
      </c>
      <c r="AN115" s="93"/>
      <c r="AO115" s="94"/>
      <c r="AP115" s="94"/>
      <c r="AQ115" s="94"/>
      <c r="AR115" s="95">
        <v>-525000000</v>
      </c>
      <c r="AS115" s="95">
        <v>-302000000</v>
      </c>
      <c r="AT115" s="95">
        <v>-829000000</v>
      </c>
      <c r="AU115" s="95">
        <f t="shared" si="18"/>
        <v>-119047.61904761905</v>
      </c>
      <c r="AV115" s="95">
        <f>1000*AS115/$AJ115</f>
        <v>-68480.725623582766</v>
      </c>
      <c r="AW115" s="95">
        <f>1000*AT115/$AJ115</f>
        <v>-187981.85941043083</v>
      </c>
      <c r="AX115" s="95"/>
      <c r="AY115" s="95"/>
      <c r="AZ115" s="95"/>
      <c r="BA115" s="96"/>
      <c r="BB115" s="96"/>
      <c r="BC115" s="96"/>
      <c r="BD115" s="95"/>
      <c r="BE115" s="95"/>
      <c r="BF115" s="96"/>
      <c r="BG115" s="95"/>
      <c r="BH115" s="95"/>
      <c r="BI115" s="96"/>
      <c r="BJ115" s="97" t="s">
        <v>182</v>
      </c>
      <c r="BK115" s="98" t="str">
        <f t="shared" si="19"/>
        <v>Cost-saving</v>
      </c>
      <c r="BL115" s="98">
        <f t="shared" si="19"/>
        <v>0</v>
      </c>
      <c r="BM115" s="98">
        <f t="shared" si="19"/>
        <v>0</v>
      </c>
      <c r="BN115" s="99" t="s">
        <v>183</v>
      </c>
      <c r="BO115" s="100"/>
      <c r="BP115" s="100"/>
      <c r="BQ115" s="99" t="s">
        <v>183</v>
      </c>
      <c r="BR115" s="100"/>
      <c r="BS115" s="100"/>
      <c r="BT115" s="99" t="s">
        <v>183</v>
      </c>
      <c r="BU115" s="100"/>
      <c r="BV115" s="100"/>
      <c r="BW115" s="101" t="s">
        <v>349</v>
      </c>
      <c r="BX115" s="85" t="s">
        <v>345</v>
      </c>
      <c r="BY115" s="83" t="s">
        <v>350</v>
      </c>
      <c r="BZ115" s="102">
        <v>2017</v>
      </c>
      <c r="CA115" s="98"/>
      <c r="CB115" s="98"/>
      <c r="CC115" s="103">
        <f t="shared" si="16"/>
        <v>76</v>
      </c>
      <c r="CD115" s="98" t="s">
        <v>351</v>
      </c>
      <c r="CE115" s="98" t="s">
        <v>352</v>
      </c>
      <c r="CF115" s="98"/>
      <c r="CG115" s="105">
        <v>1</v>
      </c>
      <c r="CH115" s="105">
        <v>5</v>
      </c>
      <c r="CI115" s="105">
        <f>IF(AA115="Lifetime",2,IF(CJ115=1,2,"manual entry"))</f>
        <v>2</v>
      </c>
      <c r="CJ115" s="98">
        <f t="shared" si="17"/>
        <v>0</v>
      </c>
      <c r="CK115" s="98">
        <f>IF(CA115="C",0,IF(P115="Het",0,IF(SUM(AG115,AO115)=0,0,1)))</f>
        <v>1</v>
      </c>
      <c r="CL115" s="106" t="e">
        <f>IF(G115="AUS",VLOOKUP(H115,$CU$5:$CW$23,2),IF(G115="NZ",VLOOKUP(H115,$CU$5:$CW$23,3),"error"))*AU115</f>
        <v>#N/A</v>
      </c>
      <c r="CM115" s="107" t="e">
        <f>IF(G115="AUS",VLOOKUP(H115,$CU$5:$CW$23,2),IF(G115="NZ",VLOOKUP(H115,$CU$5:$CW$23,3),"error"))*AX115</f>
        <v>#N/A</v>
      </c>
      <c r="CN115" s="106" t="e">
        <f>IF(G115="AUS",VLOOKUP(H115,$CU$5:$CW$23,2),IF(G115="NZ",VLOOKUP(H115,$CU$5:$CW$23,3),"error"))*BK115</f>
        <v>#N/A</v>
      </c>
    </row>
    <row r="116" spans="1:92" s="108" customFormat="1" ht="167.25">
      <c r="A116" s="83" t="str">
        <f t="shared" si="14"/>
        <v>Tobacco</v>
      </c>
      <c r="B116" s="85" t="s">
        <v>170</v>
      </c>
      <c r="C116" s="85"/>
      <c r="D116" s="86"/>
      <c r="E116" s="85" t="s">
        <v>172</v>
      </c>
      <c r="F116" s="85" t="str">
        <f t="shared" si="11"/>
        <v xml:space="preserve">Tobacco; ; Prevention ; </v>
      </c>
      <c r="G116" s="85" t="s">
        <v>205</v>
      </c>
      <c r="H116" s="85">
        <v>2011</v>
      </c>
      <c r="I116" s="85" t="str">
        <f>CONCATENATE(A116,", ",G116,": ",J116)</f>
        <v>Tobacco, NZ: Reducing the total number of tobacco retail outlets by 95% by law</v>
      </c>
      <c r="J116" s="87" t="s">
        <v>353</v>
      </c>
      <c r="K116" s="87" t="s">
        <v>233</v>
      </c>
      <c r="L116" s="87" t="s">
        <v>354</v>
      </c>
      <c r="M116" s="87" t="s">
        <v>355</v>
      </c>
      <c r="N116" s="87" t="s">
        <v>233</v>
      </c>
      <c r="O116" s="87" t="s">
        <v>275</v>
      </c>
      <c r="P116" s="85" t="s">
        <v>175</v>
      </c>
      <c r="Q116" s="85" t="str">
        <f>IF($P116="Main",J116,BX116)</f>
        <v>Reducing the total number of tobacco retail outlets by 95% by law</v>
      </c>
      <c r="R116" s="85" t="str">
        <f>IF($P116="Main",CONCATENATE(J116,": ",G116),BY116)</f>
        <v>Reducing the total number of tobacco retail outlets by 95% by law: NZ</v>
      </c>
      <c r="S116" s="85" t="s">
        <v>276</v>
      </c>
      <c r="T116" s="85" t="s">
        <v>276</v>
      </c>
      <c r="U116" s="88" t="s">
        <v>276</v>
      </c>
      <c r="V116" s="88" t="s">
        <v>277</v>
      </c>
      <c r="W116" s="88" t="s">
        <v>230</v>
      </c>
      <c r="X116" s="88" t="s">
        <v>199</v>
      </c>
      <c r="Y116" s="85" t="s">
        <v>208</v>
      </c>
      <c r="Z116" s="123" t="s">
        <v>209</v>
      </c>
      <c r="AA116" s="85" t="s">
        <v>179</v>
      </c>
      <c r="AB116" s="85" t="s">
        <v>180</v>
      </c>
      <c r="AC116" s="110">
        <v>0.03</v>
      </c>
      <c r="AD116" s="111"/>
      <c r="AE116" s="83" t="s">
        <v>278</v>
      </c>
      <c r="AF116" s="83"/>
      <c r="AG116" s="112">
        <v>8040</v>
      </c>
      <c r="AH116" s="90">
        <v>4720</v>
      </c>
      <c r="AI116" s="90">
        <v>13000</v>
      </c>
      <c r="AJ116" s="91">
        <v>4410000</v>
      </c>
      <c r="AK116" s="92">
        <f t="shared" si="12"/>
        <v>1.8231292517006803</v>
      </c>
      <c r="AL116" s="92">
        <f t="shared" si="12"/>
        <v>1.0702947845804989</v>
      </c>
      <c r="AM116" s="92">
        <f t="shared" si="12"/>
        <v>2.9478458049886624</v>
      </c>
      <c r="AN116" s="93"/>
      <c r="AO116" s="94"/>
      <c r="AP116" s="94"/>
      <c r="AQ116" s="94"/>
      <c r="AR116" s="95">
        <v>-161000000</v>
      </c>
      <c r="AS116" s="95">
        <v>-92600000</v>
      </c>
      <c r="AT116" s="95">
        <v>-263000000</v>
      </c>
      <c r="AU116" s="95">
        <f t="shared" si="18"/>
        <v>-36507.936507936509</v>
      </c>
      <c r="AV116" s="95">
        <f>1000*AS116/$AJ116</f>
        <v>-20997.732426303854</v>
      </c>
      <c r="AW116" s="95">
        <f>1000*AT116/$AJ116</f>
        <v>-59637.188208616783</v>
      </c>
      <c r="AX116" s="95"/>
      <c r="AY116" s="95"/>
      <c r="AZ116" s="95"/>
      <c r="BA116" s="96"/>
      <c r="BB116" s="96"/>
      <c r="BC116" s="96"/>
      <c r="BD116" s="95"/>
      <c r="BE116" s="95"/>
      <c r="BF116" s="96"/>
      <c r="BG116" s="95"/>
      <c r="BH116" s="95"/>
      <c r="BI116" s="96"/>
      <c r="BJ116" s="97" t="s">
        <v>182</v>
      </c>
      <c r="BK116" s="98" t="str">
        <f t="shared" si="19"/>
        <v>Cost-saving</v>
      </c>
      <c r="BL116" s="98">
        <f t="shared" si="19"/>
        <v>0</v>
      </c>
      <c r="BM116" s="98">
        <f t="shared" si="19"/>
        <v>0</v>
      </c>
      <c r="BN116" s="99" t="s">
        <v>183</v>
      </c>
      <c r="BO116" s="100"/>
      <c r="BP116" s="100"/>
      <c r="BQ116" s="99" t="s">
        <v>183</v>
      </c>
      <c r="BR116" s="100"/>
      <c r="BS116" s="100"/>
      <c r="BT116" s="99" t="s">
        <v>183</v>
      </c>
      <c r="BU116" s="100"/>
      <c r="BV116" s="100"/>
      <c r="BW116" s="109" t="s">
        <v>349</v>
      </c>
      <c r="BX116" s="85" t="s">
        <v>353</v>
      </c>
      <c r="BY116" s="83" t="s">
        <v>356</v>
      </c>
      <c r="BZ116" s="102">
        <v>2017</v>
      </c>
      <c r="CA116" s="98"/>
      <c r="CB116" s="98"/>
      <c r="CC116" s="103">
        <f t="shared" si="16"/>
        <v>65</v>
      </c>
      <c r="CD116" s="98" t="s">
        <v>351</v>
      </c>
      <c r="CE116" s="98" t="s">
        <v>352</v>
      </c>
      <c r="CF116" s="98"/>
      <c r="CG116" s="105">
        <v>1</v>
      </c>
      <c r="CH116" s="105">
        <v>5</v>
      </c>
      <c r="CI116" s="105">
        <f>IF(AA116="Lifetime",2,IF(CJ116=1,2,"manual entry"))</f>
        <v>2</v>
      </c>
      <c r="CJ116" s="98">
        <f t="shared" si="17"/>
        <v>0</v>
      </c>
      <c r="CK116" s="98">
        <f>IF(CA116="C",0,IF(P116="Het",0,IF(SUM(AG116,AO116)=0,0,1)))</f>
        <v>1</v>
      </c>
      <c r="CL116" s="106" t="e">
        <f>IF(G116="AUS",VLOOKUP(H116,$CU$5:$CW$23,2),IF(G116="NZ",VLOOKUP(H116,$CU$5:$CW$23,3),"error"))*AU116</f>
        <v>#N/A</v>
      </c>
      <c r="CM116" s="107" t="e">
        <f>IF(G116="AUS",VLOOKUP(H116,$CU$5:$CW$23,2),IF(G116="NZ",VLOOKUP(H116,$CU$5:$CW$23,3),"error"))*AX116</f>
        <v>#N/A</v>
      </c>
      <c r="CN116" s="106" t="e">
        <f>IF(G116="AUS",VLOOKUP(H116,$CU$5:$CW$23,2),IF(G116="NZ",VLOOKUP(H116,$CU$5:$CW$23,3),"error"))*BK116</f>
        <v>#N/A</v>
      </c>
    </row>
    <row r="117" spans="1:92" s="108" customFormat="1" ht="244.5" hidden="1">
      <c r="A117" s="98" t="s">
        <v>170</v>
      </c>
      <c r="B117" s="86" t="s">
        <v>170</v>
      </c>
      <c r="C117" s="86"/>
      <c r="D117" s="86"/>
      <c r="E117" s="86" t="s">
        <v>188</v>
      </c>
      <c r="F117" s="85" t="str">
        <f t="shared" si="11"/>
        <v xml:space="preserve">Tobacco; ; Prevention; </v>
      </c>
      <c r="G117" s="86" t="s">
        <v>205</v>
      </c>
      <c r="H117" s="86">
        <v>2011</v>
      </c>
      <c r="I117" s="85" t="str">
        <f>CONCATENATE(A117,", ",G117,": ",J117)</f>
        <v>Tobacco, NZ: Restricting tobacco sales to only pharmacies combined with annual cessation advice from pharmacist</v>
      </c>
      <c r="J117" s="115" t="s">
        <v>357</v>
      </c>
      <c r="K117" s="115"/>
      <c r="L117" s="115"/>
      <c r="M117" s="115"/>
      <c r="N117" s="115"/>
      <c r="O117" s="115"/>
      <c r="P117" s="86" t="s">
        <v>175</v>
      </c>
      <c r="Q117" s="85" t="str">
        <f>IF($P117="Main",J117,BX117)</f>
        <v>Restricting tobacco sales to only pharmacies combined with annual cessation advice from pharmacist</v>
      </c>
      <c r="R117" s="85" t="str">
        <f>IF($P117="Main",CONCATENATE(J117,": ",G117),BY117)</f>
        <v>Restricting tobacco sales to only pharmacies combined with annual cessation advice from pharmacist: NZ</v>
      </c>
      <c r="S117" s="85"/>
      <c r="T117" s="85"/>
      <c r="U117" s="88"/>
      <c r="V117" s="88" t="s">
        <v>199</v>
      </c>
      <c r="W117" s="88"/>
      <c r="X117" s="88"/>
      <c r="Y117" s="86" t="s">
        <v>208</v>
      </c>
      <c r="Z117" s="86" t="s">
        <v>289</v>
      </c>
      <c r="AA117" s="86" t="s">
        <v>179</v>
      </c>
      <c r="AB117" s="86"/>
      <c r="AC117" s="116">
        <v>0.03</v>
      </c>
      <c r="AD117" s="98" t="s">
        <v>181</v>
      </c>
      <c r="AE117" s="98"/>
      <c r="AF117" s="98" t="s">
        <v>290</v>
      </c>
      <c r="AG117" s="117">
        <v>41700</v>
      </c>
      <c r="AH117" s="118">
        <v>33500</v>
      </c>
      <c r="AI117" s="118">
        <v>51600</v>
      </c>
      <c r="AJ117" s="117">
        <v>4410000</v>
      </c>
      <c r="AK117" s="98">
        <f t="shared" si="12"/>
        <v>9.4557823129251695</v>
      </c>
      <c r="AL117" s="98">
        <f t="shared" si="12"/>
        <v>7.5963718820861681</v>
      </c>
      <c r="AM117" s="98">
        <f t="shared" si="12"/>
        <v>11.700680272108844</v>
      </c>
      <c r="AN117" s="98"/>
      <c r="AO117" s="98"/>
      <c r="AP117" s="98"/>
      <c r="AQ117" s="98"/>
      <c r="AR117" s="107">
        <v>-741000000</v>
      </c>
      <c r="AS117" s="107">
        <v>-531000000</v>
      </c>
      <c r="AT117" s="107">
        <v>-1010000000</v>
      </c>
      <c r="AU117" s="120">
        <f t="shared" ref="AU117:AW119" si="20">(AR117/$AJ117)*1000</f>
        <v>-168027.21088435373</v>
      </c>
      <c r="AV117" s="120">
        <f t="shared" si="20"/>
        <v>-120408.16326530612</v>
      </c>
      <c r="AW117" s="120">
        <f t="shared" si="20"/>
        <v>-229024.9433106576</v>
      </c>
      <c r="AX117" s="107"/>
      <c r="AY117" s="107"/>
      <c r="AZ117" s="107"/>
      <c r="BA117" s="107"/>
      <c r="BB117" s="107"/>
      <c r="BC117" s="107"/>
      <c r="BD117" s="107"/>
      <c r="BE117" s="107"/>
      <c r="BF117" s="107"/>
      <c r="BG117" s="107"/>
      <c r="BH117" s="107"/>
      <c r="BI117" s="107"/>
      <c r="BJ117" s="98" t="s">
        <v>182</v>
      </c>
      <c r="BK117" s="102" t="str">
        <f t="shared" si="19"/>
        <v>Cost-saving</v>
      </c>
      <c r="BL117" s="102" t="str">
        <f t="shared" si="19"/>
        <v>Cost-saving</v>
      </c>
      <c r="BM117" s="102" t="str">
        <f t="shared" si="19"/>
        <v>Cost-saving</v>
      </c>
      <c r="BN117" s="107" t="s">
        <v>183</v>
      </c>
      <c r="BO117" s="107" t="s">
        <v>183</v>
      </c>
      <c r="BP117" s="107" t="s">
        <v>183</v>
      </c>
      <c r="BQ117" s="107"/>
      <c r="BR117" s="107"/>
      <c r="BS117" s="107"/>
      <c r="BT117" s="107"/>
      <c r="BU117" s="107"/>
      <c r="BV117" s="107"/>
      <c r="BW117" s="86"/>
      <c r="BX117" s="115" t="s">
        <v>357</v>
      </c>
      <c r="BY117" s="115" t="s">
        <v>357</v>
      </c>
      <c r="BZ117" s="98">
        <v>2018</v>
      </c>
      <c r="CA117" s="119"/>
      <c r="CB117" s="119"/>
      <c r="CC117" s="103">
        <f t="shared" si="16"/>
        <v>98</v>
      </c>
      <c r="CD117" s="102" t="s">
        <v>358</v>
      </c>
      <c r="CE117" s="102"/>
      <c r="CF117" s="102"/>
      <c r="CG117" s="105">
        <v>1</v>
      </c>
      <c r="CH117" s="105">
        <f>IF(CK117=0,"",IF(V117="Persistent",5,IF(V117="Once",1,IF(V117="One-off",1,"manual overwrite"))))</f>
        <v>5</v>
      </c>
      <c r="CI117" s="105">
        <f>IF(AA117="Lifetime",2,IF(CJ117=1,2,"manual entry"))</f>
        <v>2</v>
      </c>
      <c r="CJ117" s="98">
        <f>IF(CD117="Vos, Carter, Barendregt, Mihalopoulos, Veerman, Magnus, Cobiac, Bertram,
Wallace &amp; ACE-Prevention Team",1,0)</f>
        <v>0</v>
      </c>
      <c r="CK117" s="98">
        <f>IF(CA117="C",0,IF(P117="Het",0,IF(SUM(AG117,AO117)=0,0,1)))</f>
        <v>1</v>
      </c>
      <c r="CL117" s="106" t="e">
        <f>IF(G117="AUS",VLOOKUP(H117,$CU$5:$CW$23,2),IF(G117="NZ",VLOOKUP(H117,$CU$5:$CW$23,3),"error"))*AU117</f>
        <v>#N/A</v>
      </c>
      <c r="CM117" s="102" t="e">
        <f>IF(G117="AUS",VLOOKUP(H117,$CU$5:$CW$23,2),IF(G117="NZ",VLOOKUP(H117,$CU$5:$CW$23,3),"error"))*AX117</f>
        <v>#N/A</v>
      </c>
      <c r="CN117" s="102" t="e">
        <f>IF(G117="AUS",VLOOKUP(H117,$CU$5:$CW$23,2),IF(G117="NZ",VLOOKUP(H117,$CU$5:$CW$23,3),"error"))*BK117</f>
        <v>#N/A</v>
      </c>
    </row>
    <row r="118" spans="1:92" s="108" customFormat="1" ht="244.5">
      <c r="A118" s="98" t="s">
        <v>170</v>
      </c>
      <c r="B118" s="86" t="s">
        <v>170</v>
      </c>
      <c r="C118" s="86"/>
      <c r="D118" s="86"/>
      <c r="E118" s="86" t="s">
        <v>188</v>
      </c>
      <c r="F118" s="85" t="str">
        <f t="shared" si="11"/>
        <v xml:space="preserve">Tobacco; ; Prevention; </v>
      </c>
      <c r="G118" s="86" t="s">
        <v>205</v>
      </c>
      <c r="H118" s="86">
        <v>2011</v>
      </c>
      <c r="I118" s="85" t="str">
        <f>CONCATENATE(A118,", ",G118,": ",J118)</f>
        <v>Tobacco, NZ: Restricting tobacco sales to only pharmacies combined with annual cessation advice from pharmacist</v>
      </c>
      <c r="J118" s="115" t="s">
        <v>357</v>
      </c>
      <c r="K118" s="115">
        <v>0</v>
      </c>
      <c r="L118" s="115">
        <v>81.900000000000006</v>
      </c>
      <c r="M118" s="115">
        <v>1.5</v>
      </c>
      <c r="N118" s="115">
        <v>0</v>
      </c>
      <c r="O118" s="115">
        <v>13.5</v>
      </c>
      <c r="P118" s="86" t="s">
        <v>295</v>
      </c>
      <c r="Q118" s="88" t="s">
        <v>308</v>
      </c>
      <c r="R118" s="88" t="s">
        <v>308</v>
      </c>
      <c r="S118" s="88" t="s">
        <v>276</v>
      </c>
      <c r="T118" s="88" t="s">
        <v>276</v>
      </c>
      <c r="U118" s="88" t="s">
        <v>308</v>
      </c>
      <c r="V118" s="88" t="s">
        <v>199</v>
      </c>
      <c r="W118" s="88"/>
      <c r="X118" s="88" t="s">
        <v>199</v>
      </c>
      <c r="Y118" s="86" t="s">
        <v>208</v>
      </c>
      <c r="Z118" s="86" t="s">
        <v>289</v>
      </c>
      <c r="AA118" s="86" t="s">
        <v>179</v>
      </c>
      <c r="AB118" s="86"/>
      <c r="AC118" s="116">
        <v>0.03</v>
      </c>
      <c r="AD118" s="98" t="s">
        <v>181</v>
      </c>
      <c r="AE118" s="98"/>
      <c r="AF118" s="98"/>
      <c r="AG118" s="117">
        <v>26400</v>
      </c>
      <c r="AH118" s="118">
        <v>20900</v>
      </c>
      <c r="AI118" s="118">
        <v>33200</v>
      </c>
      <c r="AJ118" s="91">
        <v>3731070</v>
      </c>
      <c r="AK118" s="98">
        <f t="shared" si="12"/>
        <v>7.0757182256028424</v>
      </c>
      <c r="AL118" s="98">
        <f t="shared" si="12"/>
        <v>5.6016102619355843</v>
      </c>
      <c r="AM118" s="98">
        <f t="shared" si="12"/>
        <v>8.8982517079550902</v>
      </c>
      <c r="AN118" s="98"/>
      <c r="AO118" s="98"/>
      <c r="AP118" s="98"/>
      <c r="AQ118" s="98"/>
      <c r="AR118" s="107">
        <v>-554000000</v>
      </c>
      <c r="AS118" s="107">
        <v>-400000000</v>
      </c>
      <c r="AT118" s="107">
        <v>-749000000</v>
      </c>
      <c r="AU118" s="120">
        <f t="shared" si="20"/>
        <v>-148482.87488575664</v>
      </c>
      <c r="AV118" s="120">
        <f t="shared" si="20"/>
        <v>-107207.85190307337</v>
      </c>
      <c r="AW118" s="120">
        <f t="shared" si="20"/>
        <v>-200746.70268850491</v>
      </c>
      <c r="AX118" s="107"/>
      <c r="AY118" s="107"/>
      <c r="AZ118" s="107"/>
      <c r="BA118" s="107"/>
      <c r="BB118" s="107"/>
      <c r="BC118" s="107"/>
      <c r="BD118" s="107"/>
      <c r="BE118" s="107"/>
      <c r="BF118" s="107"/>
      <c r="BG118" s="107"/>
      <c r="BH118" s="107"/>
      <c r="BI118" s="107"/>
      <c r="BJ118" s="98" t="s">
        <v>182</v>
      </c>
      <c r="BK118" s="102" t="str">
        <f t="shared" si="19"/>
        <v>Cost-saving</v>
      </c>
      <c r="BL118" s="102" t="str">
        <f t="shared" si="19"/>
        <v>Cost-saving</v>
      </c>
      <c r="BM118" s="102" t="str">
        <f t="shared" si="19"/>
        <v>Cost-saving</v>
      </c>
      <c r="BN118" s="107" t="s">
        <v>183</v>
      </c>
      <c r="BO118" s="107" t="s">
        <v>183</v>
      </c>
      <c r="BP118" s="107" t="s">
        <v>183</v>
      </c>
      <c r="BQ118" s="107"/>
      <c r="BR118" s="107"/>
      <c r="BS118" s="107"/>
      <c r="BT118" s="107"/>
      <c r="BU118" s="107"/>
      <c r="BV118" s="107"/>
      <c r="BW118" s="86"/>
      <c r="BX118" s="88" t="s">
        <v>308</v>
      </c>
      <c r="BY118" s="88" t="s">
        <v>308</v>
      </c>
      <c r="BZ118" s="98">
        <v>2018</v>
      </c>
      <c r="CA118" s="119"/>
      <c r="CB118" s="119"/>
      <c r="CC118" s="103">
        <f t="shared" si="16"/>
        <v>98</v>
      </c>
      <c r="CD118" s="102" t="s">
        <v>358</v>
      </c>
      <c r="CE118" s="101" t="s">
        <v>359</v>
      </c>
      <c r="CF118" s="102"/>
      <c r="CG118" s="105">
        <v>1</v>
      </c>
      <c r="CH118" s="105" t="str">
        <f>IF(CK118=0,"",IF(V118="Persistent",5,IF(V118="Once",1,IF(V118="One-off",1,"manual overwrite"))))</f>
        <v/>
      </c>
      <c r="CI118" s="105"/>
      <c r="CJ118" s="98"/>
      <c r="CK118" s="98">
        <f>IF(CA118="C",0,IF(P118="Het",0,IF(SUM(AG118,AO118)=0,0,1)))</f>
        <v>0</v>
      </c>
      <c r="CL118" s="98"/>
      <c r="CM118" s="98"/>
      <c r="CN118" s="98"/>
    </row>
    <row r="119" spans="1:92" s="108" customFormat="1" ht="244.5">
      <c r="A119" s="98" t="s">
        <v>170</v>
      </c>
      <c r="B119" s="86" t="s">
        <v>170</v>
      </c>
      <c r="C119" s="86"/>
      <c r="D119" s="86"/>
      <c r="E119" s="86" t="s">
        <v>188</v>
      </c>
      <c r="F119" s="85" t="str">
        <f t="shared" si="11"/>
        <v xml:space="preserve">Tobacco; ; Prevention; </v>
      </c>
      <c r="G119" s="86" t="s">
        <v>205</v>
      </c>
      <c r="H119" s="86">
        <v>2011</v>
      </c>
      <c r="I119" s="85" t="str">
        <f>CONCATENATE(A119,", ",G119,": ",J119)</f>
        <v>Tobacco, NZ: Restricting tobacco sales to only pharmacies combined with annual cessation advice from pharmacist</v>
      </c>
      <c r="J119" s="115" t="s">
        <v>357</v>
      </c>
      <c r="K119" s="115">
        <v>0</v>
      </c>
      <c r="L119" s="115">
        <v>81.900000000000006</v>
      </c>
      <c r="M119" s="115">
        <v>3</v>
      </c>
      <c r="N119" s="115">
        <v>0</v>
      </c>
      <c r="O119" s="115">
        <v>27.5</v>
      </c>
      <c r="P119" s="86" t="s">
        <v>295</v>
      </c>
      <c r="Q119" s="85" t="s">
        <v>259</v>
      </c>
      <c r="R119" s="85" t="s">
        <v>259</v>
      </c>
      <c r="S119" s="85" t="s">
        <v>276</v>
      </c>
      <c r="T119" s="85" t="s">
        <v>276</v>
      </c>
      <c r="U119" s="88" t="s">
        <v>259</v>
      </c>
      <c r="V119" s="88" t="s">
        <v>199</v>
      </c>
      <c r="W119" s="88"/>
      <c r="X119" s="88" t="s">
        <v>199</v>
      </c>
      <c r="Y119" s="86" t="s">
        <v>208</v>
      </c>
      <c r="Z119" s="86" t="s">
        <v>289</v>
      </c>
      <c r="AA119" s="86" t="s">
        <v>179</v>
      </c>
      <c r="AB119" s="86"/>
      <c r="AC119" s="116">
        <v>0.03</v>
      </c>
      <c r="AD119" s="98" t="s">
        <v>181</v>
      </c>
      <c r="AE119" s="98"/>
      <c r="AF119" s="98"/>
      <c r="AG119" s="117">
        <v>15300</v>
      </c>
      <c r="AH119" s="118">
        <v>11900</v>
      </c>
      <c r="AI119" s="118">
        <v>19600</v>
      </c>
      <c r="AJ119" s="91">
        <v>674200</v>
      </c>
      <c r="AK119" s="98">
        <f t="shared" si="12"/>
        <v>22.693562741026401</v>
      </c>
      <c r="AL119" s="98">
        <f t="shared" si="12"/>
        <v>17.650548798576089</v>
      </c>
      <c r="AM119" s="98">
        <f t="shared" si="12"/>
        <v>29.071492138831207</v>
      </c>
      <c r="AN119" s="98"/>
      <c r="AO119" s="98"/>
      <c r="AP119" s="98"/>
      <c r="AQ119" s="98"/>
      <c r="AR119" s="107">
        <v>-217000000</v>
      </c>
      <c r="AS119" s="107">
        <v>-152000000</v>
      </c>
      <c r="AT119" s="107">
        <v>-300000000</v>
      </c>
      <c r="AU119" s="120">
        <f t="shared" si="20"/>
        <v>-321862.94867991697</v>
      </c>
      <c r="AV119" s="120">
        <f t="shared" si="20"/>
        <v>-225452.38801542571</v>
      </c>
      <c r="AW119" s="120">
        <f t="shared" si="20"/>
        <v>-444971.81845149805</v>
      </c>
      <c r="AX119" s="107"/>
      <c r="AY119" s="107"/>
      <c r="AZ119" s="107"/>
      <c r="BA119" s="107"/>
      <c r="BB119" s="107"/>
      <c r="BC119" s="107"/>
      <c r="BD119" s="107"/>
      <c r="BE119" s="107"/>
      <c r="BF119" s="107"/>
      <c r="BG119" s="107"/>
      <c r="BH119" s="107"/>
      <c r="BI119" s="107"/>
      <c r="BJ119" s="98" t="s">
        <v>182</v>
      </c>
      <c r="BK119" s="102" t="str">
        <f t="shared" si="19"/>
        <v>Cost-saving</v>
      </c>
      <c r="BL119" s="102" t="str">
        <f t="shared" si="19"/>
        <v>Cost-saving</v>
      </c>
      <c r="BM119" s="102" t="str">
        <f t="shared" si="19"/>
        <v>Cost-saving</v>
      </c>
      <c r="BN119" s="107" t="s">
        <v>183</v>
      </c>
      <c r="BO119" s="107" t="s">
        <v>183</v>
      </c>
      <c r="BP119" s="107" t="s">
        <v>183</v>
      </c>
      <c r="BQ119" s="107"/>
      <c r="BR119" s="107"/>
      <c r="BS119" s="107"/>
      <c r="BT119" s="107"/>
      <c r="BU119" s="107"/>
      <c r="BV119" s="107"/>
      <c r="BW119" s="86"/>
      <c r="BX119" s="85" t="s">
        <v>259</v>
      </c>
      <c r="BY119" s="85" t="s">
        <v>259</v>
      </c>
      <c r="BZ119" s="98">
        <v>2018</v>
      </c>
      <c r="CA119" s="119"/>
      <c r="CB119" s="119"/>
      <c r="CC119" s="103">
        <f t="shared" si="16"/>
        <v>98</v>
      </c>
      <c r="CD119" s="102" t="s">
        <v>358</v>
      </c>
      <c r="CE119" s="101" t="s">
        <v>359</v>
      </c>
      <c r="CF119" s="102"/>
      <c r="CG119" s="105">
        <v>1</v>
      </c>
      <c r="CH119" s="105" t="str">
        <f>IF(CK119=0,"",IF(V119="Persistent",5,IF(V119="Once",1,IF(V119="One-off",1,"manual overwrite"))))</f>
        <v/>
      </c>
      <c r="CI119" s="105"/>
      <c r="CJ119" s="98"/>
      <c r="CK119" s="98">
        <f>IF(CA119="C",0,IF(P119="Het",0,IF(SUM(AG119,AO119)=0,0,1)))</f>
        <v>0</v>
      </c>
      <c r="CL119" s="98"/>
      <c r="CM119" s="98"/>
      <c r="CN119" s="98"/>
    </row>
    <row r="120" spans="1:92" s="5" customFormat="1" ht="244.5">
      <c r="A120" s="133" t="s">
        <v>170</v>
      </c>
      <c r="B120" s="30" t="s">
        <v>170</v>
      </c>
      <c r="C120" s="30"/>
      <c r="D120" s="30"/>
      <c r="E120" s="30" t="s">
        <v>188</v>
      </c>
      <c r="F120" s="66" t="str">
        <f t="shared" si="11"/>
        <v xml:space="preserve">Tobacco; ; Prevention; </v>
      </c>
      <c r="G120" s="30" t="s">
        <v>205</v>
      </c>
      <c r="H120" s="30">
        <v>2012</v>
      </c>
      <c r="I120" s="66" t="str">
        <f>CONCATENATE(A120,", ",G120,": ",J120)</f>
        <v>Tobacco, NZ: Restricting tobacco sales to only pharmacies combined with annual cessation advice from pharmacist</v>
      </c>
      <c r="J120" s="134" t="s">
        <v>357</v>
      </c>
      <c r="K120" s="134">
        <v>0</v>
      </c>
      <c r="L120" s="134">
        <v>81.900000000000006</v>
      </c>
      <c r="M120" s="134"/>
      <c r="N120" s="134">
        <v>0</v>
      </c>
      <c r="O120" s="134">
        <v>28.1</v>
      </c>
      <c r="P120" s="30" t="s">
        <v>215</v>
      </c>
      <c r="Q120" s="66" t="str">
        <f>IF($P120="Main",J120,BX120)</f>
        <v>0-14 yr olds</v>
      </c>
      <c r="R120" s="66" t="str">
        <f>IF($P120="Main",P120,BY120)</f>
        <v>0-14 yr olds</v>
      </c>
      <c r="S120" s="66" t="s">
        <v>234</v>
      </c>
      <c r="T120" s="66" t="s">
        <v>276</v>
      </c>
      <c r="U120" s="135" t="s">
        <v>276</v>
      </c>
      <c r="V120" s="135" t="s">
        <v>199</v>
      </c>
      <c r="W120" s="135"/>
      <c r="X120" s="135" t="s">
        <v>199</v>
      </c>
      <c r="Y120" s="30" t="s">
        <v>208</v>
      </c>
      <c r="Z120" s="30" t="s">
        <v>289</v>
      </c>
      <c r="AA120" s="30" t="s">
        <v>179</v>
      </c>
      <c r="AB120" s="30"/>
      <c r="AC120" s="136">
        <v>0.03</v>
      </c>
      <c r="AD120" s="133" t="s">
        <v>181</v>
      </c>
      <c r="AE120" s="133"/>
      <c r="AF120" s="133"/>
      <c r="AG120" s="137">
        <v>6090</v>
      </c>
      <c r="AH120" s="138"/>
      <c r="AI120" s="138"/>
      <c r="AJ120" s="146">
        <v>894620</v>
      </c>
      <c r="AK120" s="133">
        <f t="shared" si="12"/>
        <v>6.8073595493058505</v>
      </c>
      <c r="AL120" s="133"/>
      <c r="AM120" s="133"/>
      <c r="AN120" s="133"/>
      <c r="AO120" s="133"/>
      <c r="AP120" s="133"/>
      <c r="AQ120" s="133"/>
      <c r="AR120" s="139">
        <v>-139000000</v>
      </c>
      <c r="AS120" s="139"/>
      <c r="AT120" s="139"/>
      <c r="AU120" s="148">
        <f>(AR120/$AJ120)*1000</f>
        <v>-155373.23109253091</v>
      </c>
      <c r="AV120" s="139"/>
      <c r="AW120" s="139"/>
      <c r="AX120" s="139"/>
      <c r="AY120" s="139"/>
      <c r="AZ120" s="139"/>
      <c r="BA120" s="139"/>
      <c r="BB120" s="139"/>
      <c r="BC120" s="139"/>
      <c r="BD120" s="139"/>
      <c r="BE120" s="139"/>
      <c r="BF120" s="139"/>
      <c r="BG120" s="139"/>
      <c r="BH120" s="139"/>
      <c r="BI120" s="139"/>
      <c r="BJ120" s="133" t="s">
        <v>291</v>
      </c>
      <c r="BK120" s="140" t="str">
        <f t="shared" si="19"/>
        <v>Cost-saving</v>
      </c>
      <c r="BL120" s="140">
        <f t="shared" si="19"/>
        <v>0</v>
      </c>
      <c r="BM120" s="140">
        <f t="shared" si="19"/>
        <v>0</v>
      </c>
      <c r="BN120" s="139" t="s">
        <v>183</v>
      </c>
      <c r="BO120" s="139"/>
      <c r="BP120" s="139"/>
      <c r="BQ120" s="139"/>
      <c r="BR120" s="139"/>
      <c r="BS120" s="139"/>
      <c r="BT120" s="139"/>
      <c r="BU120" s="139"/>
      <c r="BV120" s="139"/>
      <c r="BW120" s="30"/>
      <c r="BX120" s="30" t="s">
        <v>298</v>
      </c>
      <c r="BY120" s="133" t="s">
        <v>298</v>
      </c>
      <c r="BZ120" s="133">
        <v>2018</v>
      </c>
      <c r="CA120" s="142"/>
      <c r="CB120" s="142"/>
      <c r="CC120" s="143">
        <f t="shared" si="16"/>
        <v>98</v>
      </c>
      <c r="CD120" s="140"/>
      <c r="CE120" s="147" t="s">
        <v>359</v>
      </c>
      <c r="CF120" s="140"/>
      <c r="CG120" s="144">
        <v>1</v>
      </c>
      <c r="CH120" s="144" t="str">
        <f>IF(CK120=0,"",IF(V120="Persistent",5,IF(V120="Once",1,IF(V120="One-off",1,"manual overwrite"))))</f>
        <v/>
      </c>
      <c r="CI120" s="144"/>
      <c r="CJ120" s="133"/>
      <c r="CK120" s="133">
        <f>IF(CA120="C",0,IF(P120="Het",0,IF(SUM(AG120,AO120)=0,0,1)))</f>
        <v>0</v>
      </c>
      <c r="CL120" s="133"/>
      <c r="CM120" s="133"/>
      <c r="CN120" s="133"/>
    </row>
    <row r="121" spans="1:92" s="5" customFormat="1" ht="244.5">
      <c r="A121" s="133" t="s">
        <v>170</v>
      </c>
      <c r="B121" s="30" t="s">
        <v>170</v>
      </c>
      <c r="C121" s="30"/>
      <c r="D121" s="30"/>
      <c r="E121" s="30" t="s">
        <v>188</v>
      </c>
      <c r="F121" s="66" t="str">
        <f t="shared" si="11"/>
        <v xml:space="preserve">Tobacco; ; Prevention; </v>
      </c>
      <c r="G121" s="30" t="s">
        <v>205</v>
      </c>
      <c r="H121" s="30">
        <v>2013</v>
      </c>
      <c r="I121" s="66" t="str">
        <f>CONCATENATE(A121,", ",G121,": ",J121)</f>
        <v>Tobacco, NZ: Restricting tobacco sales to only pharmacies combined with annual cessation advice from pharmacist</v>
      </c>
      <c r="J121" s="134" t="s">
        <v>357</v>
      </c>
      <c r="K121" s="134">
        <v>0</v>
      </c>
      <c r="L121" s="134">
        <v>81.900000000000006</v>
      </c>
      <c r="M121" s="134"/>
      <c r="N121" s="134">
        <v>0</v>
      </c>
      <c r="O121" s="134">
        <v>28.1</v>
      </c>
      <c r="P121" s="30" t="s">
        <v>215</v>
      </c>
      <c r="Q121" s="66" t="str">
        <f>IF($P121="Main",J121,BX121)</f>
        <v>15-24 yr olds</v>
      </c>
      <c r="R121" s="66" t="str">
        <f>IF($P121="Main",P121,BY121)</f>
        <v>15-24 yr olds</v>
      </c>
      <c r="S121" s="66" t="s">
        <v>239</v>
      </c>
      <c r="T121" s="66" t="s">
        <v>276</v>
      </c>
      <c r="U121" s="135" t="s">
        <v>276</v>
      </c>
      <c r="V121" s="135" t="s">
        <v>199</v>
      </c>
      <c r="W121" s="135"/>
      <c r="X121" s="135" t="s">
        <v>199</v>
      </c>
      <c r="Y121" s="30" t="s">
        <v>208</v>
      </c>
      <c r="Z121" s="30" t="s">
        <v>289</v>
      </c>
      <c r="AA121" s="30" t="s">
        <v>179</v>
      </c>
      <c r="AB121" s="30"/>
      <c r="AC121" s="136">
        <v>0.03</v>
      </c>
      <c r="AD121" s="133" t="s">
        <v>181</v>
      </c>
      <c r="AE121" s="133"/>
      <c r="AF121" s="133"/>
      <c r="AG121" s="137">
        <v>9140</v>
      </c>
      <c r="AH121" s="138"/>
      <c r="AI121" s="138"/>
      <c r="AJ121" s="146">
        <v>642430</v>
      </c>
      <c r="AK121" s="133">
        <f t="shared" si="12"/>
        <v>14.227230982363837</v>
      </c>
      <c r="AL121" s="133"/>
      <c r="AM121" s="133"/>
      <c r="AN121" s="133"/>
      <c r="AO121" s="133"/>
      <c r="AP121" s="133"/>
      <c r="AQ121" s="133"/>
      <c r="AR121" s="139">
        <v>-260000000</v>
      </c>
      <c r="AS121" s="139"/>
      <c r="AT121" s="139"/>
      <c r="AU121" s="148">
        <f>(AR121/$AJ121)*1000</f>
        <v>-404713.35398409166</v>
      </c>
      <c r="AV121" s="139"/>
      <c r="AW121" s="139"/>
      <c r="AX121" s="139"/>
      <c r="AY121" s="139"/>
      <c r="AZ121" s="139"/>
      <c r="BA121" s="139"/>
      <c r="BB121" s="139"/>
      <c r="BC121" s="139"/>
      <c r="BD121" s="139"/>
      <c r="BE121" s="139"/>
      <c r="BF121" s="139"/>
      <c r="BG121" s="139"/>
      <c r="BH121" s="139"/>
      <c r="BI121" s="139"/>
      <c r="BJ121" s="133" t="s">
        <v>291</v>
      </c>
      <c r="BK121" s="140" t="str">
        <f t="shared" si="19"/>
        <v>Cost-saving</v>
      </c>
      <c r="BL121" s="140">
        <f t="shared" si="19"/>
        <v>0</v>
      </c>
      <c r="BM121" s="140">
        <f t="shared" si="19"/>
        <v>0</v>
      </c>
      <c r="BN121" s="139" t="s">
        <v>183</v>
      </c>
      <c r="BO121" s="139"/>
      <c r="BP121" s="139"/>
      <c r="BQ121" s="139"/>
      <c r="BR121" s="139"/>
      <c r="BS121" s="139"/>
      <c r="BT121" s="139"/>
      <c r="BU121" s="139"/>
      <c r="BV121" s="139"/>
      <c r="BW121" s="30"/>
      <c r="BX121" s="30" t="s">
        <v>299</v>
      </c>
      <c r="BY121" s="133" t="s">
        <v>299</v>
      </c>
      <c r="BZ121" s="133">
        <v>2018</v>
      </c>
      <c r="CA121" s="142"/>
      <c r="CB121" s="142"/>
      <c r="CC121" s="143">
        <f t="shared" si="16"/>
        <v>98</v>
      </c>
      <c r="CD121" s="140"/>
      <c r="CE121" s="147" t="s">
        <v>359</v>
      </c>
      <c r="CF121" s="140"/>
      <c r="CG121" s="144">
        <v>1</v>
      </c>
      <c r="CH121" s="144" t="str">
        <f>IF(CK121=0,"",IF(V121="Persistent",5,IF(V121="Once",1,IF(V121="One-off",1,"manual overwrite"))))</f>
        <v/>
      </c>
      <c r="CI121" s="144"/>
      <c r="CJ121" s="133"/>
      <c r="CK121" s="133">
        <f>IF(CA121="C",0,IF(P121="Het",0,IF(SUM(AG121,AO121)=0,0,1)))</f>
        <v>0</v>
      </c>
      <c r="CL121" s="133"/>
      <c r="CM121" s="133"/>
      <c r="CN121" s="133"/>
    </row>
    <row r="122" spans="1:92" s="5" customFormat="1" ht="244.5">
      <c r="A122" s="133" t="s">
        <v>170</v>
      </c>
      <c r="B122" s="30" t="s">
        <v>170</v>
      </c>
      <c r="C122" s="30"/>
      <c r="D122" s="30"/>
      <c r="E122" s="30" t="s">
        <v>188</v>
      </c>
      <c r="F122" s="66" t="str">
        <f t="shared" si="11"/>
        <v xml:space="preserve">Tobacco; ; Prevention; </v>
      </c>
      <c r="G122" s="30" t="s">
        <v>205</v>
      </c>
      <c r="H122" s="30">
        <v>2014</v>
      </c>
      <c r="I122" s="66" t="str">
        <f>CONCATENATE(A122,", ",G122,": ",J122)</f>
        <v>Tobacco, NZ: Restricting tobacco sales to only pharmacies combined with annual cessation advice from pharmacist</v>
      </c>
      <c r="J122" s="134" t="s">
        <v>357</v>
      </c>
      <c r="K122" s="134">
        <v>0</v>
      </c>
      <c r="L122" s="134">
        <v>81.900000000000006</v>
      </c>
      <c r="M122" s="134"/>
      <c r="N122" s="134">
        <v>0</v>
      </c>
      <c r="O122" s="134">
        <v>28.1</v>
      </c>
      <c r="P122" s="30" t="s">
        <v>215</v>
      </c>
      <c r="Q122" s="66" t="str">
        <f>IF($P122="Main",J122,BX122)</f>
        <v>25-44 yr olds</v>
      </c>
      <c r="R122" s="66" t="str">
        <f>IF($P122="Main",P122,BY122)</f>
        <v>25-44 yr olds</v>
      </c>
      <c r="S122" s="66" t="s">
        <v>241</v>
      </c>
      <c r="T122" s="66" t="s">
        <v>276</v>
      </c>
      <c r="U122" s="135" t="s">
        <v>276</v>
      </c>
      <c r="V122" s="135" t="s">
        <v>199</v>
      </c>
      <c r="W122" s="135"/>
      <c r="X122" s="135" t="s">
        <v>199</v>
      </c>
      <c r="Y122" s="30" t="s">
        <v>208</v>
      </c>
      <c r="Z122" s="30" t="s">
        <v>289</v>
      </c>
      <c r="AA122" s="30" t="s">
        <v>179</v>
      </c>
      <c r="AB122" s="30"/>
      <c r="AC122" s="136">
        <v>0.03</v>
      </c>
      <c r="AD122" s="133" t="s">
        <v>181</v>
      </c>
      <c r="AE122" s="133"/>
      <c r="AF122" s="133"/>
      <c r="AG122" s="137">
        <v>16010</v>
      </c>
      <c r="AH122" s="138"/>
      <c r="AI122" s="138"/>
      <c r="AJ122" s="146">
        <v>1169340</v>
      </c>
      <c r="AK122" s="133">
        <f t="shared" si="12"/>
        <v>13.691484085039423</v>
      </c>
      <c r="AL122" s="133"/>
      <c r="AM122" s="133"/>
      <c r="AN122" s="133"/>
      <c r="AO122" s="133"/>
      <c r="AP122" s="133"/>
      <c r="AQ122" s="133"/>
      <c r="AR122" s="139">
        <v>-290000000</v>
      </c>
      <c r="AS122" s="139"/>
      <c r="AT122" s="139"/>
      <c r="AU122" s="148">
        <f>(AR122/$AJ122)*1000</f>
        <v>-248003.14707441806</v>
      </c>
      <c r="AV122" s="139"/>
      <c r="AW122" s="139"/>
      <c r="AX122" s="139"/>
      <c r="AY122" s="139"/>
      <c r="AZ122" s="139"/>
      <c r="BA122" s="139"/>
      <c r="BB122" s="139"/>
      <c r="BC122" s="139"/>
      <c r="BD122" s="139"/>
      <c r="BE122" s="139"/>
      <c r="BF122" s="139"/>
      <c r="BG122" s="139"/>
      <c r="BH122" s="139"/>
      <c r="BI122" s="139"/>
      <c r="BJ122" s="133" t="s">
        <v>291</v>
      </c>
      <c r="BK122" s="140" t="str">
        <f t="shared" si="19"/>
        <v>Cost-saving</v>
      </c>
      <c r="BL122" s="140">
        <f t="shared" si="19"/>
        <v>0</v>
      </c>
      <c r="BM122" s="140">
        <f t="shared" si="19"/>
        <v>0</v>
      </c>
      <c r="BN122" s="139" t="s">
        <v>183</v>
      </c>
      <c r="BO122" s="139"/>
      <c r="BP122" s="139"/>
      <c r="BQ122" s="139"/>
      <c r="BR122" s="139"/>
      <c r="BS122" s="139"/>
      <c r="BT122" s="139"/>
      <c r="BU122" s="139"/>
      <c r="BV122" s="139"/>
      <c r="BW122" s="30"/>
      <c r="BX122" s="30" t="s">
        <v>300</v>
      </c>
      <c r="BY122" s="133" t="s">
        <v>300</v>
      </c>
      <c r="BZ122" s="133">
        <v>2018</v>
      </c>
      <c r="CA122" s="142"/>
      <c r="CB122" s="142"/>
      <c r="CC122" s="143">
        <f t="shared" si="16"/>
        <v>98</v>
      </c>
      <c r="CD122" s="140"/>
      <c r="CE122" s="147" t="s">
        <v>359</v>
      </c>
      <c r="CF122" s="140"/>
      <c r="CG122" s="144">
        <v>1</v>
      </c>
      <c r="CH122" s="144" t="str">
        <f>IF(CK122=0,"",IF(V122="Persistent",5,IF(V122="Once",1,IF(V122="One-off",1,"manual overwrite"))))</f>
        <v/>
      </c>
      <c r="CI122" s="144"/>
      <c r="CJ122" s="133"/>
      <c r="CK122" s="133">
        <f>IF(CA122="C",0,IF(P122="Het",0,IF(SUM(AG122,AO122)=0,0,1)))</f>
        <v>0</v>
      </c>
      <c r="CL122" s="133"/>
      <c r="CM122" s="133"/>
      <c r="CN122" s="133"/>
    </row>
    <row r="123" spans="1:92" s="5" customFormat="1" ht="244.5">
      <c r="A123" s="133" t="s">
        <v>170</v>
      </c>
      <c r="B123" s="30" t="s">
        <v>170</v>
      </c>
      <c r="C123" s="30"/>
      <c r="D123" s="30"/>
      <c r="E123" s="30" t="s">
        <v>188</v>
      </c>
      <c r="F123" s="66" t="str">
        <f t="shared" si="11"/>
        <v xml:space="preserve">Tobacco; ; Prevention; </v>
      </c>
      <c r="G123" s="30" t="s">
        <v>205</v>
      </c>
      <c r="H123" s="30">
        <v>2015</v>
      </c>
      <c r="I123" s="66" t="str">
        <f>CONCATENATE(A123,", ",G123,": ",J123)</f>
        <v>Tobacco, NZ: Restricting tobacco sales to only pharmacies combined with annual cessation advice from pharmacist</v>
      </c>
      <c r="J123" s="134" t="s">
        <v>357</v>
      </c>
      <c r="K123" s="134">
        <v>0</v>
      </c>
      <c r="L123" s="134">
        <v>81.900000000000006</v>
      </c>
      <c r="M123" s="134"/>
      <c r="N123" s="134">
        <v>0</v>
      </c>
      <c r="O123" s="134">
        <v>28.1</v>
      </c>
      <c r="P123" s="30" t="s">
        <v>215</v>
      </c>
      <c r="Q123" s="66" t="str">
        <f>IF($P123="Main",J123,BX123)</f>
        <v>45-64 yr olds</v>
      </c>
      <c r="R123" s="66" t="str">
        <f>IF($P123="Main",P123,BY123)</f>
        <v>45-64 yr olds</v>
      </c>
      <c r="S123" s="66" t="s">
        <v>244</v>
      </c>
      <c r="T123" s="66" t="s">
        <v>276</v>
      </c>
      <c r="U123" s="135" t="s">
        <v>276</v>
      </c>
      <c r="V123" s="135" t="s">
        <v>199</v>
      </c>
      <c r="W123" s="135"/>
      <c r="X123" s="135" t="s">
        <v>199</v>
      </c>
      <c r="Y123" s="30" t="s">
        <v>208</v>
      </c>
      <c r="Z123" s="30" t="s">
        <v>289</v>
      </c>
      <c r="AA123" s="30" t="s">
        <v>179</v>
      </c>
      <c r="AB123" s="30"/>
      <c r="AC123" s="136">
        <v>0.03</v>
      </c>
      <c r="AD123" s="133" t="s">
        <v>181</v>
      </c>
      <c r="AE123" s="133"/>
      <c r="AF123" s="133"/>
      <c r="AG123" s="137">
        <v>9950</v>
      </c>
      <c r="AH123" s="138"/>
      <c r="AI123" s="138"/>
      <c r="AJ123" s="146">
        <v>1111900</v>
      </c>
      <c r="AK123" s="133">
        <f t="shared" si="12"/>
        <v>8.9486464610126806</v>
      </c>
      <c r="AL123" s="133"/>
      <c r="AM123" s="133"/>
      <c r="AN123" s="133"/>
      <c r="AO123" s="133"/>
      <c r="AP123" s="133"/>
      <c r="AQ123" s="133"/>
      <c r="AR123" s="139">
        <v>-128000000</v>
      </c>
      <c r="AS123" s="139"/>
      <c r="AT123" s="139"/>
      <c r="AU123" s="148">
        <f>(AR123/$AJ123)*1000</f>
        <v>-115118.26603111791</v>
      </c>
      <c r="AV123" s="139"/>
      <c r="AW123" s="139"/>
      <c r="AX123" s="139"/>
      <c r="AY123" s="139"/>
      <c r="AZ123" s="139"/>
      <c r="BA123" s="139"/>
      <c r="BB123" s="139"/>
      <c r="BC123" s="139"/>
      <c r="BD123" s="139"/>
      <c r="BE123" s="139"/>
      <c r="BF123" s="139"/>
      <c r="BG123" s="139"/>
      <c r="BH123" s="139"/>
      <c r="BI123" s="139"/>
      <c r="BJ123" s="133" t="s">
        <v>291</v>
      </c>
      <c r="BK123" s="140" t="str">
        <f t="shared" si="19"/>
        <v> Cost-saving </v>
      </c>
      <c r="BL123" s="140">
        <f t="shared" si="19"/>
        <v>0</v>
      </c>
      <c r="BM123" s="140">
        <f t="shared" si="19"/>
        <v>0</v>
      </c>
      <c r="BN123" s="139" t="s">
        <v>360</v>
      </c>
      <c r="BO123" s="139"/>
      <c r="BP123" s="139"/>
      <c r="BQ123" s="139"/>
      <c r="BR123" s="139"/>
      <c r="BS123" s="139"/>
      <c r="BT123" s="139"/>
      <c r="BU123" s="139"/>
      <c r="BV123" s="139"/>
      <c r="BW123" s="30"/>
      <c r="BX123" s="30" t="s">
        <v>301</v>
      </c>
      <c r="BY123" s="133" t="s">
        <v>301</v>
      </c>
      <c r="BZ123" s="133">
        <v>2018</v>
      </c>
      <c r="CA123" s="142"/>
      <c r="CB123" s="142"/>
      <c r="CC123" s="143">
        <f t="shared" si="16"/>
        <v>98</v>
      </c>
      <c r="CD123" s="140"/>
      <c r="CE123" s="147" t="s">
        <v>359</v>
      </c>
      <c r="CF123" s="140"/>
      <c r="CG123" s="144">
        <v>1</v>
      </c>
      <c r="CH123" s="144" t="str">
        <f>IF(CK123=0,"",IF(V123="Persistent",5,IF(V123="Once",1,IF(V123="One-off",1,"manual overwrite"))))</f>
        <v/>
      </c>
      <c r="CI123" s="144"/>
      <c r="CJ123" s="133"/>
      <c r="CK123" s="133">
        <f>IF(CA123="C",0,IF(P123="Het",0,IF(SUM(AG123,AO123)=0,0,1)))</f>
        <v>0</v>
      </c>
      <c r="CL123" s="133"/>
      <c r="CM123" s="133"/>
      <c r="CN123" s="133"/>
    </row>
    <row r="124" spans="1:92" s="5" customFormat="1" ht="244.5">
      <c r="A124" s="133" t="s">
        <v>170</v>
      </c>
      <c r="B124" s="30" t="s">
        <v>170</v>
      </c>
      <c r="C124" s="30"/>
      <c r="D124" s="30"/>
      <c r="E124" s="30" t="s">
        <v>188</v>
      </c>
      <c r="F124" s="66" t="str">
        <f t="shared" si="11"/>
        <v xml:space="preserve">Tobacco; ; Prevention; </v>
      </c>
      <c r="G124" s="30" t="s">
        <v>205</v>
      </c>
      <c r="H124" s="30">
        <v>2016</v>
      </c>
      <c r="I124" s="66" t="str">
        <f>CONCATENATE(A124,", ",G124,": ",J124)</f>
        <v>Tobacco, NZ: Restricting tobacco sales to only pharmacies combined with annual cessation advice from pharmacist</v>
      </c>
      <c r="J124" s="134" t="s">
        <v>357</v>
      </c>
      <c r="K124" s="134">
        <v>0</v>
      </c>
      <c r="L124" s="134">
        <v>81.900000000000006</v>
      </c>
      <c r="M124" s="134"/>
      <c r="N124" s="134">
        <v>0</v>
      </c>
      <c r="O124" s="134">
        <v>28.1</v>
      </c>
      <c r="P124" s="30" t="s">
        <v>215</v>
      </c>
      <c r="Q124" s="66" t="str">
        <f>IF($P124="Main",J124,BX124)</f>
        <v>65+ yr olds</v>
      </c>
      <c r="R124" s="66" t="str">
        <f>IF($P124="Main",P124,BY124)</f>
        <v>65+ yr olds</v>
      </c>
      <c r="S124" s="66" t="s">
        <v>247</v>
      </c>
      <c r="T124" s="66" t="s">
        <v>276</v>
      </c>
      <c r="U124" s="135" t="s">
        <v>276</v>
      </c>
      <c r="V124" s="135" t="s">
        <v>199</v>
      </c>
      <c r="W124" s="135"/>
      <c r="X124" s="135" t="s">
        <v>199</v>
      </c>
      <c r="Y124" s="30" t="s">
        <v>208</v>
      </c>
      <c r="Z124" s="30" t="s">
        <v>289</v>
      </c>
      <c r="AA124" s="30" t="s">
        <v>179</v>
      </c>
      <c r="AB124" s="30"/>
      <c r="AC124" s="136">
        <v>0.03</v>
      </c>
      <c r="AD124" s="133" t="s">
        <v>181</v>
      </c>
      <c r="AE124" s="133"/>
      <c r="AF124" s="133"/>
      <c r="AG124" s="137">
        <v>524</v>
      </c>
      <c r="AH124" s="138"/>
      <c r="AI124" s="138"/>
      <c r="AJ124" s="146">
        <v>586980</v>
      </c>
      <c r="AK124" s="133">
        <f t="shared" si="12"/>
        <v>0.89270503253943922</v>
      </c>
      <c r="AL124" s="133"/>
      <c r="AM124" s="133"/>
      <c r="AN124" s="133"/>
      <c r="AO124" s="133"/>
      <c r="AP124" s="133"/>
      <c r="AQ124" s="133"/>
      <c r="AR124" s="139">
        <v>-2940000</v>
      </c>
      <c r="AS124" s="139"/>
      <c r="AT124" s="139"/>
      <c r="AU124" s="148">
        <f>(AR124/$AJ124)*1000</f>
        <v>-5008.6885413472346</v>
      </c>
      <c r="AV124" s="139"/>
      <c r="AW124" s="139"/>
      <c r="AX124" s="139"/>
      <c r="AY124" s="139"/>
      <c r="AZ124" s="139"/>
      <c r="BA124" s="139"/>
      <c r="BB124" s="139"/>
      <c r="BC124" s="139"/>
      <c r="BD124" s="139"/>
      <c r="BE124" s="139"/>
      <c r="BF124" s="139"/>
      <c r="BG124" s="139"/>
      <c r="BH124" s="139"/>
      <c r="BI124" s="139"/>
      <c r="BJ124" s="133" t="s">
        <v>291</v>
      </c>
      <c r="BK124" s="140" t="str">
        <f t="shared" si="19"/>
        <v>Cost-saving</v>
      </c>
      <c r="BL124" s="140">
        <f t="shared" si="19"/>
        <v>0</v>
      </c>
      <c r="BM124" s="140">
        <f t="shared" si="19"/>
        <v>0</v>
      </c>
      <c r="BN124" s="139" t="s">
        <v>183</v>
      </c>
      <c r="BO124" s="139"/>
      <c r="BP124" s="139"/>
      <c r="BQ124" s="139"/>
      <c r="BR124" s="139"/>
      <c r="BS124" s="139"/>
      <c r="BT124" s="139"/>
      <c r="BU124" s="139"/>
      <c r="BV124" s="139"/>
      <c r="BW124" s="30"/>
      <c r="BX124" s="30" t="s">
        <v>302</v>
      </c>
      <c r="BY124" s="133" t="s">
        <v>302</v>
      </c>
      <c r="BZ124" s="133">
        <v>2018</v>
      </c>
      <c r="CA124" s="142"/>
      <c r="CB124" s="142"/>
      <c r="CC124" s="143">
        <f t="shared" si="16"/>
        <v>98</v>
      </c>
      <c r="CD124" s="140"/>
      <c r="CE124" s="140"/>
      <c r="CF124" s="140"/>
      <c r="CG124" s="144">
        <v>1</v>
      </c>
      <c r="CH124" s="144" t="str">
        <f>IF(CK124=0,"",IF(V124="Persistent",5,IF(V124="Once",1,IF(V124="One-off",1,"manual overwrite"))))</f>
        <v/>
      </c>
      <c r="CI124" s="144"/>
      <c r="CJ124" s="133"/>
      <c r="CK124" s="133">
        <f>IF(CA124="C",0,IF(P124="Het",0,IF(SUM(AG124,AO124)=0,0,1)))</f>
        <v>0</v>
      </c>
      <c r="CL124" s="133"/>
      <c r="CM124" s="133"/>
      <c r="CN124" s="133"/>
    </row>
    <row r="125" spans="1:92" s="108" customFormat="1" ht="229.5" hidden="1">
      <c r="A125" s="83" t="str">
        <f t="shared" ref="A125:A188" si="21">B125</f>
        <v>Tobacco</v>
      </c>
      <c r="B125" s="84" t="s">
        <v>170</v>
      </c>
      <c r="C125" s="85"/>
      <c r="D125" s="86"/>
      <c r="E125" s="85" t="s">
        <v>172</v>
      </c>
      <c r="F125" s="85" t="str">
        <f t="shared" si="11"/>
        <v xml:space="preserve">Tobacco; ; Prevention ; </v>
      </c>
      <c r="G125" s="85" t="s">
        <v>205</v>
      </c>
      <c r="H125" s="85">
        <v>2011</v>
      </c>
      <c r="I125" s="85" t="str">
        <f>CONCATENATE(A125,", ",G125,": ",J125)</f>
        <v>Tobacco, NZ: Sinking lid on tobacco supply (reducing tobacco commercial sales each year until sales are zero in 2025)</v>
      </c>
      <c r="J125" s="87" t="s">
        <v>361</v>
      </c>
      <c r="K125" s="87"/>
      <c r="L125" s="87"/>
      <c r="M125" s="87"/>
      <c r="N125" s="87"/>
      <c r="O125" s="87"/>
      <c r="P125" s="85" t="s">
        <v>175</v>
      </c>
      <c r="Q125" s="85" t="str">
        <f>IF($P125="Main",J125,BX125)</f>
        <v>Sinking lid on tobacco supply (reducing tobacco commercial sales each year until sales are zero in 2025)</v>
      </c>
      <c r="R125" s="85" t="str">
        <f>IF($P125="Main",CONCATENATE(J125,": ",G125),BY125)</f>
        <v>Sinking lid on tobacco supply (reducing tobacco commercial sales each year until sales are zero in 2025): NZ</v>
      </c>
      <c r="S125" s="85"/>
      <c r="T125" s="85"/>
      <c r="U125" s="88"/>
      <c r="V125" s="88" t="s">
        <v>207</v>
      </c>
      <c r="W125" s="88"/>
      <c r="X125" s="88"/>
      <c r="Y125" s="85" t="s">
        <v>208</v>
      </c>
      <c r="Z125" s="85" t="s">
        <v>209</v>
      </c>
      <c r="AA125" s="85" t="s">
        <v>179</v>
      </c>
      <c r="AB125" s="85" t="s">
        <v>210</v>
      </c>
      <c r="AC125" s="89">
        <v>0.03</v>
      </c>
      <c r="AD125" s="122"/>
      <c r="AE125" s="83"/>
      <c r="AF125" s="83" t="s">
        <v>290</v>
      </c>
      <c r="AG125" s="90">
        <v>282000</v>
      </c>
      <c r="AH125" s="90">
        <v>189000</v>
      </c>
      <c r="AI125" s="90">
        <v>405000</v>
      </c>
      <c r="AJ125" s="91">
        <v>4410000</v>
      </c>
      <c r="AK125" s="92">
        <f t="shared" si="12"/>
        <v>63.945578231292515</v>
      </c>
      <c r="AL125" s="92">
        <f>AH125/$AJ125*1000</f>
        <v>42.857142857142854</v>
      </c>
      <c r="AM125" s="92">
        <f>AI125/$AJ125*1000</f>
        <v>91.83673469387756</v>
      </c>
      <c r="AN125" s="93"/>
      <c r="AO125" s="94">
        <v>6.4000000000000001E-2</v>
      </c>
      <c r="AP125" s="94"/>
      <c r="AQ125" s="94"/>
      <c r="AR125" s="95">
        <v>-5430000000</v>
      </c>
      <c r="AS125" s="95">
        <v>-3640000000</v>
      </c>
      <c r="AT125" s="95">
        <v>-7960000000</v>
      </c>
      <c r="AU125" s="95">
        <f>1000*AR125/$AJ125</f>
        <v>-1231292.5170068026</v>
      </c>
      <c r="AV125" s="95">
        <f>1000*AS125/$AJ125</f>
        <v>-825396.82539682544</v>
      </c>
      <c r="AW125" s="95">
        <f>1000*AT125/$AJ125</f>
        <v>-1804988.6621315193</v>
      </c>
      <c r="AX125" s="95">
        <v>-1230</v>
      </c>
      <c r="AY125" s="95"/>
      <c r="AZ125" s="95"/>
      <c r="BA125" s="96"/>
      <c r="BB125" s="96"/>
      <c r="BC125" s="96"/>
      <c r="BD125" s="95"/>
      <c r="BE125" s="95"/>
      <c r="BF125" s="96"/>
      <c r="BG125" s="95"/>
      <c r="BH125" s="95"/>
      <c r="BI125" s="96"/>
      <c r="BJ125" s="97" t="s">
        <v>182</v>
      </c>
      <c r="BK125" s="98" t="str">
        <f t="shared" si="19"/>
        <v>Cost-saving</v>
      </c>
      <c r="BL125" s="98">
        <f t="shared" si="19"/>
        <v>0</v>
      </c>
      <c r="BM125" s="98">
        <f t="shared" si="19"/>
        <v>0</v>
      </c>
      <c r="BN125" s="99" t="s">
        <v>183</v>
      </c>
      <c r="BO125" s="100"/>
      <c r="BP125" s="100"/>
      <c r="BQ125" s="99" t="s">
        <v>183</v>
      </c>
      <c r="BR125" s="100"/>
      <c r="BS125" s="100"/>
      <c r="BT125" s="99" t="s">
        <v>183</v>
      </c>
      <c r="BU125" s="100"/>
      <c r="BV125" s="100"/>
      <c r="BW125" s="85"/>
      <c r="BX125" s="85" t="s">
        <v>361</v>
      </c>
      <c r="BY125" s="83" t="s">
        <v>362</v>
      </c>
      <c r="BZ125" s="102">
        <v>2016</v>
      </c>
      <c r="CA125" s="98"/>
      <c r="CB125" s="98"/>
      <c r="CC125" s="103">
        <f t="shared" si="16"/>
        <v>104</v>
      </c>
      <c r="CD125" s="98"/>
      <c r="CE125" s="98"/>
      <c r="CF125" s="98"/>
      <c r="CG125" s="105">
        <v>1</v>
      </c>
      <c r="CH125" s="105">
        <v>5</v>
      </c>
      <c r="CI125" s="105">
        <f>IF(AA125="Lifetime",2,IF(CJ125=1,2,"manual entry"))</f>
        <v>2</v>
      </c>
      <c r="CJ125" s="98">
        <f t="shared" ref="CJ125:CJ188" si="22">IF(CD125="Vos, Carter, Barendregt, Mihalopoulos, Veerman, Magnus, Cobiac, Bertram, Wallace &amp; ACE-Prevention Team",1,0)</f>
        <v>0</v>
      </c>
      <c r="CK125" s="98">
        <f>IF(CA125="C",0,IF(P125="Het",0,IF(SUM(AG125,AO125)=0,0,1)))</f>
        <v>1</v>
      </c>
      <c r="CL125" s="106" t="e">
        <f>IF(G125="AUS",VLOOKUP(H125,$CU$5:$CW$23,2),IF(G125="NZ",VLOOKUP(H125,$CU$5:$CW$23,3),"error"))*AU125</f>
        <v>#N/A</v>
      </c>
      <c r="CM125" s="107" t="e">
        <f>IF(G125="AUS",VLOOKUP(H125,$CU$5:$CW$23,2),IF(G125="NZ",VLOOKUP(H125,$CU$5:$CW$23,3),"error"))*AX125</f>
        <v>#N/A</v>
      </c>
      <c r="CN125" s="106" t="e">
        <f>IF(G125="AUS",VLOOKUP(H125,$CU$5:$CW$23,2),IF(G125="NZ",VLOOKUP(H125,$CU$5:$CW$23,3),"error"))*BK125</f>
        <v>#N/A</v>
      </c>
    </row>
    <row r="126" spans="1:92" s="108" customFormat="1" ht="229.5" hidden="1">
      <c r="A126" s="83" t="str">
        <f t="shared" si="21"/>
        <v>Tobacco</v>
      </c>
      <c r="B126" s="84" t="s">
        <v>170</v>
      </c>
      <c r="C126" s="85"/>
      <c r="D126" s="86"/>
      <c r="E126" s="85" t="s">
        <v>172</v>
      </c>
      <c r="F126" s="85" t="str">
        <f t="shared" si="11"/>
        <v xml:space="preserve">Tobacco; ; Prevention ; </v>
      </c>
      <c r="G126" s="85" t="s">
        <v>205</v>
      </c>
      <c r="H126" s="85">
        <v>2011</v>
      </c>
      <c r="I126" s="85" t="str">
        <f>CONCATENATE(A126,", ",G126,": ",J126)</f>
        <v>Tobacco, NZ: Sinking lid on tobacco supply (reducing tobacco commercial sales each year until sales are zero in 2025)</v>
      </c>
      <c r="J126" s="87" t="s">
        <v>361</v>
      </c>
      <c r="K126" s="87"/>
      <c r="L126" s="87"/>
      <c r="M126" s="87"/>
      <c r="N126" s="87"/>
      <c r="O126" s="87"/>
      <c r="P126" s="85" t="s">
        <v>215</v>
      </c>
      <c r="Q126" s="85" t="str">
        <f>IF($P126="Main",J126,BX126)</f>
        <v>in men</v>
      </c>
      <c r="R126" s="85" t="str">
        <f>IF($P126="Main",CONCATENATE(J126,": ",G126),BY126)</f>
        <v>in men</v>
      </c>
      <c r="S126" s="85"/>
      <c r="T126" s="85"/>
      <c r="U126" s="88"/>
      <c r="V126" s="88"/>
      <c r="W126" s="88"/>
      <c r="X126" s="88"/>
      <c r="Y126" s="85"/>
      <c r="Z126" s="85"/>
      <c r="AA126" s="85"/>
      <c r="AB126" s="85"/>
      <c r="AC126" s="89">
        <v>0.03</v>
      </c>
      <c r="AD126" s="122"/>
      <c r="AE126" s="83"/>
      <c r="AF126" s="83"/>
      <c r="AG126" s="90">
        <v>140000</v>
      </c>
      <c r="AH126" s="90"/>
      <c r="AI126" s="90"/>
      <c r="AJ126" s="91">
        <v>2164610</v>
      </c>
      <c r="AK126" s="92">
        <f t="shared" si="12"/>
        <v>64.676777802929848</v>
      </c>
      <c r="AL126" s="92"/>
      <c r="AM126" s="92"/>
      <c r="AN126" s="93"/>
      <c r="AO126" s="94"/>
      <c r="AP126" s="94"/>
      <c r="AQ126" s="94"/>
      <c r="AR126" s="95">
        <v>-3170000000</v>
      </c>
      <c r="AS126" s="95"/>
      <c r="AT126" s="95"/>
      <c r="AU126" s="95">
        <f t="shared" ref="AU126:AU189" si="23">1000*AR126/$AJ126</f>
        <v>-1464467.0402520546</v>
      </c>
      <c r="AV126" s="95"/>
      <c r="AW126" s="95"/>
      <c r="AX126" s="95"/>
      <c r="AY126" s="95"/>
      <c r="AZ126" s="95"/>
      <c r="BA126" s="96"/>
      <c r="BB126" s="96"/>
      <c r="BC126" s="96"/>
      <c r="BD126" s="95"/>
      <c r="BE126" s="95"/>
      <c r="BF126" s="96"/>
      <c r="BG126" s="95"/>
      <c r="BH126" s="95"/>
      <c r="BI126" s="96"/>
      <c r="BJ126" s="97" t="s">
        <v>182</v>
      </c>
      <c r="BK126" s="98" t="str">
        <f t="shared" si="19"/>
        <v>Cost-saving</v>
      </c>
      <c r="BL126" s="98">
        <f t="shared" si="19"/>
        <v>0</v>
      </c>
      <c r="BM126" s="98">
        <f t="shared" si="19"/>
        <v>0</v>
      </c>
      <c r="BN126" s="99" t="s">
        <v>183</v>
      </c>
      <c r="BO126" s="100"/>
      <c r="BP126" s="100"/>
      <c r="BQ126" s="99" t="s">
        <v>183</v>
      </c>
      <c r="BR126" s="100"/>
      <c r="BS126" s="100"/>
      <c r="BT126" s="99" t="s">
        <v>183</v>
      </c>
      <c r="BU126" s="100"/>
      <c r="BV126" s="100"/>
      <c r="BW126" s="85"/>
      <c r="BX126" s="85" t="s">
        <v>216</v>
      </c>
      <c r="BY126" s="83" t="s">
        <v>216</v>
      </c>
      <c r="BZ126" s="102">
        <v>2016</v>
      </c>
      <c r="CA126" s="98"/>
      <c r="CB126" s="98"/>
      <c r="CC126" s="103">
        <f t="shared" si="16"/>
        <v>104</v>
      </c>
      <c r="CD126" s="98"/>
      <c r="CE126" s="98"/>
      <c r="CF126" s="98"/>
      <c r="CG126" s="105">
        <v>1</v>
      </c>
      <c r="CH126" s="105" t="str">
        <f>IF(CK126=0,"",IF(V126="Persistent",5,IF(V126="Once",1,IF(V126="One-off",1,"manual overwrite"))))</f>
        <v/>
      </c>
      <c r="CI126" s="105"/>
      <c r="CJ126" s="98">
        <f t="shared" si="22"/>
        <v>0</v>
      </c>
      <c r="CK126" s="98">
        <f>IF(CA126="C",0,IF(P126="Het",0,IF(SUM(AG126,AO126)=0,0,1)))</f>
        <v>0</v>
      </c>
      <c r="CL126" s="106" t="e">
        <f>IF(G126="AUS",VLOOKUP(H126,$CU$5:$CW$23,2),IF(G126="NZ",VLOOKUP(H126,$CU$5:$CW$23,3),"error"))*AU126</f>
        <v>#N/A</v>
      </c>
      <c r="CM126" s="107" t="e">
        <f>IF(G126="AUS",VLOOKUP(H126,$CU$5:$CW$23,2),IF(G126="NZ",VLOOKUP(H126,$CU$5:$CW$23,3),"error"))*AX126</f>
        <v>#N/A</v>
      </c>
      <c r="CN126" s="106" t="e">
        <f>IF(G126="AUS",VLOOKUP(H126,$CU$5:$CW$23,2),IF(G126="NZ",VLOOKUP(H126,$CU$5:$CW$23,3),"error"))*BK126</f>
        <v>#N/A</v>
      </c>
    </row>
    <row r="127" spans="1:92" s="108" customFormat="1" ht="229.5" hidden="1">
      <c r="A127" s="83" t="str">
        <f t="shared" si="21"/>
        <v>Tobacco</v>
      </c>
      <c r="B127" s="84" t="s">
        <v>170</v>
      </c>
      <c r="C127" s="85"/>
      <c r="D127" s="86"/>
      <c r="E127" s="85" t="s">
        <v>172</v>
      </c>
      <c r="F127" s="85" t="str">
        <f t="shared" si="11"/>
        <v xml:space="preserve">Tobacco; ; Prevention ; </v>
      </c>
      <c r="G127" s="85" t="s">
        <v>205</v>
      </c>
      <c r="H127" s="85">
        <v>2011</v>
      </c>
      <c r="I127" s="85" t="str">
        <f>CONCATENATE(A127,", ",G127,": ",J127)</f>
        <v>Tobacco, NZ: Sinking lid on tobacco supply (reducing tobacco commercial sales each year until sales are zero in 2025)</v>
      </c>
      <c r="J127" s="87" t="s">
        <v>361</v>
      </c>
      <c r="K127" s="87"/>
      <c r="L127" s="87"/>
      <c r="M127" s="87"/>
      <c r="N127" s="87"/>
      <c r="O127" s="87"/>
      <c r="P127" s="85" t="s">
        <v>215</v>
      </c>
      <c r="Q127" s="85" t="str">
        <f>IF($P127="Main",J127,BX127)</f>
        <v>in men aged 0-14 yrs</v>
      </c>
      <c r="R127" s="85" t="str">
        <f>IF($P127="Main",CONCATENATE(J127,": ",G127),BY127)</f>
        <v>in men aged 0-14 yrs</v>
      </c>
      <c r="S127" s="85"/>
      <c r="T127" s="85"/>
      <c r="U127" s="85"/>
      <c r="V127" s="88"/>
      <c r="W127" s="88"/>
      <c r="X127" s="88"/>
      <c r="Y127" s="85"/>
      <c r="Z127" s="85"/>
      <c r="AA127" s="85"/>
      <c r="AB127" s="85"/>
      <c r="AC127" s="89">
        <v>0.03</v>
      </c>
      <c r="AD127" s="122"/>
      <c r="AE127" s="83"/>
      <c r="AF127" s="83"/>
      <c r="AG127" s="90">
        <v>25400</v>
      </c>
      <c r="AH127" s="90"/>
      <c r="AI127" s="90"/>
      <c r="AJ127" s="91">
        <v>458240</v>
      </c>
      <c r="AK127" s="92">
        <f t="shared" si="12"/>
        <v>55.429469273743017</v>
      </c>
      <c r="AL127" s="92"/>
      <c r="AM127" s="92"/>
      <c r="AN127" s="93"/>
      <c r="AO127" s="94"/>
      <c r="AP127" s="94"/>
      <c r="AQ127" s="94"/>
      <c r="AR127" s="95">
        <v>-709000000</v>
      </c>
      <c r="AS127" s="95"/>
      <c r="AT127" s="95"/>
      <c r="AU127" s="95">
        <f t="shared" si="23"/>
        <v>-1547224.1620111731</v>
      </c>
      <c r="AV127" s="95"/>
      <c r="AW127" s="95"/>
      <c r="AX127" s="95"/>
      <c r="AY127" s="95"/>
      <c r="AZ127" s="95"/>
      <c r="BA127" s="96"/>
      <c r="BB127" s="96"/>
      <c r="BC127" s="96"/>
      <c r="BD127" s="95"/>
      <c r="BE127" s="95"/>
      <c r="BF127" s="96"/>
      <c r="BG127" s="95"/>
      <c r="BH127" s="95"/>
      <c r="BI127" s="96"/>
      <c r="BJ127" s="97" t="s">
        <v>182</v>
      </c>
      <c r="BK127" s="98" t="str">
        <f t="shared" si="19"/>
        <v>Cost-saving</v>
      </c>
      <c r="BL127" s="98">
        <f t="shared" si="19"/>
        <v>0</v>
      </c>
      <c r="BM127" s="98">
        <f t="shared" si="19"/>
        <v>0</v>
      </c>
      <c r="BN127" s="99" t="s">
        <v>183</v>
      </c>
      <c r="BO127" s="100"/>
      <c r="BP127" s="100"/>
      <c r="BQ127" s="99" t="s">
        <v>183</v>
      </c>
      <c r="BR127" s="100"/>
      <c r="BS127" s="100"/>
      <c r="BT127" s="99" t="s">
        <v>183</v>
      </c>
      <c r="BU127" s="100"/>
      <c r="BV127" s="100"/>
      <c r="BW127" s="85"/>
      <c r="BX127" s="85" t="s">
        <v>363</v>
      </c>
      <c r="BY127" s="83" t="s">
        <v>363</v>
      </c>
      <c r="BZ127" s="102">
        <v>2016</v>
      </c>
      <c r="CA127" s="98"/>
      <c r="CB127" s="98"/>
      <c r="CC127" s="103">
        <f t="shared" si="16"/>
        <v>104</v>
      </c>
      <c r="CD127" s="98"/>
      <c r="CE127" s="98"/>
      <c r="CF127" s="98"/>
      <c r="CG127" s="105">
        <v>1</v>
      </c>
      <c r="CH127" s="105" t="str">
        <f>IF(CK127=0,"",IF(V127="Persistent",5,IF(V127="Once",1,IF(V127="One-off",1,"manual overwrite"))))</f>
        <v/>
      </c>
      <c r="CI127" s="105"/>
      <c r="CJ127" s="98">
        <f t="shared" si="22"/>
        <v>0</v>
      </c>
      <c r="CK127" s="98">
        <f>IF(CA127="C",0,IF(P127="Het",0,IF(SUM(AG127,AO127)=0,0,1)))</f>
        <v>0</v>
      </c>
      <c r="CL127" s="106" t="e">
        <f>IF(G127="AUS",VLOOKUP(H127,$CU$5:$CW$23,2),IF(G127="NZ",VLOOKUP(H127,$CU$5:$CW$23,3),"error"))*AU127</f>
        <v>#N/A</v>
      </c>
      <c r="CM127" s="107" t="e">
        <f>IF(G127="AUS",VLOOKUP(H127,$CU$5:$CW$23,2),IF(G127="NZ",VLOOKUP(H127,$CU$5:$CW$23,3),"error"))*AX127</f>
        <v>#N/A</v>
      </c>
      <c r="CN127" s="106" t="e">
        <f>IF(G127="AUS",VLOOKUP(H127,$CU$5:$CW$23,2),IF(G127="NZ",VLOOKUP(H127,$CU$5:$CW$23,3),"error"))*BK127</f>
        <v>#N/A</v>
      </c>
    </row>
    <row r="128" spans="1:92" s="108" customFormat="1" ht="229.5" hidden="1">
      <c r="A128" s="83" t="str">
        <f t="shared" si="21"/>
        <v>Tobacco</v>
      </c>
      <c r="B128" s="84" t="s">
        <v>170</v>
      </c>
      <c r="C128" s="85"/>
      <c r="D128" s="86"/>
      <c r="E128" s="85" t="s">
        <v>172</v>
      </c>
      <c r="F128" s="85" t="str">
        <f t="shared" si="11"/>
        <v xml:space="preserve">Tobacco; ; Prevention ; </v>
      </c>
      <c r="G128" s="85" t="s">
        <v>205</v>
      </c>
      <c r="H128" s="85">
        <v>2011</v>
      </c>
      <c r="I128" s="85" t="str">
        <f>CONCATENATE(A128,", ",G128,": ",J128)</f>
        <v>Tobacco, NZ: Sinking lid on tobacco supply (reducing tobacco commercial sales each year until sales are zero in 2025)</v>
      </c>
      <c r="J128" s="87" t="s">
        <v>361</v>
      </c>
      <c r="K128" s="87"/>
      <c r="L128" s="87"/>
      <c r="M128" s="87"/>
      <c r="N128" s="87"/>
      <c r="O128" s="87"/>
      <c r="P128" s="85" t="s">
        <v>215</v>
      </c>
      <c r="Q128" s="85" t="str">
        <f>IF($P128="Main",J128,BX128)</f>
        <v>in men aged 15-24 yrs</v>
      </c>
      <c r="R128" s="85" t="str">
        <f>IF($P128="Main",CONCATENATE(J128,": ",G128),BY128)</f>
        <v>in men aged 15-24 yrs</v>
      </c>
      <c r="S128" s="85"/>
      <c r="T128" s="85"/>
      <c r="U128" s="85"/>
      <c r="V128" s="88"/>
      <c r="W128" s="88"/>
      <c r="X128" s="88"/>
      <c r="Y128" s="85"/>
      <c r="Z128" s="85"/>
      <c r="AA128" s="85"/>
      <c r="AB128" s="85"/>
      <c r="AC128" s="89">
        <v>0.03</v>
      </c>
      <c r="AD128" s="122"/>
      <c r="AE128" s="83"/>
      <c r="AF128" s="83"/>
      <c r="AG128" s="90">
        <v>29000</v>
      </c>
      <c r="AH128" s="90"/>
      <c r="AI128" s="90"/>
      <c r="AJ128" s="91">
        <v>330930</v>
      </c>
      <c r="AK128" s="92">
        <f t="shared" si="12"/>
        <v>87.631825461577975</v>
      </c>
      <c r="AL128" s="92"/>
      <c r="AM128" s="92"/>
      <c r="AN128" s="93"/>
      <c r="AO128" s="94"/>
      <c r="AP128" s="94"/>
      <c r="AQ128" s="94"/>
      <c r="AR128" s="95">
        <v>-766000000</v>
      </c>
      <c r="AS128" s="95"/>
      <c r="AT128" s="95"/>
      <c r="AU128" s="95">
        <f t="shared" si="23"/>
        <v>-2314688.9070196114</v>
      </c>
      <c r="AV128" s="95"/>
      <c r="AW128" s="95"/>
      <c r="AX128" s="95"/>
      <c r="AY128" s="95"/>
      <c r="AZ128" s="95"/>
      <c r="BA128" s="96"/>
      <c r="BB128" s="96"/>
      <c r="BC128" s="96"/>
      <c r="BD128" s="95"/>
      <c r="BE128" s="95"/>
      <c r="BF128" s="96"/>
      <c r="BG128" s="95"/>
      <c r="BH128" s="95"/>
      <c r="BI128" s="96"/>
      <c r="BJ128" s="97" t="s">
        <v>182</v>
      </c>
      <c r="BK128" s="98" t="str">
        <f t="shared" si="19"/>
        <v>Cost-saving</v>
      </c>
      <c r="BL128" s="98">
        <f t="shared" si="19"/>
        <v>0</v>
      </c>
      <c r="BM128" s="98">
        <f t="shared" si="19"/>
        <v>0</v>
      </c>
      <c r="BN128" s="99" t="s">
        <v>183</v>
      </c>
      <c r="BO128" s="100"/>
      <c r="BP128" s="100"/>
      <c r="BQ128" s="99" t="s">
        <v>183</v>
      </c>
      <c r="BR128" s="100"/>
      <c r="BS128" s="100"/>
      <c r="BT128" s="99" t="s">
        <v>183</v>
      </c>
      <c r="BU128" s="100"/>
      <c r="BV128" s="100"/>
      <c r="BW128" s="85"/>
      <c r="BX128" s="85" t="s">
        <v>364</v>
      </c>
      <c r="BY128" s="83" t="s">
        <v>364</v>
      </c>
      <c r="BZ128" s="102">
        <v>2016</v>
      </c>
      <c r="CA128" s="98"/>
      <c r="CB128" s="98"/>
      <c r="CC128" s="103">
        <f t="shared" si="16"/>
        <v>104</v>
      </c>
      <c r="CD128" s="98"/>
      <c r="CE128" s="98"/>
      <c r="CF128" s="98"/>
      <c r="CG128" s="105">
        <v>1</v>
      </c>
      <c r="CH128" s="105" t="str">
        <f>IF(CK128=0,"",IF(V128="Persistent",5,IF(V128="Once",1,IF(V128="One-off",1,"manual overwrite"))))</f>
        <v/>
      </c>
      <c r="CI128" s="105"/>
      <c r="CJ128" s="98">
        <f t="shared" si="22"/>
        <v>0</v>
      </c>
      <c r="CK128" s="98">
        <f>IF(CA128="C",0,IF(P128="Het",0,IF(SUM(AG128,AO128)=0,0,1)))</f>
        <v>0</v>
      </c>
      <c r="CL128" s="106" t="e">
        <f>IF(G128="AUS",VLOOKUP(H128,$CU$5:$CW$23,2),IF(G128="NZ",VLOOKUP(H128,$CU$5:$CW$23,3),"error"))*AU128</f>
        <v>#N/A</v>
      </c>
      <c r="CM128" s="107" t="e">
        <f>IF(G128="AUS",VLOOKUP(H128,$CU$5:$CW$23,2),IF(G128="NZ",VLOOKUP(H128,$CU$5:$CW$23,3),"error"))*AX128</f>
        <v>#N/A</v>
      </c>
      <c r="CN128" s="106" t="e">
        <f>IF(G128="AUS",VLOOKUP(H128,$CU$5:$CW$23,2),IF(G128="NZ",VLOOKUP(H128,$CU$5:$CW$23,3),"error"))*BK128</f>
        <v>#N/A</v>
      </c>
    </row>
    <row r="129" spans="1:92" s="108" customFormat="1" ht="229.5" hidden="1">
      <c r="A129" s="83" t="str">
        <f t="shared" si="21"/>
        <v>Tobacco</v>
      </c>
      <c r="B129" s="84" t="s">
        <v>170</v>
      </c>
      <c r="C129" s="85"/>
      <c r="D129" s="86"/>
      <c r="E129" s="85" t="s">
        <v>172</v>
      </c>
      <c r="F129" s="85" t="str">
        <f t="shared" si="11"/>
        <v xml:space="preserve">Tobacco; ; Prevention ; </v>
      </c>
      <c r="G129" s="85" t="s">
        <v>205</v>
      </c>
      <c r="H129" s="85">
        <v>2011</v>
      </c>
      <c r="I129" s="85" t="str">
        <f>CONCATENATE(A129,", ",G129,": ",J129)</f>
        <v>Tobacco, NZ: Sinking lid on tobacco supply (reducing tobacco commercial sales each year until sales are zero in 2025)</v>
      </c>
      <c r="J129" s="87" t="s">
        <v>361</v>
      </c>
      <c r="K129" s="87"/>
      <c r="L129" s="87"/>
      <c r="M129" s="87"/>
      <c r="N129" s="87"/>
      <c r="O129" s="87"/>
      <c r="P129" s="85" t="s">
        <v>215</v>
      </c>
      <c r="Q129" s="85" t="str">
        <f>IF($P129="Main",J129,BX129)</f>
        <v>in men age 25-44 yrs</v>
      </c>
      <c r="R129" s="85" t="str">
        <f>IF($P129="Main",CONCATENATE(J129,": ",G129),BY129)</f>
        <v>in men age 25-44 yrs</v>
      </c>
      <c r="S129" s="85"/>
      <c r="T129" s="85"/>
      <c r="U129" s="85"/>
      <c r="V129" s="88"/>
      <c r="W129" s="88"/>
      <c r="X129" s="88"/>
      <c r="Y129" s="85"/>
      <c r="Z129" s="85"/>
      <c r="AA129" s="85"/>
      <c r="AB129" s="85"/>
      <c r="AC129" s="89">
        <v>0.03</v>
      </c>
      <c r="AD129" s="122"/>
      <c r="AE129" s="83"/>
      <c r="AF129" s="83"/>
      <c r="AG129" s="90">
        <v>61600</v>
      </c>
      <c r="AH129" s="90"/>
      <c r="AI129" s="90"/>
      <c r="AJ129" s="91">
        <v>564950</v>
      </c>
      <c r="AK129" s="92">
        <f t="shared" si="12"/>
        <v>109.0361978936189</v>
      </c>
      <c r="AL129" s="92"/>
      <c r="AM129" s="92"/>
      <c r="AN129" s="93"/>
      <c r="AO129" s="94"/>
      <c r="AP129" s="94"/>
      <c r="AQ129" s="94"/>
      <c r="AR129" s="95">
        <v>-1332000000</v>
      </c>
      <c r="AS129" s="95"/>
      <c r="AT129" s="95"/>
      <c r="AU129" s="95">
        <f t="shared" si="23"/>
        <v>-2357730.7726347465</v>
      </c>
      <c r="AV129" s="95"/>
      <c r="AW129" s="95"/>
      <c r="AX129" s="95"/>
      <c r="AY129" s="95"/>
      <c r="AZ129" s="95"/>
      <c r="BA129" s="96"/>
      <c r="BB129" s="96"/>
      <c r="BC129" s="96"/>
      <c r="BD129" s="95"/>
      <c r="BE129" s="95"/>
      <c r="BF129" s="96"/>
      <c r="BG129" s="95"/>
      <c r="BH129" s="95"/>
      <c r="BI129" s="96"/>
      <c r="BJ129" s="97" t="s">
        <v>182</v>
      </c>
      <c r="BK129" s="98" t="str">
        <f t="shared" si="19"/>
        <v>Cost-saving</v>
      </c>
      <c r="BL129" s="98">
        <f t="shared" si="19"/>
        <v>0</v>
      </c>
      <c r="BM129" s="98">
        <f t="shared" si="19"/>
        <v>0</v>
      </c>
      <c r="BN129" s="99" t="s">
        <v>183</v>
      </c>
      <c r="BO129" s="100"/>
      <c r="BP129" s="100"/>
      <c r="BQ129" s="99" t="s">
        <v>183</v>
      </c>
      <c r="BR129" s="100"/>
      <c r="BS129" s="100"/>
      <c r="BT129" s="99" t="s">
        <v>183</v>
      </c>
      <c r="BU129" s="100"/>
      <c r="BV129" s="100"/>
      <c r="BW129" s="85"/>
      <c r="BX129" s="85" t="s">
        <v>329</v>
      </c>
      <c r="BY129" s="83" t="s">
        <v>329</v>
      </c>
      <c r="BZ129" s="102">
        <v>2016</v>
      </c>
      <c r="CA129" s="98"/>
      <c r="CB129" s="98"/>
      <c r="CC129" s="103">
        <f t="shared" si="16"/>
        <v>104</v>
      </c>
      <c r="CD129" s="98"/>
      <c r="CE129" s="98"/>
      <c r="CF129" s="98"/>
      <c r="CG129" s="105">
        <v>1</v>
      </c>
      <c r="CH129" s="105" t="str">
        <f>IF(CK129=0,"",IF(V129="Persistent",5,IF(V129="Once",1,IF(V129="One-off",1,"manual overwrite"))))</f>
        <v/>
      </c>
      <c r="CI129" s="105"/>
      <c r="CJ129" s="98">
        <f t="shared" si="22"/>
        <v>0</v>
      </c>
      <c r="CK129" s="98">
        <f>IF(CA129="C",0,IF(P129="Het",0,IF(SUM(AG129,AO129)=0,0,1)))</f>
        <v>0</v>
      </c>
      <c r="CL129" s="106" t="e">
        <f>IF(G129="AUS",VLOOKUP(H129,$CU$5:$CW$23,2),IF(G129="NZ",VLOOKUP(H129,$CU$5:$CW$23,3),"error"))*AU129</f>
        <v>#N/A</v>
      </c>
      <c r="CM129" s="107" t="e">
        <f>IF(G129="AUS",VLOOKUP(H129,$CU$5:$CW$23,2),IF(G129="NZ",VLOOKUP(H129,$CU$5:$CW$23,3),"error"))*AX129</f>
        <v>#N/A</v>
      </c>
      <c r="CN129" s="106" t="e">
        <f>IF(G129="AUS",VLOOKUP(H129,$CU$5:$CW$23,2),IF(G129="NZ",VLOOKUP(H129,$CU$5:$CW$23,3),"error"))*BK129</f>
        <v>#N/A</v>
      </c>
    </row>
    <row r="130" spans="1:92" s="108" customFormat="1" ht="229.5" hidden="1">
      <c r="A130" s="83" t="str">
        <f t="shared" si="21"/>
        <v>Tobacco</v>
      </c>
      <c r="B130" s="84" t="s">
        <v>170</v>
      </c>
      <c r="C130" s="85"/>
      <c r="D130" s="86"/>
      <c r="E130" s="85" t="s">
        <v>172</v>
      </c>
      <c r="F130" s="85" t="str">
        <f t="shared" si="11"/>
        <v xml:space="preserve">Tobacco; ; Prevention ; </v>
      </c>
      <c r="G130" s="85" t="s">
        <v>205</v>
      </c>
      <c r="H130" s="85">
        <v>2011</v>
      </c>
      <c r="I130" s="85" t="str">
        <f>CONCATENATE(A130,", ",G130,": ",J130)</f>
        <v>Tobacco, NZ: Sinking lid on tobacco supply (reducing tobacco commercial sales each year until sales are zero in 2025)</v>
      </c>
      <c r="J130" s="87" t="s">
        <v>361</v>
      </c>
      <c r="K130" s="87"/>
      <c r="L130" s="87"/>
      <c r="M130" s="87"/>
      <c r="N130" s="87"/>
      <c r="O130" s="87"/>
      <c r="P130" s="85" t="s">
        <v>215</v>
      </c>
      <c r="Q130" s="85" t="str">
        <f>IF($P130="Main",J130,BX130)</f>
        <v>in men age 45-64 yrs</v>
      </c>
      <c r="R130" s="85" t="str">
        <f>IF($P130="Main",CONCATENATE(J130,": ",G130),BY130)</f>
        <v>in men age 45-64 yrs</v>
      </c>
      <c r="S130" s="85"/>
      <c r="T130" s="85"/>
      <c r="U130" s="85"/>
      <c r="V130" s="88"/>
      <c r="W130" s="88"/>
      <c r="X130" s="88"/>
      <c r="Y130" s="85"/>
      <c r="Z130" s="85"/>
      <c r="AA130" s="85"/>
      <c r="AB130" s="85"/>
      <c r="AC130" s="89">
        <v>0.03</v>
      </c>
      <c r="AD130" s="122"/>
      <c r="AE130" s="83"/>
      <c r="AF130" s="83"/>
      <c r="AG130" s="90">
        <v>23800</v>
      </c>
      <c r="AH130" s="90"/>
      <c r="AI130" s="90"/>
      <c r="AJ130" s="91">
        <v>542180</v>
      </c>
      <c r="AK130" s="92">
        <f t="shared" si="12"/>
        <v>43.896860821129515</v>
      </c>
      <c r="AL130" s="92"/>
      <c r="AM130" s="92"/>
      <c r="AN130" s="93"/>
      <c r="AO130" s="94"/>
      <c r="AP130" s="94"/>
      <c r="AQ130" s="94"/>
      <c r="AR130" s="95">
        <v>-360000000</v>
      </c>
      <c r="AS130" s="95"/>
      <c r="AT130" s="95"/>
      <c r="AU130" s="95">
        <f t="shared" si="23"/>
        <v>-663986.13006750529</v>
      </c>
      <c r="AV130" s="95"/>
      <c r="AW130" s="95"/>
      <c r="AX130" s="95"/>
      <c r="AY130" s="95"/>
      <c r="AZ130" s="95"/>
      <c r="BA130" s="96"/>
      <c r="BB130" s="96"/>
      <c r="BC130" s="96"/>
      <c r="BD130" s="95"/>
      <c r="BE130" s="95"/>
      <c r="BF130" s="96"/>
      <c r="BG130" s="95"/>
      <c r="BH130" s="95"/>
      <c r="BI130" s="96"/>
      <c r="BJ130" s="97" t="s">
        <v>182</v>
      </c>
      <c r="BK130" s="98" t="str">
        <f t="shared" si="19"/>
        <v>Cost-saving</v>
      </c>
      <c r="BL130" s="98">
        <f t="shared" si="19"/>
        <v>0</v>
      </c>
      <c r="BM130" s="98">
        <f t="shared" si="19"/>
        <v>0</v>
      </c>
      <c r="BN130" s="99" t="s">
        <v>183</v>
      </c>
      <c r="BO130" s="100"/>
      <c r="BP130" s="100"/>
      <c r="BQ130" s="99" t="s">
        <v>183</v>
      </c>
      <c r="BR130" s="100"/>
      <c r="BS130" s="100"/>
      <c r="BT130" s="99" t="s">
        <v>183</v>
      </c>
      <c r="BU130" s="100"/>
      <c r="BV130" s="100"/>
      <c r="BW130" s="85"/>
      <c r="BX130" s="85" t="s">
        <v>330</v>
      </c>
      <c r="BY130" s="83" t="s">
        <v>330</v>
      </c>
      <c r="BZ130" s="102">
        <v>2016</v>
      </c>
      <c r="CA130" s="98"/>
      <c r="CB130" s="98"/>
      <c r="CC130" s="103">
        <f t="shared" si="16"/>
        <v>104</v>
      </c>
      <c r="CD130" s="98"/>
      <c r="CE130" s="98"/>
      <c r="CF130" s="98"/>
      <c r="CG130" s="105">
        <v>1</v>
      </c>
      <c r="CH130" s="105" t="str">
        <f>IF(CK130=0,"",IF(V130="Persistent",5,IF(V130="Once",1,IF(V130="One-off",1,"manual overwrite"))))</f>
        <v/>
      </c>
      <c r="CI130" s="105"/>
      <c r="CJ130" s="98">
        <f t="shared" si="22"/>
        <v>0</v>
      </c>
      <c r="CK130" s="98">
        <f>IF(CA130="C",0,IF(P130="Het",0,IF(SUM(AG130,AO130)=0,0,1)))</f>
        <v>0</v>
      </c>
      <c r="CL130" s="106" t="e">
        <f>IF(G130="AUS",VLOOKUP(H130,$CU$5:$CW$23,2),IF(G130="NZ",VLOOKUP(H130,$CU$5:$CW$23,3),"error"))*AU130</f>
        <v>#N/A</v>
      </c>
      <c r="CM130" s="107" t="e">
        <f>IF(G130="AUS",VLOOKUP(H130,$CU$5:$CW$23,2),IF(G130="NZ",VLOOKUP(H130,$CU$5:$CW$23,3),"error"))*AX130</f>
        <v>#N/A</v>
      </c>
      <c r="CN130" s="106" t="e">
        <f>IF(G130="AUS",VLOOKUP(H130,$CU$5:$CW$23,2),IF(G130="NZ",VLOOKUP(H130,$CU$5:$CW$23,3),"error"))*BK130</f>
        <v>#N/A</v>
      </c>
    </row>
    <row r="131" spans="1:92" s="108" customFormat="1" ht="229.5" hidden="1">
      <c r="A131" s="83" t="str">
        <f t="shared" si="21"/>
        <v>Tobacco</v>
      </c>
      <c r="B131" s="84" t="s">
        <v>170</v>
      </c>
      <c r="C131" s="85"/>
      <c r="D131" s="86"/>
      <c r="E131" s="85" t="s">
        <v>172</v>
      </c>
      <c r="F131" s="85" t="str">
        <f t="shared" ref="F131:F194" si="24">CONCATENATE(B131,"; ",C131,"; ",E131,"; ",D131)</f>
        <v xml:space="preserve">Tobacco; ; Prevention ; </v>
      </c>
      <c r="G131" s="85" t="s">
        <v>205</v>
      </c>
      <c r="H131" s="85">
        <v>2011</v>
      </c>
      <c r="I131" s="85" t="str">
        <f>CONCATENATE(A131,", ",G131,": ",J131)</f>
        <v>Tobacco, NZ: Sinking lid on tobacco supply (reducing tobacco commercial sales each year until sales are zero in 2025)</v>
      </c>
      <c r="J131" s="87" t="s">
        <v>361</v>
      </c>
      <c r="K131" s="87"/>
      <c r="L131" s="87"/>
      <c r="M131" s="87"/>
      <c r="N131" s="87"/>
      <c r="O131" s="87"/>
      <c r="P131" s="85" t="s">
        <v>215</v>
      </c>
      <c r="Q131" s="85" t="str">
        <f>IF($P131="Main",J131,BX131)</f>
        <v xml:space="preserve">in men age 65+ yrs </v>
      </c>
      <c r="R131" s="85" t="str">
        <f>IF($P131="Main",CONCATENATE(J131,": ",G131),BY131)</f>
        <v xml:space="preserve">in men age 65+ yrs </v>
      </c>
      <c r="S131" s="85"/>
      <c r="T131" s="85"/>
      <c r="U131" s="85"/>
      <c r="V131" s="88"/>
      <c r="W131" s="88"/>
      <c r="X131" s="88"/>
      <c r="Y131" s="85"/>
      <c r="Z131" s="85"/>
      <c r="AA131" s="85"/>
      <c r="AB131" s="85"/>
      <c r="AC131" s="89">
        <v>0.03</v>
      </c>
      <c r="AD131" s="122"/>
      <c r="AE131" s="83"/>
      <c r="AF131" s="83"/>
      <c r="AG131" s="90">
        <v>680</v>
      </c>
      <c r="AH131" s="90"/>
      <c r="AI131" s="90"/>
      <c r="AJ131" s="91">
        <v>268310</v>
      </c>
      <c r="AK131" s="92">
        <f t="shared" ref="AK131:AK194" si="25">AG131/$AJ131*1000</f>
        <v>2.5343818717155533</v>
      </c>
      <c r="AL131" s="92"/>
      <c r="AM131" s="92"/>
      <c r="AN131" s="93"/>
      <c r="AO131" s="94"/>
      <c r="AP131" s="94"/>
      <c r="AQ131" s="94"/>
      <c r="AR131" s="95">
        <v>-3540000</v>
      </c>
      <c r="AS131" s="95"/>
      <c r="AT131" s="95"/>
      <c r="AU131" s="95">
        <f t="shared" si="23"/>
        <v>-13193.693861578025</v>
      </c>
      <c r="AV131" s="95"/>
      <c r="AW131" s="95"/>
      <c r="AX131" s="95"/>
      <c r="AY131" s="95"/>
      <c r="AZ131" s="95"/>
      <c r="BA131" s="96"/>
      <c r="BB131" s="96"/>
      <c r="BC131" s="96"/>
      <c r="BD131" s="95"/>
      <c r="BE131" s="95"/>
      <c r="BF131" s="96"/>
      <c r="BG131" s="95"/>
      <c r="BH131" s="95"/>
      <c r="BI131" s="96"/>
      <c r="BJ131" s="97" t="s">
        <v>182</v>
      </c>
      <c r="BK131" s="98" t="str">
        <f t="shared" si="19"/>
        <v>Cost-saving</v>
      </c>
      <c r="BL131" s="98">
        <f t="shared" si="19"/>
        <v>0</v>
      </c>
      <c r="BM131" s="98">
        <f t="shared" si="19"/>
        <v>0</v>
      </c>
      <c r="BN131" s="99" t="s">
        <v>183</v>
      </c>
      <c r="BO131" s="100"/>
      <c r="BP131" s="100"/>
      <c r="BQ131" s="99" t="s">
        <v>183</v>
      </c>
      <c r="BR131" s="100"/>
      <c r="BS131" s="100"/>
      <c r="BT131" s="99" t="s">
        <v>183</v>
      </c>
      <c r="BU131" s="100"/>
      <c r="BV131" s="100"/>
      <c r="BW131" s="85"/>
      <c r="BX131" s="85" t="s">
        <v>221</v>
      </c>
      <c r="BY131" s="83" t="s">
        <v>221</v>
      </c>
      <c r="BZ131" s="102">
        <v>2016</v>
      </c>
      <c r="CA131" s="98"/>
      <c r="CB131" s="98"/>
      <c r="CC131" s="103">
        <f t="shared" si="16"/>
        <v>104</v>
      </c>
      <c r="CD131" s="98"/>
      <c r="CE131" s="98"/>
      <c r="CF131" s="98"/>
      <c r="CG131" s="105">
        <v>1</v>
      </c>
      <c r="CH131" s="105" t="str">
        <f>IF(CK131=0,"",IF(V131="Persistent",5,IF(V131="Once",1,IF(V131="One-off",1,"manual overwrite"))))</f>
        <v/>
      </c>
      <c r="CI131" s="105"/>
      <c r="CJ131" s="98">
        <f t="shared" si="22"/>
        <v>0</v>
      </c>
      <c r="CK131" s="98">
        <f>IF(CA131="C",0,IF(P131="Het",0,IF(SUM(AG131,AO131)=0,0,1)))</f>
        <v>0</v>
      </c>
      <c r="CL131" s="106" t="e">
        <f>IF(G131="AUS",VLOOKUP(H131,$CU$5:$CW$23,2),IF(G131="NZ",VLOOKUP(H131,$CU$5:$CW$23,3),"error"))*AU131</f>
        <v>#N/A</v>
      </c>
      <c r="CM131" s="107" t="e">
        <f>IF(G131="AUS",VLOOKUP(H131,$CU$5:$CW$23,2),IF(G131="NZ",VLOOKUP(H131,$CU$5:$CW$23,3),"error"))*AX131</f>
        <v>#N/A</v>
      </c>
      <c r="CN131" s="106" t="e">
        <f>IF(G131="AUS",VLOOKUP(H131,$CU$5:$CW$23,2),IF(G131="NZ",VLOOKUP(H131,$CU$5:$CW$23,3),"error"))*BK131</f>
        <v>#N/A</v>
      </c>
    </row>
    <row r="132" spans="1:92" s="108" customFormat="1" ht="229.5" hidden="1">
      <c r="A132" s="83" t="str">
        <f t="shared" si="21"/>
        <v>Tobacco</v>
      </c>
      <c r="B132" s="84" t="s">
        <v>170</v>
      </c>
      <c r="C132" s="85"/>
      <c r="D132" s="86"/>
      <c r="E132" s="85" t="s">
        <v>172</v>
      </c>
      <c r="F132" s="85" t="str">
        <f t="shared" si="24"/>
        <v xml:space="preserve">Tobacco; ; Prevention ; </v>
      </c>
      <c r="G132" s="85" t="s">
        <v>205</v>
      </c>
      <c r="H132" s="85">
        <v>2011</v>
      </c>
      <c r="I132" s="85" t="str">
        <f>CONCATENATE(A132,", ",G132,": ",J132)</f>
        <v>Tobacco, NZ: Sinking lid on tobacco supply (reducing tobacco commercial sales each year until sales are zero in 2025)</v>
      </c>
      <c r="J132" s="87" t="s">
        <v>361</v>
      </c>
      <c r="K132" s="87"/>
      <c r="L132" s="87"/>
      <c r="M132" s="87"/>
      <c r="N132" s="87"/>
      <c r="O132" s="87"/>
      <c r="P132" s="85" t="s">
        <v>215</v>
      </c>
      <c r="Q132" s="85" t="str">
        <f>IF($P132="Main",J132,BX132)</f>
        <v>in women</v>
      </c>
      <c r="R132" s="85" t="str">
        <f>IF($P132="Main",CONCATENATE(J132,": ",G132),BY132)</f>
        <v>in women</v>
      </c>
      <c r="S132" s="85"/>
      <c r="T132" s="85"/>
      <c r="U132" s="85"/>
      <c r="V132" s="88"/>
      <c r="W132" s="88"/>
      <c r="X132" s="88"/>
      <c r="Y132" s="85"/>
      <c r="Z132" s="85"/>
      <c r="AA132" s="85"/>
      <c r="AB132" s="85"/>
      <c r="AC132" s="89">
        <v>0.03</v>
      </c>
      <c r="AD132" s="122"/>
      <c r="AE132" s="83"/>
      <c r="AF132" s="83"/>
      <c r="AG132" s="90">
        <v>142000</v>
      </c>
      <c r="AH132" s="90"/>
      <c r="AI132" s="90"/>
      <c r="AJ132" s="91">
        <v>2240660</v>
      </c>
      <c r="AK132" s="92">
        <f t="shared" si="25"/>
        <v>63.374184392098755</v>
      </c>
      <c r="AL132" s="92"/>
      <c r="AM132" s="92"/>
      <c r="AN132" s="93"/>
      <c r="AO132" s="94"/>
      <c r="AP132" s="94"/>
      <c r="AQ132" s="94"/>
      <c r="AR132" s="95">
        <v>-2260000000</v>
      </c>
      <c r="AS132" s="95"/>
      <c r="AT132" s="95"/>
      <c r="AU132" s="95">
        <f t="shared" si="23"/>
        <v>-1008631.3853953746</v>
      </c>
      <c r="AV132" s="95"/>
      <c r="AW132" s="95"/>
      <c r="AX132" s="95"/>
      <c r="AY132" s="95"/>
      <c r="AZ132" s="95"/>
      <c r="BA132" s="96"/>
      <c r="BB132" s="96"/>
      <c r="BC132" s="96"/>
      <c r="BD132" s="95"/>
      <c r="BE132" s="95"/>
      <c r="BF132" s="96"/>
      <c r="BG132" s="95"/>
      <c r="BH132" s="95"/>
      <c r="BI132" s="96"/>
      <c r="BJ132" s="97" t="s">
        <v>182</v>
      </c>
      <c r="BK132" s="98" t="str">
        <f t="shared" si="19"/>
        <v>Cost-saving</v>
      </c>
      <c r="BL132" s="98">
        <f t="shared" si="19"/>
        <v>0</v>
      </c>
      <c r="BM132" s="98">
        <f t="shared" si="19"/>
        <v>0</v>
      </c>
      <c r="BN132" s="99" t="s">
        <v>183</v>
      </c>
      <c r="BO132" s="100"/>
      <c r="BP132" s="100"/>
      <c r="BQ132" s="99" t="s">
        <v>183</v>
      </c>
      <c r="BR132" s="100"/>
      <c r="BS132" s="100"/>
      <c r="BT132" s="99" t="s">
        <v>183</v>
      </c>
      <c r="BU132" s="100"/>
      <c r="BV132" s="100"/>
      <c r="BW132" s="85"/>
      <c r="BX132" s="85" t="s">
        <v>222</v>
      </c>
      <c r="BY132" s="83" t="s">
        <v>222</v>
      </c>
      <c r="BZ132" s="102">
        <v>2016</v>
      </c>
      <c r="CA132" s="98"/>
      <c r="CB132" s="98"/>
      <c r="CC132" s="103">
        <f t="shared" si="16"/>
        <v>104</v>
      </c>
      <c r="CD132" s="98"/>
      <c r="CE132" s="98"/>
      <c r="CF132" s="98"/>
      <c r="CG132" s="105">
        <v>1</v>
      </c>
      <c r="CH132" s="105" t="str">
        <f>IF(CK132=0,"",IF(V132="Persistent",5,IF(V132="Once",1,IF(V132="One-off",1,"manual overwrite"))))</f>
        <v/>
      </c>
      <c r="CI132" s="105"/>
      <c r="CJ132" s="98">
        <f t="shared" si="22"/>
        <v>0</v>
      </c>
      <c r="CK132" s="98">
        <f>IF(CA132="C",0,IF(P132="Het",0,IF(SUM(AG132,AO132)=0,0,1)))</f>
        <v>0</v>
      </c>
      <c r="CL132" s="106" t="e">
        <f>IF(G132="AUS",VLOOKUP(H132,$CU$5:$CW$23,2),IF(G132="NZ",VLOOKUP(H132,$CU$5:$CW$23,3),"error"))*AU132</f>
        <v>#N/A</v>
      </c>
      <c r="CM132" s="107" t="e">
        <f>IF(G132="AUS",VLOOKUP(H132,$CU$5:$CW$23,2),IF(G132="NZ",VLOOKUP(H132,$CU$5:$CW$23,3),"error"))*AX132</f>
        <v>#N/A</v>
      </c>
      <c r="CN132" s="106" t="e">
        <f>IF(G132="AUS",VLOOKUP(H132,$CU$5:$CW$23,2),IF(G132="NZ",VLOOKUP(H132,$CU$5:$CW$23,3),"error"))*BK132</f>
        <v>#N/A</v>
      </c>
    </row>
    <row r="133" spans="1:92" s="108" customFormat="1" ht="229.5" hidden="1">
      <c r="A133" s="83" t="str">
        <f t="shared" si="21"/>
        <v>Tobacco</v>
      </c>
      <c r="B133" s="84" t="s">
        <v>170</v>
      </c>
      <c r="C133" s="85"/>
      <c r="D133" s="86"/>
      <c r="E133" s="85" t="s">
        <v>172</v>
      </c>
      <c r="F133" s="85" t="str">
        <f t="shared" si="24"/>
        <v xml:space="preserve">Tobacco; ; Prevention ; </v>
      </c>
      <c r="G133" s="85" t="s">
        <v>205</v>
      </c>
      <c r="H133" s="85">
        <v>2011</v>
      </c>
      <c r="I133" s="85" t="str">
        <f>CONCATENATE(A133,", ",G133,": ",J133)</f>
        <v>Tobacco, NZ: Sinking lid on tobacco supply (reducing tobacco commercial sales each year until sales are zero in 2025)</v>
      </c>
      <c r="J133" s="87" t="s">
        <v>361</v>
      </c>
      <c r="K133" s="87"/>
      <c r="L133" s="87"/>
      <c r="M133" s="87"/>
      <c r="N133" s="87"/>
      <c r="O133" s="87"/>
      <c r="P133" s="85" t="s">
        <v>215</v>
      </c>
      <c r="Q133" s="85" t="str">
        <f>IF($P133="Main",J133,BX133)</f>
        <v>in women age 0-14 yrs</v>
      </c>
      <c r="R133" s="85" t="str">
        <f>IF($P133="Main",CONCATENATE(J133,": ",G133),BY133)</f>
        <v>in women age 0-14 yrs</v>
      </c>
      <c r="S133" s="85"/>
      <c r="T133" s="85"/>
      <c r="U133" s="85"/>
      <c r="V133" s="88"/>
      <c r="W133" s="88"/>
      <c r="X133" s="88"/>
      <c r="Y133" s="85"/>
      <c r="Z133" s="85"/>
      <c r="AA133" s="85"/>
      <c r="AB133" s="85"/>
      <c r="AC133" s="89">
        <v>0.03</v>
      </c>
      <c r="AD133" s="122"/>
      <c r="AE133" s="83"/>
      <c r="AF133" s="83"/>
      <c r="AG133" s="90">
        <v>27800</v>
      </c>
      <c r="AH133" s="90"/>
      <c r="AI133" s="90"/>
      <c r="AJ133" s="91">
        <v>436380</v>
      </c>
      <c r="AK133" s="92">
        <f t="shared" si="25"/>
        <v>63.705944360419821</v>
      </c>
      <c r="AL133" s="92"/>
      <c r="AM133" s="92"/>
      <c r="AN133" s="93"/>
      <c r="AO133" s="94"/>
      <c r="AP133" s="94"/>
      <c r="AQ133" s="94"/>
      <c r="AR133" s="95">
        <v>-515000000</v>
      </c>
      <c r="AS133" s="95"/>
      <c r="AT133" s="95"/>
      <c r="AU133" s="95">
        <f t="shared" si="23"/>
        <v>-1180164.0771804391</v>
      </c>
      <c r="AV133" s="95"/>
      <c r="AW133" s="95"/>
      <c r="AX133" s="95"/>
      <c r="AY133" s="95"/>
      <c r="AZ133" s="95"/>
      <c r="BA133" s="96"/>
      <c r="BB133" s="96"/>
      <c r="BC133" s="96"/>
      <c r="BD133" s="95"/>
      <c r="BE133" s="95"/>
      <c r="BF133" s="96"/>
      <c r="BG133" s="95"/>
      <c r="BH133" s="95"/>
      <c r="BI133" s="96"/>
      <c r="BJ133" s="97" t="s">
        <v>182</v>
      </c>
      <c r="BK133" s="98" t="str">
        <f t="shared" si="19"/>
        <v>Cost-saving</v>
      </c>
      <c r="BL133" s="98">
        <f t="shared" si="19"/>
        <v>0</v>
      </c>
      <c r="BM133" s="98">
        <f t="shared" si="19"/>
        <v>0</v>
      </c>
      <c r="BN133" s="99" t="s">
        <v>183</v>
      </c>
      <c r="BO133" s="100"/>
      <c r="BP133" s="100"/>
      <c r="BQ133" s="99" t="s">
        <v>183</v>
      </c>
      <c r="BR133" s="100"/>
      <c r="BS133" s="100"/>
      <c r="BT133" s="99" t="s">
        <v>183</v>
      </c>
      <c r="BU133" s="100"/>
      <c r="BV133" s="100"/>
      <c r="BW133" s="85"/>
      <c r="BX133" s="85" t="s">
        <v>223</v>
      </c>
      <c r="BY133" s="83" t="s">
        <v>223</v>
      </c>
      <c r="BZ133" s="102">
        <v>2016</v>
      </c>
      <c r="CA133" s="98"/>
      <c r="CB133" s="98"/>
      <c r="CC133" s="103">
        <f t="shared" si="16"/>
        <v>104</v>
      </c>
      <c r="CD133" s="98"/>
      <c r="CE133" s="98"/>
      <c r="CF133" s="98"/>
      <c r="CG133" s="105">
        <v>1</v>
      </c>
      <c r="CH133" s="105" t="str">
        <f>IF(CK133=0,"",IF(V133="Persistent",5,IF(V133="Once",1,IF(V133="One-off",1,"manual overwrite"))))</f>
        <v/>
      </c>
      <c r="CI133" s="105"/>
      <c r="CJ133" s="98">
        <f t="shared" si="22"/>
        <v>0</v>
      </c>
      <c r="CK133" s="98">
        <f>IF(CA133="C",0,IF(P133="Het",0,IF(SUM(AG133,AO133)=0,0,1)))</f>
        <v>0</v>
      </c>
      <c r="CL133" s="106" t="e">
        <f>IF(G133="AUS",VLOOKUP(H133,$CU$5:$CW$23,2),IF(G133="NZ",VLOOKUP(H133,$CU$5:$CW$23,3),"error"))*AU133</f>
        <v>#N/A</v>
      </c>
      <c r="CM133" s="107" t="e">
        <f>IF(G133="AUS",VLOOKUP(H133,$CU$5:$CW$23,2),IF(G133="NZ",VLOOKUP(H133,$CU$5:$CW$23,3),"error"))*AX133</f>
        <v>#N/A</v>
      </c>
      <c r="CN133" s="106" t="e">
        <f>IF(G133="AUS",VLOOKUP(H133,$CU$5:$CW$23,2),IF(G133="NZ",VLOOKUP(H133,$CU$5:$CW$23,3),"error"))*BK133</f>
        <v>#N/A</v>
      </c>
    </row>
    <row r="134" spans="1:92" s="108" customFormat="1" ht="229.5" hidden="1">
      <c r="A134" s="83" t="str">
        <f t="shared" si="21"/>
        <v>Tobacco</v>
      </c>
      <c r="B134" s="84" t="s">
        <v>170</v>
      </c>
      <c r="C134" s="85"/>
      <c r="D134" s="86"/>
      <c r="E134" s="85" t="s">
        <v>172</v>
      </c>
      <c r="F134" s="85" t="str">
        <f t="shared" si="24"/>
        <v xml:space="preserve">Tobacco; ; Prevention ; </v>
      </c>
      <c r="G134" s="85" t="s">
        <v>205</v>
      </c>
      <c r="H134" s="85">
        <v>2011</v>
      </c>
      <c r="I134" s="85" t="str">
        <f>CONCATENATE(A134,", ",G134,": ",J134)</f>
        <v>Tobacco, NZ: Sinking lid on tobacco supply (reducing tobacco commercial sales each year until sales are zero in 2025)</v>
      </c>
      <c r="J134" s="87" t="s">
        <v>361</v>
      </c>
      <c r="K134" s="87"/>
      <c r="L134" s="87"/>
      <c r="M134" s="87"/>
      <c r="N134" s="87"/>
      <c r="O134" s="87"/>
      <c r="P134" s="85" t="s">
        <v>215</v>
      </c>
      <c r="Q134" s="85" t="str">
        <f>IF($P134="Main",J134,BX134)</f>
        <v>in women age 15-24 yrs</v>
      </c>
      <c r="R134" s="85" t="str">
        <f>IF($P134="Main",CONCATENATE(J134,": ",G134),BY134)</f>
        <v>in women age 15-24 yrs</v>
      </c>
      <c r="S134" s="85"/>
      <c r="T134" s="85"/>
      <c r="U134" s="85"/>
      <c r="V134" s="88"/>
      <c r="W134" s="88"/>
      <c r="X134" s="88"/>
      <c r="Y134" s="85"/>
      <c r="Z134" s="85"/>
      <c r="AA134" s="85"/>
      <c r="AB134" s="85"/>
      <c r="AC134" s="89">
        <v>0.03</v>
      </c>
      <c r="AD134" s="122"/>
      <c r="AE134" s="83"/>
      <c r="AF134" s="83"/>
      <c r="AG134" s="90">
        <v>28000</v>
      </c>
      <c r="AH134" s="90"/>
      <c r="AI134" s="90"/>
      <c r="AJ134" s="91">
        <v>311500</v>
      </c>
      <c r="AK134" s="92">
        <f t="shared" si="25"/>
        <v>89.887640449438194</v>
      </c>
      <c r="AL134" s="92"/>
      <c r="AM134" s="92"/>
      <c r="AN134" s="93"/>
      <c r="AO134" s="94"/>
      <c r="AP134" s="94"/>
      <c r="AQ134" s="94"/>
      <c r="AR134" s="95">
        <v>-512000000</v>
      </c>
      <c r="AS134" s="95"/>
      <c r="AT134" s="95"/>
      <c r="AU134" s="95">
        <f t="shared" si="23"/>
        <v>-1643659.7110754414</v>
      </c>
      <c r="AV134" s="95"/>
      <c r="AW134" s="95"/>
      <c r="AX134" s="95"/>
      <c r="AY134" s="95"/>
      <c r="AZ134" s="95"/>
      <c r="BA134" s="96"/>
      <c r="BB134" s="96"/>
      <c r="BC134" s="96"/>
      <c r="BD134" s="95"/>
      <c r="BE134" s="95"/>
      <c r="BF134" s="96"/>
      <c r="BG134" s="95"/>
      <c r="BH134" s="95"/>
      <c r="BI134" s="96"/>
      <c r="BJ134" s="97" t="s">
        <v>182</v>
      </c>
      <c r="BK134" s="98" t="str">
        <f t="shared" si="19"/>
        <v>Cost-saving</v>
      </c>
      <c r="BL134" s="98">
        <f t="shared" si="19"/>
        <v>0</v>
      </c>
      <c r="BM134" s="98">
        <f t="shared" si="19"/>
        <v>0</v>
      </c>
      <c r="BN134" s="99" t="s">
        <v>183</v>
      </c>
      <c r="BO134" s="100"/>
      <c r="BP134" s="100"/>
      <c r="BQ134" s="99" t="s">
        <v>183</v>
      </c>
      <c r="BR134" s="100"/>
      <c r="BS134" s="100"/>
      <c r="BT134" s="99" t="s">
        <v>183</v>
      </c>
      <c r="BU134" s="100"/>
      <c r="BV134" s="100"/>
      <c r="BW134" s="85"/>
      <c r="BX134" s="85" t="s">
        <v>332</v>
      </c>
      <c r="BY134" s="83" t="s">
        <v>332</v>
      </c>
      <c r="BZ134" s="102">
        <v>2016</v>
      </c>
      <c r="CA134" s="98"/>
      <c r="CB134" s="98"/>
      <c r="CC134" s="103">
        <f t="shared" si="16"/>
        <v>104</v>
      </c>
      <c r="CD134" s="98"/>
      <c r="CE134" s="98"/>
      <c r="CF134" s="98"/>
      <c r="CG134" s="105">
        <v>1</v>
      </c>
      <c r="CH134" s="105" t="str">
        <f>IF(CK134=0,"",IF(V134="Persistent",5,IF(V134="Once",1,IF(V134="One-off",1,"manual overwrite"))))</f>
        <v/>
      </c>
      <c r="CI134" s="105"/>
      <c r="CJ134" s="98">
        <f t="shared" si="22"/>
        <v>0</v>
      </c>
      <c r="CK134" s="98">
        <f>IF(CA134="C",0,IF(P134="Het",0,IF(SUM(AG134,AO134)=0,0,1)))</f>
        <v>0</v>
      </c>
      <c r="CL134" s="106" t="e">
        <f>IF(G134="AUS",VLOOKUP(H134,$CU$5:$CW$23,2),IF(G134="NZ",VLOOKUP(H134,$CU$5:$CW$23,3),"error"))*AU134</f>
        <v>#N/A</v>
      </c>
      <c r="CM134" s="107" t="e">
        <f>IF(G134="AUS",VLOOKUP(H134,$CU$5:$CW$23,2),IF(G134="NZ",VLOOKUP(H134,$CU$5:$CW$23,3),"error"))*AX134</f>
        <v>#N/A</v>
      </c>
      <c r="CN134" s="106" t="e">
        <f>IF(G134="AUS",VLOOKUP(H134,$CU$5:$CW$23,2),IF(G134="NZ",VLOOKUP(H134,$CU$5:$CW$23,3),"error"))*BK134</f>
        <v>#N/A</v>
      </c>
    </row>
    <row r="135" spans="1:92" s="108" customFormat="1" ht="229.5" hidden="1">
      <c r="A135" s="83" t="str">
        <f t="shared" si="21"/>
        <v>Tobacco</v>
      </c>
      <c r="B135" s="84" t="s">
        <v>170</v>
      </c>
      <c r="C135" s="85"/>
      <c r="D135" s="86"/>
      <c r="E135" s="85" t="s">
        <v>172</v>
      </c>
      <c r="F135" s="85" t="str">
        <f t="shared" si="24"/>
        <v xml:space="preserve">Tobacco; ; Prevention ; </v>
      </c>
      <c r="G135" s="85" t="s">
        <v>205</v>
      </c>
      <c r="H135" s="85">
        <v>2011</v>
      </c>
      <c r="I135" s="85" t="str">
        <f>CONCATENATE(A135,", ",G135,": ",J135)</f>
        <v>Tobacco, NZ: Sinking lid on tobacco supply (reducing tobacco commercial sales each year until sales are zero in 2025)</v>
      </c>
      <c r="J135" s="87" t="s">
        <v>361</v>
      </c>
      <c r="K135" s="87"/>
      <c r="L135" s="87"/>
      <c r="M135" s="87"/>
      <c r="N135" s="87"/>
      <c r="O135" s="87"/>
      <c r="P135" s="85" t="s">
        <v>215</v>
      </c>
      <c r="Q135" s="85" t="str">
        <f>IF($P135="Main",J135,BX135)</f>
        <v>in women age 25-44 yrs</v>
      </c>
      <c r="R135" s="85" t="str">
        <f>IF($P135="Main",CONCATENATE(J135,": ",G135),BY135)</f>
        <v>in women age 25-44 yrs</v>
      </c>
      <c r="S135" s="85"/>
      <c r="T135" s="85"/>
      <c r="U135" s="85"/>
      <c r="V135" s="88"/>
      <c r="W135" s="88"/>
      <c r="X135" s="88"/>
      <c r="Y135" s="85"/>
      <c r="Z135" s="85"/>
      <c r="AA135" s="85"/>
      <c r="AB135" s="85"/>
      <c r="AC135" s="89">
        <v>0.03</v>
      </c>
      <c r="AD135" s="122"/>
      <c r="AE135" s="83"/>
      <c r="AF135" s="83"/>
      <c r="AG135" s="90">
        <v>60500</v>
      </c>
      <c r="AH135" s="90"/>
      <c r="AI135" s="90"/>
      <c r="AJ135" s="91">
        <v>604390</v>
      </c>
      <c r="AK135" s="92">
        <f t="shared" si="25"/>
        <v>100.10092820860703</v>
      </c>
      <c r="AL135" s="92"/>
      <c r="AM135" s="92"/>
      <c r="AN135" s="93"/>
      <c r="AO135" s="94"/>
      <c r="AP135" s="94"/>
      <c r="AQ135" s="94"/>
      <c r="AR135" s="95">
        <v>-957000000</v>
      </c>
      <c r="AS135" s="95"/>
      <c r="AT135" s="95"/>
      <c r="AU135" s="95">
        <f t="shared" si="23"/>
        <v>-1583414.682572511</v>
      </c>
      <c r="AV135" s="95"/>
      <c r="AW135" s="95"/>
      <c r="AX135" s="95"/>
      <c r="AY135" s="95"/>
      <c r="AZ135" s="95"/>
      <c r="BA135" s="96"/>
      <c r="BB135" s="96"/>
      <c r="BC135" s="96"/>
      <c r="BD135" s="95"/>
      <c r="BE135" s="95"/>
      <c r="BF135" s="96"/>
      <c r="BG135" s="95"/>
      <c r="BH135" s="95"/>
      <c r="BI135" s="96"/>
      <c r="BJ135" s="97" t="s">
        <v>182</v>
      </c>
      <c r="BK135" s="98" t="str">
        <f t="shared" si="19"/>
        <v>Cost-saving</v>
      </c>
      <c r="BL135" s="98">
        <f t="shared" si="19"/>
        <v>0</v>
      </c>
      <c r="BM135" s="98">
        <f t="shared" si="19"/>
        <v>0</v>
      </c>
      <c r="BN135" s="99" t="s">
        <v>183</v>
      </c>
      <c r="BO135" s="100"/>
      <c r="BP135" s="100"/>
      <c r="BQ135" s="99" t="s">
        <v>183</v>
      </c>
      <c r="BR135" s="100"/>
      <c r="BS135" s="100"/>
      <c r="BT135" s="99" t="s">
        <v>183</v>
      </c>
      <c r="BU135" s="100"/>
      <c r="BV135" s="100"/>
      <c r="BW135" s="85"/>
      <c r="BX135" s="85" t="s">
        <v>225</v>
      </c>
      <c r="BY135" s="83" t="s">
        <v>225</v>
      </c>
      <c r="BZ135" s="102">
        <v>2016</v>
      </c>
      <c r="CA135" s="98"/>
      <c r="CB135" s="98"/>
      <c r="CC135" s="103">
        <f t="shared" si="16"/>
        <v>104</v>
      </c>
      <c r="CD135" s="98"/>
      <c r="CE135" s="98"/>
      <c r="CF135" s="98"/>
      <c r="CG135" s="105">
        <v>1</v>
      </c>
      <c r="CH135" s="105" t="str">
        <f>IF(CK135=0,"",IF(V135="Persistent",5,IF(V135="Once",1,IF(V135="One-off",1,"manual overwrite"))))</f>
        <v/>
      </c>
      <c r="CI135" s="105"/>
      <c r="CJ135" s="98">
        <f t="shared" si="22"/>
        <v>0</v>
      </c>
      <c r="CK135" s="98">
        <f>IF(CA135="C",0,IF(P135="Het",0,IF(SUM(AG135,AO135)=0,0,1)))</f>
        <v>0</v>
      </c>
      <c r="CL135" s="106" t="e">
        <f>IF(G135="AUS",VLOOKUP(H135,$CU$5:$CW$23,2),IF(G135="NZ",VLOOKUP(H135,$CU$5:$CW$23,3),"error"))*AU135</f>
        <v>#N/A</v>
      </c>
      <c r="CM135" s="107" t="e">
        <f>IF(G135="AUS",VLOOKUP(H135,$CU$5:$CW$23,2),IF(G135="NZ",VLOOKUP(H135,$CU$5:$CW$23,3),"error"))*AX135</f>
        <v>#N/A</v>
      </c>
      <c r="CN135" s="106" t="e">
        <f>IF(G135="AUS",VLOOKUP(H135,$CU$5:$CW$23,2),IF(G135="NZ",VLOOKUP(H135,$CU$5:$CW$23,3),"error"))*BK135</f>
        <v>#N/A</v>
      </c>
    </row>
    <row r="136" spans="1:92" s="108" customFormat="1" ht="229.5" hidden="1">
      <c r="A136" s="83" t="str">
        <f t="shared" si="21"/>
        <v>Tobacco</v>
      </c>
      <c r="B136" s="84" t="s">
        <v>170</v>
      </c>
      <c r="C136" s="85"/>
      <c r="D136" s="86"/>
      <c r="E136" s="85" t="s">
        <v>172</v>
      </c>
      <c r="F136" s="85" t="str">
        <f t="shared" si="24"/>
        <v xml:space="preserve">Tobacco; ; Prevention ; </v>
      </c>
      <c r="G136" s="85" t="s">
        <v>205</v>
      </c>
      <c r="H136" s="85">
        <v>2011</v>
      </c>
      <c r="I136" s="85" t="str">
        <f>CONCATENATE(A136,", ",G136,": ",J136)</f>
        <v>Tobacco, NZ: Sinking lid on tobacco supply (reducing tobacco commercial sales each year until sales are zero in 2025)</v>
      </c>
      <c r="J136" s="87" t="s">
        <v>361</v>
      </c>
      <c r="K136" s="87"/>
      <c r="L136" s="87"/>
      <c r="M136" s="87"/>
      <c r="N136" s="87"/>
      <c r="O136" s="87"/>
      <c r="P136" s="85" t="s">
        <v>215</v>
      </c>
      <c r="Q136" s="85" t="str">
        <f>IF($P136="Main",J136,BX136)</f>
        <v>in women age 45-64 yrs</v>
      </c>
      <c r="R136" s="85" t="str">
        <f>IF($P136="Main",CONCATENATE(J136,": ",G136),BY136)</f>
        <v>in women age 45-64 yrs</v>
      </c>
      <c r="S136" s="85"/>
      <c r="T136" s="85"/>
      <c r="U136" s="85"/>
      <c r="V136" s="88"/>
      <c r="W136" s="88"/>
      <c r="X136" s="88"/>
      <c r="Y136" s="85"/>
      <c r="Z136" s="85"/>
      <c r="AA136" s="85"/>
      <c r="AB136" s="85"/>
      <c r="AC136" s="89">
        <v>0.03</v>
      </c>
      <c r="AD136" s="122"/>
      <c r="AE136" s="83"/>
      <c r="AF136" s="83"/>
      <c r="AG136" s="90">
        <v>24200</v>
      </c>
      <c r="AH136" s="90"/>
      <c r="AI136" s="90"/>
      <c r="AJ136" s="91">
        <v>569720</v>
      </c>
      <c r="AK136" s="92">
        <f t="shared" si="25"/>
        <v>42.477006248683566</v>
      </c>
      <c r="AL136" s="92"/>
      <c r="AM136" s="92"/>
      <c r="AN136" s="93"/>
      <c r="AO136" s="94"/>
      <c r="AP136" s="94"/>
      <c r="AQ136" s="94"/>
      <c r="AR136" s="95">
        <v>-270000000</v>
      </c>
      <c r="AS136" s="95"/>
      <c r="AT136" s="95"/>
      <c r="AU136" s="95">
        <f t="shared" si="23"/>
        <v>-473917.01186547778</v>
      </c>
      <c r="AV136" s="95"/>
      <c r="AW136" s="95"/>
      <c r="AX136" s="95"/>
      <c r="AY136" s="95"/>
      <c r="AZ136" s="95"/>
      <c r="BA136" s="96"/>
      <c r="BB136" s="96"/>
      <c r="BC136" s="96"/>
      <c r="BD136" s="95"/>
      <c r="BE136" s="95"/>
      <c r="BF136" s="96"/>
      <c r="BG136" s="95"/>
      <c r="BH136" s="95"/>
      <c r="BI136" s="96"/>
      <c r="BJ136" s="97" t="s">
        <v>182</v>
      </c>
      <c r="BK136" s="98" t="str">
        <f t="shared" si="19"/>
        <v>Cost-saving</v>
      </c>
      <c r="BL136" s="98">
        <f t="shared" si="19"/>
        <v>0</v>
      </c>
      <c r="BM136" s="98">
        <f t="shared" si="19"/>
        <v>0</v>
      </c>
      <c r="BN136" s="99" t="s">
        <v>183</v>
      </c>
      <c r="BO136" s="100"/>
      <c r="BP136" s="100"/>
      <c r="BQ136" s="99" t="s">
        <v>183</v>
      </c>
      <c r="BR136" s="100"/>
      <c r="BS136" s="100"/>
      <c r="BT136" s="99" t="s">
        <v>183</v>
      </c>
      <c r="BU136" s="100"/>
      <c r="BV136" s="100"/>
      <c r="BW136" s="85"/>
      <c r="BX136" s="85" t="s">
        <v>226</v>
      </c>
      <c r="BY136" s="83" t="s">
        <v>226</v>
      </c>
      <c r="BZ136" s="102">
        <v>2016</v>
      </c>
      <c r="CA136" s="98"/>
      <c r="CB136" s="98"/>
      <c r="CC136" s="103">
        <f t="shared" si="16"/>
        <v>104</v>
      </c>
      <c r="CD136" s="98"/>
      <c r="CE136" s="98"/>
      <c r="CF136" s="98"/>
      <c r="CG136" s="105">
        <v>1</v>
      </c>
      <c r="CH136" s="105" t="str">
        <f>IF(CK136=0,"",IF(V136="Persistent",5,IF(V136="Once",1,IF(V136="One-off",1,"manual overwrite"))))</f>
        <v/>
      </c>
      <c r="CI136" s="105"/>
      <c r="CJ136" s="98">
        <f t="shared" si="22"/>
        <v>0</v>
      </c>
      <c r="CK136" s="98">
        <f>IF(CA136="C",0,IF(P136="Het",0,IF(SUM(AG136,AO136)=0,0,1)))</f>
        <v>0</v>
      </c>
      <c r="CL136" s="106" t="e">
        <f>IF(G136="AUS",VLOOKUP(H136,$CU$5:$CW$23,2),IF(G136="NZ",VLOOKUP(H136,$CU$5:$CW$23,3),"error"))*AU136</f>
        <v>#N/A</v>
      </c>
      <c r="CM136" s="107" t="e">
        <f>IF(G136="AUS",VLOOKUP(H136,$CU$5:$CW$23,2),IF(G136="NZ",VLOOKUP(H136,$CU$5:$CW$23,3),"error"))*AX136</f>
        <v>#N/A</v>
      </c>
      <c r="CN136" s="106" t="e">
        <f>IF(G136="AUS",VLOOKUP(H136,$CU$5:$CW$23,2),IF(G136="NZ",VLOOKUP(H136,$CU$5:$CW$23,3),"error"))*BK136</f>
        <v>#N/A</v>
      </c>
    </row>
    <row r="137" spans="1:92" s="108" customFormat="1" ht="229.5" hidden="1">
      <c r="A137" s="83" t="str">
        <f t="shared" si="21"/>
        <v>Tobacco</v>
      </c>
      <c r="B137" s="84" t="s">
        <v>170</v>
      </c>
      <c r="C137" s="85"/>
      <c r="D137" s="86"/>
      <c r="E137" s="85" t="s">
        <v>172</v>
      </c>
      <c r="F137" s="85" t="str">
        <f t="shared" si="24"/>
        <v xml:space="preserve">Tobacco; ; Prevention ; </v>
      </c>
      <c r="G137" s="85" t="s">
        <v>205</v>
      </c>
      <c r="H137" s="85">
        <v>2011</v>
      </c>
      <c r="I137" s="85" t="str">
        <f>CONCATENATE(A137,", ",G137,": ",J137)</f>
        <v>Tobacco, NZ: Sinking lid on tobacco supply (reducing tobacco commercial sales each year until sales are zero in 2025)</v>
      </c>
      <c r="J137" s="87" t="s">
        <v>361</v>
      </c>
      <c r="K137" s="87"/>
      <c r="L137" s="87"/>
      <c r="M137" s="87"/>
      <c r="N137" s="87"/>
      <c r="O137" s="87"/>
      <c r="P137" s="85" t="s">
        <v>215</v>
      </c>
      <c r="Q137" s="85" t="str">
        <f>IF($P137="Main",J137,BX137)</f>
        <v>in women age 65+ yrs</v>
      </c>
      <c r="R137" s="85" t="str">
        <f>IF($P137="Main",CONCATENATE(J137,": ",G137),BY137)</f>
        <v>in women age 65+ yrs</v>
      </c>
      <c r="S137" s="85"/>
      <c r="T137" s="85"/>
      <c r="U137" s="85"/>
      <c r="V137" s="88"/>
      <c r="W137" s="88"/>
      <c r="X137" s="88"/>
      <c r="Y137" s="85"/>
      <c r="Z137" s="85"/>
      <c r="AA137" s="85"/>
      <c r="AB137" s="85"/>
      <c r="AC137" s="89">
        <v>0.03</v>
      </c>
      <c r="AD137" s="122"/>
      <c r="AE137" s="83"/>
      <c r="AF137" s="83"/>
      <c r="AG137" s="90">
        <v>1040</v>
      </c>
      <c r="AH137" s="90"/>
      <c r="AI137" s="90"/>
      <c r="AJ137" s="91">
        <v>318670</v>
      </c>
      <c r="AK137" s="92">
        <f t="shared" si="25"/>
        <v>3.2635641886591142</v>
      </c>
      <c r="AL137" s="92"/>
      <c r="AM137" s="92"/>
      <c r="AN137" s="93"/>
      <c r="AO137" s="94"/>
      <c r="AP137" s="94"/>
      <c r="AQ137" s="94"/>
      <c r="AR137" s="95">
        <v>-3320000</v>
      </c>
      <c r="AS137" s="95"/>
      <c r="AT137" s="95"/>
      <c r="AU137" s="95">
        <f t="shared" si="23"/>
        <v>-10418.301063796403</v>
      </c>
      <c r="AV137" s="95"/>
      <c r="AW137" s="95"/>
      <c r="AX137" s="95"/>
      <c r="AY137" s="95"/>
      <c r="AZ137" s="95"/>
      <c r="BA137" s="96"/>
      <c r="BB137" s="96"/>
      <c r="BC137" s="96"/>
      <c r="BD137" s="95"/>
      <c r="BE137" s="95"/>
      <c r="BF137" s="96"/>
      <c r="BG137" s="95"/>
      <c r="BH137" s="95"/>
      <c r="BI137" s="96"/>
      <c r="BJ137" s="97" t="s">
        <v>182</v>
      </c>
      <c r="BK137" s="98" t="str">
        <f t="shared" si="19"/>
        <v>Cost-saving</v>
      </c>
      <c r="BL137" s="98">
        <f t="shared" si="19"/>
        <v>0</v>
      </c>
      <c r="BM137" s="98">
        <f t="shared" si="19"/>
        <v>0</v>
      </c>
      <c r="BN137" s="99" t="s">
        <v>183</v>
      </c>
      <c r="BO137" s="100"/>
      <c r="BP137" s="100"/>
      <c r="BQ137" s="99" t="s">
        <v>183</v>
      </c>
      <c r="BR137" s="100"/>
      <c r="BS137" s="100"/>
      <c r="BT137" s="99" t="s">
        <v>183</v>
      </c>
      <c r="BU137" s="100"/>
      <c r="BV137" s="100"/>
      <c r="BW137" s="85"/>
      <c r="BX137" s="85" t="s">
        <v>365</v>
      </c>
      <c r="BY137" s="83" t="s">
        <v>365</v>
      </c>
      <c r="BZ137" s="102">
        <v>2016</v>
      </c>
      <c r="CA137" s="98"/>
      <c r="CB137" s="98"/>
      <c r="CC137" s="103">
        <f t="shared" si="16"/>
        <v>104</v>
      </c>
      <c r="CD137" s="98"/>
      <c r="CE137" s="98"/>
      <c r="CF137" s="98"/>
      <c r="CG137" s="105">
        <v>1</v>
      </c>
      <c r="CH137" s="105" t="str">
        <f>IF(CK137=0,"",IF(V137="Persistent",5,IF(V137="Once",1,IF(V137="One-off",1,"manual overwrite"))))</f>
        <v/>
      </c>
      <c r="CI137" s="105"/>
      <c r="CJ137" s="98">
        <f t="shared" si="22"/>
        <v>0</v>
      </c>
      <c r="CK137" s="98">
        <f>IF(CA137="C",0,IF(P137="Het",0,IF(SUM(AG137,AO137)=0,0,1)))</f>
        <v>0</v>
      </c>
      <c r="CL137" s="106" t="e">
        <f>IF(G137="AUS",VLOOKUP(H137,$CU$5:$CW$23,2),IF(G137="NZ",VLOOKUP(H137,$CU$5:$CW$23,3),"error"))*AU137</f>
        <v>#N/A</v>
      </c>
      <c r="CM137" s="107" t="e">
        <f>IF(G137="AUS",VLOOKUP(H137,$CU$5:$CW$23,2),IF(G137="NZ",VLOOKUP(H137,$CU$5:$CW$23,3),"error"))*AX137</f>
        <v>#N/A</v>
      </c>
      <c r="CN137" s="106" t="e">
        <f>IF(G137="AUS",VLOOKUP(H137,$CU$5:$CW$23,2),IF(G137="NZ",VLOOKUP(H137,$CU$5:$CW$23,3),"error"))*BK137</f>
        <v>#N/A</v>
      </c>
    </row>
    <row r="138" spans="1:92" s="108" customFormat="1" ht="229.5" hidden="1">
      <c r="A138" s="83" t="str">
        <f t="shared" si="21"/>
        <v>Tobacco</v>
      </c>
      <c r="B138" s="84" t="s">
        <v>170</v>
      </c>
      <c r="C138" s="85"/>
      <c r="D138" s="86"/>
      <c r="E138" s="85" t="s">
        <v>172</v>
      </c>
      <c r="F138" s="85" t="str">
        <f t="shared" si="24"/>
        <v xml:space="preserve">Tobacco; ; Prevention ; </v>
      </c>
      <c r="G138" s="85" t="s">
        <v>205</v>
      </c>
      <c r="H138" s="85">
        <v>2011</v>
      </c>
      <c r="I138" s="85" t="str">
        <f>CONCATENATE(A138,", ",G138,": ",J138)</f>
        <v>Tobacco, NZ: Sinking lid on tobacco supply (reducing tobacco commercial sales each year until sales are zero in 2025)</v>
      </c>
      <c r="J138" s="87" t="s">
        <v>361</v>
      </c>
      <c r="K138" s="87"/>
      <c r="L138" s="87"/>
      <c r="M138" s="87"/>
      <c r="N138" s="87"/>
      <c r="O138" s="87"/>
      <c r="P138" s="85" t="s">
        <v>215</v>
      </c>
      <c r="Q138" s="85" t="str">
        <f>IF($P138="Main",J138,BX138)</f>
        <v>in non-Māori</v>
      </c>
      <c r="R138" s="85" t="str">
        <f>IF($P138="Main",CONCATENATE(J138,": ",G138),BY138)</f>
        <v>in non-Māori</v>
      </c>
      <c r="S138" s="85"/>
      <c r="T138" s="85"/>
      <c r="U138" s="85"/>
      <c r="V138" s="88"/>
      <c r="W138" s="88"/>
      <c r="X138" s="88"/>
      <c r="Y138" s="85"/>
      <c r="Z138" s="85"/>
      <c r="AA138" s="85"/>
      <c r="AB138" s="85"/>
      <c r="AC138" s="89">
        <v>0.03</v>
      </c>
      <c r="AD138" s="122"/>
      <c r="AE138" s="83"/>
      <c r="AF138" s="83"/>
      <c r="AG138" s="90">
        <v>177000</v>
      </c>
      <c r="AH138" s="90">
        <v>115000</v>
      </c>
      <c r="AI138" s="90">
        <v>260900</v>
      </c>
      <c r="AJ138" s="91">
        <v>3731070</v>
      </c>
      <c r="AK138" s="92">
        <f t="shared" si="25"/>
        <v>47.439474467109974</v>
      </c>
      <c r="AL138" s="92">
        <f>AH138/$AJ138*1000</f>
        <v>30.822257422133596</v>
      </c>
      <c r="AM138" s="92">
        <f>AI138/$AJ138*1000</f>
        <v>69.92632140377961</v>
      </c>
      <c r="AN138" s="93"/>
      <c r="AO138" s="94">
        <v>4.8000000000000001E-2</v>
      </c>
      <c r="AP138" s="94"/>
      <c r="AQ138" s="94"/>
      <c r="AR138" s="95">
        <v>-3890000000</v>
      </c>
      <c r="AS138" s="95">
        <v>-2550000000</v>
      </c>
      <c r="AT138" s="95">
        <v>-5790000000</v>
      </c>
      <c r="AU138" s="95">
        <f t="shared" si="23"/>
        <v>-1042596.3597573886</v>
      </c>
      <c r="AV138" s="95">
        <f>1000*AS138/$AJ138</f>
        <v>-683450.0558820928</v>
      </c>
      <c r="AW138" s="95">
        <f>1000*AT138/$AJ138</f>
        <v>-1551833.6562969871</v>
      </c>
      <c r="AX138" s="95">
        <v>-1040</v>
      </c>
      <c r="AY138" s="95"/>
      <c r="AZ138" s="95"/>
      <c r="BA138" s="96"/>
      <c r="BB138" s="96"/>
      <c r="BC138" s="96"/>
      <c r="BD138" s="95"/>
      <c r="BE138" s="95"/>
      <c r="BF138" s="96"/>
      <c r="BG138" s="95"/>
      <c r="BH138" s="95"/>
      <c r="BI138" s="96"/>
      <c r="BJ138" s="97" t="s">
        <v>182</v>
      </c>
      <c r="BK138" s="98" t="str">
        <f t="shared" si="19"/>
        <v>Cost-saving</v>
      </c>
      <c r="BL138" s="98">
        <f t="shared" si="19"/>
        <v>0</v>
      </c>
      <c r="BM138" s="98">
        <f t="shared" si="19"/>
        <v>0</v>
      </c>
      <c r="BN138" s="99" t="s">
        <v>183</v>
      </c>
      <c r="BO138" s="100"/>
      <c r="BP138" s="100"/>
      <c r="BQ138" s="99" t="s">
        <v>183</v>
      </c>
      <c r="BR138" s="100"/>
      <c r="BS138" s="100"/>
      <c r="BT138" s="99" t="s">
        <v>183</v>
      </c>
      <c r="BU138" s="100"/>
      <c r="BV138" s="100"/>
      <c r="BW138" s="85"/>
      <c r="BX138" s="85" t="s">
        <v>228</v>
      </c>
      <c r="BY138" s="83" t="s">
        <v>228</v>
      </c>
      <c r="BZ138" s="102">
        <v>2016</v>
      </c>
      <c r="CA138" s="98"/>
      <c r="CB138" s="98"/>
      <c r="CC138" s="103">
        <f t="shared" si="16"/>
        <v>104</v>
      </c>
      <c r="CD138" s="98"/>
      <c r="CE138" s="98"/>
      <c r="CF138" s="98"/>
      <c r="CG138" s="105">
        <v>1</v>
      </c>
      <c r="CH138" s="105" t="str">
        <f>IF(CK138=0,"",IF(V138="Persistent",5,IF(V138="Once",1,IF(V138="One-off",1,"manual overwrite"))))</f>
        <v/>
      </c>
      <c r="CI138" s="105"/>
      <c r="CJ138" s="98">
        <f t="shared" si="22"/>
        <v>0</v>
      </c>
      <c r="CK138" s="98">
        <f>IF(CA138="C",0,IF(P138="Het",0,IF(SUM(AG138,AO138)=0,0,1)))</f>
        <v>0</v>
      </c>
      <c r="CL138" s="106" t="e">
        <f>IF(G138="AUS",VLOOKUP(H138,$CU$5:$CW$23,2),IF(G138="NZ",VLOOKUP(H138,$CU$5:$CW$23,3),"error"))*AU138</f>
        <v>#N/A</v>
      </c>
      <c r="CM138" s="107" t="e">
        <f>IF(G138="AUS",VLOOKUP(H138,$CU$5:$CW$23,2),IF(G138="NZ",VLOOKUP(H138,$CU$5:$CW$23,3),"error"))*AX138</f>
        <v>#N/A</v>
      </c>
      <c r="CN138" s="106" t="e">
        <f>IF(G138="AUS",VLOOKUP(H138,$CU$5:$CW$23,2),IF(G138="NZ",VLOOKUP(H138,$CU$5:$CW$23,3),"error"))*BK138</f>
        <v>#N/A</v>
      </c>
    </row>
    <row r="139" spans="1:92" s="108" customFormat="1" ht="229.5" hidden="1">
      <c r="A139" s="83" t="str">
        <f t="shared" si="21"/>
        <v>Tobacco</v>
      </c>
      <c r="B139" s="84" t="s">
        <v>170</v>
      </c>
      <c r="C139" s="85"/>
      <c r="D139" s="86"/>
      <c r="E139" s="85" t="s">
        <v>172</v>
      </c>
      <c r="F139" s="85" t="str">
        <f t="shared" si="24"/>
        <v xml:space="preserve">Tobacco; ; Prevention ; </v>
      </c>
      <c r="G139" s="85" t="s">
        <v>205</v>
      </c>
      <c r="H139" s="85">
        <v>2011</v>
      </c>
      <c r="I139" s="85" t="str">
        <f>CONCATENATE(A139,", ",G139,": ",J139)</f>
        <v>Tobacco, NZ: Sinking lid on tobacco supply (reducing tobacco commercial sales each year until sales are zero in 2025)</v>
      </c>
      <c r="J139" s="87" t="s">
        <v>361</v>
      </c>
      <c r="K139" s="87"/>
      <c r="L139" s="87"/>
      <c r="M139" s="87"/>
      <c r="N139" s="87"/>
      <c r="O139" s="87"/>
      <c r="P139" s="85" t="s">
        <v>215</v>
      </c>
      <c r="Q139" s="85" t="str">
        <f>IF($P139="Main",J139,BX139)</f>
        <v xml:space="preserve">in non-Māori men </v>
      </c>
      <c r="R139" s="85" t="str">
        <f>IF($P139="Main",CONCATENATE(J139,": ",G139),BY139)</f>
        <v xml:space="preserve">in non-Māori men </v>
      </c>
      <c r="S139" s="85"/>
      <c r="T139" s="85"/>
      <c r="U139" s="85"/>
      <c r="V139" s="88"/>
      <c r="W139" s="88"/>
      <c r="X139" s="88"/>
      <c r="Y139" s="85"/>
      <c r="Z139" s="85"/>
      <c r="AA139" s="85"/>
      <c r="AB139" s="85"/>
      <c r="AC139" s="89">
        <v>0.03</v>
      </c>
      <c r="AD139" s="122"/>
      <c r="AE139" s="83"/>
      <c r="AF139" s="83"/>
      <c r="AG139" s="90">
        <v>98000</v>
      </c>
      <c r="AH139" s="90"/>
      <c r="AI139" s="90"/>
      <c r="AJ139" s="91">
        <v>1833710</v>
      </c>
      <c r="AK139" s="92">
        <f t="shared" si="25"/>
        <v>53.443565231143424</v>
      </c>
      <c r="AL139" s="92"/>
      <c r="AM139" s="92"/>
      <c r="AN139" s="93"/>
      <c r="AO139" s="94"/>
      <c r="AP139" s="94"/>
      <c r="AQ139" s="94"/>
      <c r="AR139" s="95">
        <v>-2310000000</v>
      </c>
      <c r="AS139" s="95"/>
      <c r="AT139" s="95"/>
      <c r="AU139" s="95">
        <f t="shared" si="23"/>
        <v>-1259741.1804483805</v>
      </c>
      <c r="AV139" s="95"/>
      <c r="AW139" s="95"/>
      <c r="AX139" s="95"/>
      <c r="AY139" s="95"/>
      <c r="AZ139" s="95"/>
      <c r="BA139" s="96"/>
      <c r="BB139" s="96"/>
      <c r="BC139" s="96"/>
      <c r="BD139" s="95"/>
      <c r="BE139" s="95"/>
      <c r="BF139" s="96"/>
      <c r="BG139" s="95"/>
      <c r="BH139" s="95"/>
      <c r="BI139" s="96"/>
      <c r="BJ139" s="97" t="s">
        <v>182</v>
      </c>
      <c r="BK139" s="98" t="str">
        <f t="shared" ref="BK139:BM170" si="26">IF($BJ139="Y",IF(BN139="",IF(BQ139="",BT139,BQ139),BN139),"")</f>
        <v>Cost-saving</v>
      </c>
      <c r="BL139" s="98">
        <f t="shared" si="26"/>
        <v>0</v>
      </c>
      <c r="BM139" s="98">
        <f t="shared" si="26"/>
        <v>0</v>
      </c>
      <c r="BN139" s="99" t="s">
        <v>183</v>
      </c>
      <c r="BO139" s="100"/>
      <c r="BP139" s="100"/>
      <c r="BQ139" s="99" t="s">
        <v>183</v>
      </c>
      <c r="BR139" s="100"/>
      <c r="BS139" s="100"/>
      <c r="BT139" s="99" t="s">
        <v>183</v>
      </c>
      <c r="BU139" s="100"/>
      <c r="BV139" s="100"/>
      <c r="BW139" s="85"/>
      <c r="BX139" s="85" t="s">
        <v>229</v>
      </c>
      <c r="BY139" s="83" t="s">
        <v>229</v>
      </c>
      <c r="BZ139" s="102">
        <v>2016</v>
      </c>
      <c r="CA139" s="98"/>
      <c r="CB139" s="98"/>
      <c r="CC139" s="103">
        <f t="shared" ref="CC139:CC202" si="27">LEN(J139)</f>
        <v>104</v>
      </c>
      <c r="CD139" s="98"/>
      <c r="CE139" s="98"/>
      <c r="CF139" s="98"/>
      <c r="CG139" s="105">
        <v>1</v>
      </c>
      <c r="CH139" s="105" t="str">
        <f>IF(CK139=0,"",IF(V139="Persistent",5,IF(V139="Once",1,IF(V139="One-off",1,"manual overwrite"))))</f>
        <v/>
      </c>
      <c r="CI139" s="105"/>
      <c r="CJ139" s="98">
        <f t="shared" si="22"/>
        <v>0</v>
      </c>
      <c r="CK139" s="98">
        <f>IF(CA139="C",0,IF(P139="Het",0,IF(SUM(AG139,AO139)=0,0,1)))</f>
        <v>0</v>
      </c>
      <c r="CL139" s="106" t="e">
        <f>IF(G139="AUS",VLOOKUP(H139,$CU$5:$CW$23,2),IF(G139="NZ",VLOOKUP(H139,$CU$5:$CW$23,3),"error"))*AU139</f>
        <v>#N/A</v>
      </c>
      <c r="CM139" s="107" t="e">
        <f>IF(G139="AUS",VLOOKUP(H139,$CU$5:$CW$23,2),IF(G139="NZ",VLOOKUP(H139,$CU$5:$CW$23,3),"error"))*AX139</f>
        <v>#N/A</v>
      </c>
      <c r="CN139" s="106" t="e">
        <f>IF(G139="AUS",VLOOKUP(H139,$CU$5:$CW$23,2),IF(G139="NZ",VLOOKUP(H139,$CU$5:$CW$23,3),"error"))*BK139</f>
        <v>#N/A</v>
      </c>
    </row>
    <row r="140" spans="1:92" s="108" customFormat="1" ht="229.5">
      <c r="A140" s="83" t="str">
        <f t="shared" si="21"/>
        <v>Tobacco</v>
      </c>
      <c r="B140" s="84" t="s">
        <v>170</v>
      </c>
      <c r="C140" s="85"/>
      <c r="D140" s="86"/>
      <c r="E140" s="85" t="s">
        <v>172</v>
      </c>
      <c r="F140" s="85" t="str">
        <f t="shared" si="24"/>
        <v xml:space="preserve">Tobacco; ; Prevention ; </v>
      </c>
      <c r="G140" s="85" t="s">
        <v>205</v>
      </c>
      <c r="H140" s="85">
        <v>2011</v>
      </c>
      <c r="I140" s="85" t="str">
        <f>CONCATENATE(A140,", ",G140,": ",J140)</f>
        <v>Tobacco, NZ: Sinking lid on tobacco supply (reducing tobacco commercial sales each year until sales are zero in 2025)</v>
      </c>
      <c r="J140" s="87" t="s">
        <v>361</v>
      </c>
      <c r="K140" s="87" t="s">
        <v>233</v>
      </c>
      <c r="L140" s="87" t="s">
        <v>233</v>
      </c>
      <c r="M140" s="87" t="s">
        <v>366</v>
      </c>
      <c r="N140" s="87" t="s">
        <v>367</v>
      </c>
      <c r="O140" s="87" t="s">
        <v>233</v>
      </c>
      <c r="P140" s="85" t="s">
        <v>215</v>
      </c>
      <c r="Q140" s="85" t="str">
        <f>IF($P140="Main",J140,BX140)</f>
        <v>in non-Māori men age 0-14 yrs</v>
      </c>
      <c r="R140" s="85" t="str">
        <f>IF($P140="Main",CONCATENATE(J140,": ",G140),BY140)</f>
        <v>in non-Māori men age 0-14 yrs</v>
      </c>
      <c r="S140" s="85" t="s">
        <v>234</v>
      </c>
      <c r="T140" s="85" t="s">
        <v>235</v>
      </c>
      <c r="U140" s="85" t="s">
        <v>236</v>
      </c>
      <c r="V140" s="88"/>
      <c r="W140" s="88" t="s">
        <v>368</v>
      </c>
      <c r="X140" s="88" t="s">
        <v>199</v>
      </c>
      <c r="Y140" s="85"/>
      <c r="Z140" s="85"/>
      <c r="AA140" s="85"/>
      <c r="AB140" s="85"/>
      <c r="AC140" s="89">
        <v>0.03</v>
      </c>
      <c r="AD140" s="122"/>
      <c r="AE140" s="83"/>
      <c r="AF140" s="83"/>
      <c r="AG140" s="90">
        <v>13600</v>
      </c>
      <c r="AH140" s="90"/>
      <c r="AI140" s="90"/>
      <c r="AJ140" s="91">
        <v>340140</v>
      </c>
      <c r="AK140" s="92">
        <f t="shared" si="25"/>
        <v>39.983536190980182</v>
      </c>
      <c r="AL140" s="92"/>
      <c r="AM140" s="92"/>
      <c r="AN140" s="93"/>
      <c r="AO140" s="94"/>
      <c r="AP140" s="94"/>
      <c r="AQ140" s="94"/>
      <c r="AR140" s="95">
        <v>-424000000</v>
      </c>
      <c r="AS140" s="95"/>
      <c r="AT140" s="95"/>
      <c r="AU140" s="95">
        <f t="shared" si="23"/>
        <v>-1246545.5400717352</v>
      </c>
      <c r="AV140" s="95"/>
      <c r="AW140" s="95"/>
      <c r="AX140" s="95"/>
      <c r="AY140" s="95"/>
      <c r="AZ140" s="95"/>
      <c r="BA140" s="96"/>
      <c r="BB140" s="96"/>
      <c r="BC140" s="96"/>
      <c r="BD140" s="95"/>
      <c r="BE140" s="95"/>
      <c r="BF140" s="96"/>
      <c r="BG140" s="95"/>
      <c r="BH140" s="95"/>
      <c r="BI140" s="96"/>
      <c r="BJ140" s="97" t="s">
        <v>182</v>
      </c>
      <c r="BK140" s="98" t="str">
        <f t="shared" si="26"/>
        <v>Cost-saving</v>
      </c>
      <c r="BL140" s="98">
        <f t="shared" si="26"/>
        <v>0</v>
      </c>
      <c r="BM140" s="98">
        <f t="shared" si="26"/>
        <v>0</v>
      </c>
      <c r="BN140" s="99" t="s">
        <v>183</v>
      </c>
      <c r="BO140" s="100"/>
      <c r="BP140" s="100"/>
      <c r="BQ140" s="99" t="s">
        <v>183</v>
      </c>
      <c r="BR140" s="100"/>
      <c r="BS140" s="100"/>
      <c r="BT140" s="99" t="s">
        <v>183</v>
      </c>
      <c r="BU140" s="100"/>
      <c r="BV140" s="100"/>
      <c r="BW140" s="85"/>
      <c r="BX140" s="85" t="s">
        <v>237</v>
      </c>
      <c r="BY140" s="83" t="s">
        <v>237</v>
      </c>
      <c r="BZ140" s="102">
        <v>2016</v>
      </c>
      <c r="CA140" s="98"/>
      <c r="CB140" s="98"/>
      <c r="CC140" s="103">
        <f t="shared" si="27"/>
        <v>104</v>
      </c>
      <c r="CD140" s="98"/>
      <c r="CE140" s="98"/>
      <c r="CF140" s="98"/>
      <c r="CG140" s="105">
        <v>1</v>
      </c>
      <c r="CH140" s="105" t="str">
        <f>IF(CK140=0,"",IF(V140="Persistent",5,IF(V140="Once",1,IF(V140="One-off",1,"manual overwrite"))))</f>
        <v/>
      </c>
      <c r="CI140" s="105"/>
      <c r="CJ140" s="98">
        <f t="shared" si="22"/>
        <v>0</v>
      </c>
      <c r="CK140" s="98">
        <f>IF(CA140="C",0,IF(P140="Het",0,IF(SUM(AG140,AO140)=0,0,1)))</f>
        <v>0</v>
      </c>
      <c r="CL140" s="106" t="e">
        <f>IF(G140="AUS",VLOOKUP(H140,$CU$5:$CW$23,2),IF(G140="NZ",VLOOKUP(H140,$CU$5:$CW$23,3),"error"))*AU140</f>
        <v>#N/A</v>
      </c>
      <c r="CM140" s="107" t="e">
        <f>IF(G140="AUS",VLOOKUP(H140,$CU$5:$CW$23,2),IF(G140="NZ",VLOOKUP(H140,$CU$5:$CW$23,3),"error"))*AX140</f>
        <v>#N/A</v>
      </c>
      <c r="CN140" s="106" t="e">
        <f>IF(G140="AUS",VLOOKUP(H140,$CU$5:$CW$23,2),IF(G140="NZ",VLOOKUP(H140,$CU$5:$CW$23,3),"error"))*BK140</f>
        <v>#N/A</v>
      </c>
    </row>
    <row r="141" spans="1:92" s="108" customFormat="1" ht="229.5">
      <c r="A141" s="83" t="str">
        <f t="shared" si="21"/>
        <v>Tobacco</v>
      </c>
      <c r="B141" s="84" t="s">
        <v>170</v>
      </c>
      <c r="C141" s="85"/>
      <c r="D141" s="86"/>
      <c r="E141" s="85" t="s">
        <v>172</v>
      </c>
      <c r="F141" s="85" t="str">
        <f t="shared" si="24"/>
        <v xml:space="preserve">Tobacco; ; Prevention ; </v>
      </c>
      <c r="G141" s="85" t="s">
        <v>205</v>
      </c>
      <c r="H141" s="85">
        <v>2011</v>
      </c>
      <c r="I141" s="85" t="str">
        <f>CONCATENATE(A141,", ",G141,": ",J141)</f>
        <v>Tobacco, NZ: Sinking lid on tobacco supply (reducing tobacco commercial sales each year until sales are zero in 2025)</v>
      </c>
      <c r="J141" s="87" t="s">
        <v>361</v>
      </c>
      <c r="K141" s="87" t="s">
        <v>233</v>
      </c>
      <c r="L141" s="87" t="s">
        <v>233</v>
      </c>
      <c r="M141" s="87" t="s">
        <v>366</v>
      </c>
      <c r="N141" s="87" t="s">
        <v>367</v>
      </c>
      <c r="O141" s="87" t="s">
        <v>233</v>
      </c>
      <c r="P141" s="85" t="s">
        <v>215</v>
      </c>
      <c r="Q141" s="85" t="str">
        <f>IF($P141="Main",J141,BX141)</f>
        <v xml:space="preserve">in non-Māori men age 15-24 yrs </v>
      </c>
      <c r="R141" s="85" t="str">
        <f>IF($P141="Main",CONCATENATE(J141,": ",G141),BY141)</f>
        <v xml:space="preserve">in non-Māori men age 15-24 yrs </v>
      </c>
      <c r="S141" s="85" t="s">
        <v>239</v>
      </c>
      <c r="T141" s="85" t="s">
        <v>235</v>
      </c>
      <c r="U141" s="85" t="s">
        <v>236</v>
      </c>
      <c r="V141" s="88"/>
      <c r="W141" s="88" t="s">
        <v>368</v>
      </c>
      <c r="X141" s="88" t="s">
        <v>199</v>
      </c>
      <c r="Y141" s="85"/>
      <c r="Z141" s="85"/>
      <c r="AA141" s="85"/>
      <c r="AB141" s="85"/>
      <c r="AC141" s="89">
        <v>0.03</v>
      </c>
      <c r="AD141" s="122"/>
      <c r="AE141" s="83"/>
      <c r="AF141" s="83"/>
      <c r="AG141" s="90">
        <v>18400</v>
      </c>
      <c r="AH141" s="90"/>
      <c r="AI141" s="90"/>
      <c r="AJ141" s="91">
        <v>266130</v>
      </c>
      <c r="AK141" s="92">
        <f t="shared" si="25"/>
        <v>69.139142524330225</v>
      </c>
      <c r="AL141" s="92"/>
      <c r="AM141" s="92"/>
      <c r="AN141" s="93"/>
      <c r="AO141" s="94"/>
      <c r="AP141" s="94"/>
      <c r="AQ141" s="94"/>
      <c r="AR141" s="95">
        <v>-528000000</v>
      </c>
      <c r="AS141" s="95"/>
      <c r="AT141" s="95"/>
      <c r="AU141" s="95">
        <f t="shared" si="23"/>
        <v>-1983992.7854807801</v>
      </c>
      <c r="AV141" s="95"/>
      <c r="AW141" s="95"/>
      <c r="AX141" s="95"/>
      <c r="AY141" s="95"/>
      <c r="AZ141" s="95"/>
      <c r="BA141" s="96"/>
      <c r="BB141" s="96"/>
      <c r="BC141" s="96"/>
      <c r="BD141" s="95"/>
      <c r="BE141" s="95"/>
      <c r="BF141" s="96"/>
      <c r="BG141" s="95"/>
      <c r="BH141" s="95"/>
      <c r="BI141" s="96"/>
      <c r="BJ141" s="97" t="s">
        <v>182</v>
      </c>
      <c r="BK141" s="98" t="str">
        <f t="shared" si="26"/>
        <v>Cost-saving</v>
      </c>
      <c r="BL141" s="98">
        <f t="shared" si="26"/>
        <v>0</v>
      </c>
      <c r="BM141" s="98">
        <f t="shared" si="26"/>
        <v>0</v>
      </c>
      <c r="BN141" s="99" t="s">
        <v>183</v>
      </c>
      <c r="BO141" s="100"/>
      <c r="BP141" s="100"/>
      <c r="BQ141" s="99" t="s">
        <v>183</v>
      </c>
      <c r="BR141" s="100"/>
      <c r="BS141" s="100"/>
      <c r="BT141" s="99" t="s">
        <v>183</v>
      </c>
      <c r="BU141" s="100"/>
      <c r="BV141" s="100"/>
      <c r="BW141" s="85"/>
      <c r="BX141" s="85" t="s">
        <v>369</v>
      </c>
      <c r="BY141" s="83" t="s">
        <v>369</v>
      </c>
      <c r="BZ141" s="102">
        <v>2016</v>
      </c>
      <c r="CA141" s="98"/>
      <c r="CB141" s="98"/>
      <c r="CC141" s="103">
        <f t="shared" si="27"/>
        <v>104</v>
      </c>
      <c r="CD141" s="98"/>
      <c r="CE141" s="98"/>
      <c r="CF141" s="98"/>
      <c r="CG141" s="105">
        <v>1</v>
      </c>
      <c r="CH141" s="105" t="str">
        <f>IF(CK141=0,"",IF(V141="Persistent",5,IF(V141="Once",1,IF(V141="One-off",1,"manual overwrite"))))</f>
        <v/>
      </c>
      <c r="CI141" s="105"/>
      <c r="CJ141" s="98">
        <f t="shared" si="22"/>
        <v>0</v>
      </c>
      <c r="CK141" s="98">
        <f>IF(CA141="C",0,IF(P141="Het",0,IF(SUM(AG141,AO141)=0,0,1)))</f>
        <v>0</v>
      </c>
      <c r="CL141" s="106" t="e">
        <f>IF(G141="AUS",VLOOKUP(H141,$CU$5:$CW$23,2),IF(G141="NZ",VLOOKUP(H141,$CU$5:$CW$23,3),"error"))*AU141</f>
        <v>#N/A</v>
      </c>
      <c r="CM141" s="107" t="e">
        <f>IF(G141="AUS",VLOOKUP(H141,$CU$5:$CW$23,2),IF(G141="NZ",VLOOKUP(H141,$CU$5:$CW$23,3),"error"))*AX141</f>
        <v>#N/A</v>
      </c>
      <c r="CN141" s="106" t="e">
        <f>IF(G141="AUS",VLOOKUP(H141,$CU$5:$CW$23,2),IF(G141="NZ",VLOOKUP(H141,$CU$5:$CW$23,3),"error"))*BK141</f>
        <v>#N/A</v>
      </c>
    </row>
    <row r="142" spans="1:92" s="108" customFormat="1" ht="229.5">
      <c r="A142" s="83" t="str">
        <f t="shared" si="21"/>
        <v>Tobacco</v>
      </c>
      <c r="B142" s="84" t="s">
        <v>170</v>
      </c>
      <c r="C142" s="85"/>
      <c r="D142" s="86"/>
      <c r="E142" s="85" t="s">
        <v>172</v>
      </c>
      <c r="F142" s="85" t="str">
        <f t="shared" si="24"/>
        <v xml:space="preserve">Tobacco; ; Prevention ; </v>
      </c>
      <c r="G142" s="85" t="s">
        <v>205</v>
      </c>
      <c r="H142" s="85">
        <v>2011</v>
      </c>
      <c r="I142" s="85" t="str">
        <f>CONCATENATE(A142,", ",G142,": ",J142)</f>
        <v>Tobacco, NZ: Sinking lid on tobacco supply (reducing tobacco commercial sales each year until sales are zero in 2025)</v>
      </c>
      <c r="J142" s="87" t="s">
        <v>361</v>
      </c>
      <c r="K142" s="87" t="s">
        <v>233</v>
      </c>
      <c r="L142" s="87" t="s">
        <v>233</v>
      </c>
      <c r="M142" s="87" t="s">
        <v>366</v>
      </c>
      <c r="N142" s="87" t="s">
        <v>367</v>
      </c>
      <c r="O142" s="87" t="s">
        <v>233</v>
      </c>
      <c r="P142" s="85" t="s">
        <v>215</v>
      </c>
      <c r="Q142" s="85" t="str">
        <f>IF($P142="Main",J142,BX142)</f>
        <v>in non-Māori men age 25-44 yrs</v>
      </c>
      <c r="R142" s="85" t="str">
        <f>IF($P142="Main",CONCATENATE(J142,": ",G142),BY142)</f>
        <v>in non-Māori men age 25-44 yrs</v>
      </c>
      <c r="S142" s="85" t="s">
        <v>241</v>
      </c>
      <c r="T142" s="85" t="s">
        <v>235</v>
      </c>
      <c r="U142" s="85" t="s">
        <v>236</v>
      </c>
      <c r="V142" s="88"/>
      <c r="W142" s="88" t="s">
        <v>368</v>
      </c>
      <c r="X142" s="88" t="s">
        <v>199</v>
      </c>
      <c r="Y142" s="85"/>
      <c r="Z142" s="85"/>
      <c r="AA142" s="85"/>
      <c r="AB142" s="85"/>
      <c r="AC142" s="89">
        <v>0.03</v>
      </c>
      <c r="AD142" s="122"/>
      <c r="AE142" s="83"/>
      <c r="AF142" s="83"/>
      <c r="AG142" s="90">
        <v>45600</v>
      </c>
      <c r="AH142" s="90"/>
      <c r="AI142" s="90"/>
      <c r="AJ142" s="91">
        <v>486350</v>
      </c>
      <c r="AK142" s="92">
        <f t="shared" si="25"/>
        <v>93.759638120694973</v>
      </c>
      <c r="AL142" s="92"/>
      <c r="AM142" s="92"/>
      <c r="AN142" s="93"/>
      <c r="AO142" s="94"/>
      <c r="AP142" s="94"/>
      <c r="AQ142" s="94"/>
      <c r="AR142" s="95">
        <v>-1040000000</v>
      </c>
      <c r="AS142" s="95"/>
      <c r="AT142" s="95"/>
      <c r="AU142" s="95">
        <f t="shared" si="23"/>
        <v>-2138377.711524622</v>
      </c>
      <c r="AV142" s="95"/>
      <c r="AW142" s="95"/>
      <c r="AX142" s="95"/>
      <c r="AY142" s="95"/>
      <c r="AZ142" s="95"/>
      <c r="BA142" s="96"/>
      <c r="BB142" s="96"/>
      <c r="BC142" s="96"/>
      <c r="BD142" s="95"/>
      <c r="BE142" s="95"/>
      <c r="BF142" s="96"/>
      <c r="BG142" s="95"/>
      <c r="BH142" s="95"/>
      <c r="BI142" s="96"/>
      <c r="BJ142" s="97" t="s">
        <v>182</v>
      </c>
      <c r="BK142" s="98" t="str">
        <f t="shared" si="26"/>
        <v>Cost-saving</v>
      </c>
      <c r="BL142" s="98">
        <f t="shared" si="26"/>
        <v>0</v>
      </c>
      <c r="BM142" s="98">
        <f t="shared" si="26"/>
        <v>0</v>
      </c>
      <c r="BN142" s="99" t="s">
        <v>183</v>
      </c>
      <c r="BO142" s="100"/>
      <c r="BP142" s="100"/>
      <c r="BQ142" s="99" t="s">
        <v>183</v>
      </c>
      <c r="BR142" s="100"/>
      <c r="BS142" s="100"/>
      <c r="BT142" s="99" t="s">
        <v>183</v>
      </c>
      <c r="BU142" s="100"/>
      <c r="BV142" s="100"/>
      <c r="BW142" s="85"/>
      <c r="BX142" s="85" t="s">
        <v>242</v>
      </c>
      <c r="BY142" s="83" t="s">
        <v>242</v>
      </c>
      <c r="BZ142" s="102">
        <v>2016</v>
      </c>
      <c r="CA142" s="98"/>
      <c r="CB142" s="98"/>
      <c r="CC142" s="103">
        <f t="shared" si="27"/>
        <v>104</v>
      </c>
      <c r="CD142" s="98"/>
      <c r="CE142" s="98"/>
      <c r="CF142" s="98"/>
      <c r="CG142" s="105">
        <v>1</v>
      </c>
      <c r="CH142" s="105" t="str">
        <f>IF(CK142=0,"",IF(V142="Persistent",5,IF(V142="Once",1,IF(V142="One-off",1,"manual overwrite"))))</f>
        <v/>
      </c>
      <c r="CI142" s="105"/>
      <c r="CJ142" s="98">
        <f t="shared" si="22"/>
        <v>0</v>
      </c>
      <c r="CK142" s="98">
        <f>IF(CA142="C",0,IF(P142="Het",0,IF(SUM(AG142,AO142)=0,0,1)))</f>
        <v>0</v>
      </c>
      <c r="CL142" s="106" t="e">
        <f>IF(G142="AUS",VLOOKUP(H142,$CU$5:$CW$23,2),IF(G142="NZ",VLOOKUP(H142,$CU$5:$CW$23,3),"error"))*AU142</f>
        <v>#N/A</v>
      </c>
      <c r="CM142" s="107" t="e">
        <f>IF(G142="AUS",VLOOKUP(H142,$CU$5:$CW$23,2),IF(G142="NZ",VLOOKUP(H142,$CU$5:$CW$23,3),"error"))*AX142</f>
        <v>#N/A</v>
      </c>
      <c r="CN142" s="106" t="e">
        <f>IF(G142="AUS",VLOOKUP(H142,$CU$5:$CW$23,2),IF(G142="NZ",VLOOKUP(H142,$CU$5:$CW$23,3),"error"))*BK142</f>
        <v>#N/A</v>
      </c>
    </row>
    <row r="143" spans="1:92" s="108" customFormat="1" ht="229.5">
      <c r="A143" s="83" t="str">
        <f t="shared" si="21"/>
        <v>Tobacco</v>
      </c>
      <c r="B143" s="84" t="s">
        <v>170</v>
      </c>
      <c r="C143" s="85"/>
      <c r="D143" s="86"/>
      <c r="E143" s="85" t="s">
        <v>172</v>
      </c>
      <c r="F143" s="85" t="str">
        <f t="shared" si="24"/>
        <v xml:space="preserve">Tobacco; ; Prevention ; </v>
      </c>
      <c r="G143" s="85" t="s">
        <v>205</v>
      </c>
      <c r="H143" s="85">
        <v>2011</v>
      </c>
      <c r="I143" s="85" t="str">
        <f>CONCATENATE(A143,", ",G143,": ",J143)</f>
        <v>Tobacco, NZ: Sinking lid on tobacco supply (reducing tobacco commercial sales each year until sales are zero in 2025)</v>
      </c>
      <c r="J143" s="87" t="s">
        <v>361</v>
      </c>
      <c r="K143" s="87" t="s">
        <v>233</v>
      </c>
      <c r="L143" s="87" t="s">
        <v>233</v>
      </c>
      <c r="M143" s="87" t="s">
        <v>370</v>
      </c>
      <c r="N143" s="87" t="s">
        <v>367</v>
      </c>
      <c r="O143" s="87" t="s">
        <v>233</v>
      </c>
      <c r="P143" s="85" t="s">
        <v>215</v>
      </c>
      <c r="Q143" s="85" t="str">
        <f>IF($P143="Main",J143,BX143)</f>
        <v>in non-Māori men age 45-64 yrs</v>
      </c>
      <c r="R143" s="85" t="str">
        <f>IF($P143="Main",CONCATENATE(J143,": ",G143),BY143)</f>
        <v>in non-Māori men age 45-64 yrs</v>
      </c>
      <c r="S143" s="85" t="s">
        <v>244</v>
      </c>
      <c r="T143" s="85" t="s">
        <v>235</v>
      </c>
      <c r="U143" s="85" t="s">
        <v>236</v>
      </c>
      <c r="V143" s="88"/>
      <c r="W143" s="88" t="s">
        <v>368</v>
      </c>
      <c r="X143" s="88" t="s">
        <v>199</v>
      </c>
      <c r="Y143" s="85"/>
      <c r="Z143" s="85"/>
      <c r="AA143" s="85"/>
      <c r="AB143" s="85"/>
      <c r="AC143" s="89">
        <v>0.03</v>
      </c>
      <c r="AD143" s="122"/>
      <c r="AE143" s="83"/>
      <c r="AF143" s="83"/>
      <c r="AG143" s="90">
        <v>19900</v>
      </c>
      <c r="AH143" s="90"/>
      <c r="AI143" s="90"/>
      <c r="AJ143" s="91">
        <v>487380</v>
      </c>
      <c r="AK143" s="92">
        <f t="shared" si="25"/>
        <v>40.830563420739466</v>
      </c>
      <c r="AL143" s="92"/>
      <c r="AM143" s="92"/>
      <c r="AN143" s="93"/>
      <c r="AO143" s="94"/>
      <c r="AP143" s="94"/>
      <c r="AQ143" s="94"/>
      <c r="AR143" s="95">
        <v>-309000000</v>
      </c>
      <c r="AS143" s="95"/>
      <c r="AT143" s="95"/>
      <c r="AU143" s="95">
        <f t="shared" si="23"/>
        <v>-634002.21593007515</v>
      </c>
      <c r="AV143" s="95"/>
      <c r="AW143" s="95"/>
      <c r="AX143" s="95"/>
      <c r="AY143" s="95"/>
      <c r="AZ143" s="95"/>
      <c r="BA143" s="96"/>
      <c r="BB143" s="96"/>
      <c r="BC143" s="96"/>
      <c r="BD143" s="95"/>
      <c r="BE143" s="95"/>
      <c r="BF143" s="96"/>
      <c r="BG143" s="95"/>
      <c r="BH143" s="95"/>
      <c r="BI143" s="96"/>
      <c r="BJ143" s="97" t="s">
        <v>182</v>
      </c>
      <c r="BK143" s="98" t="str">
        <f t="shared" si="26"/>
        <v>Cost-saving</v>
      </c>
      <c r="BL143" s="98">
        <f t="shared" si="26"/>
        <v>0</v>
      </c>
      <c r="BM143" s="98">
        <f t="shared" si="26"/>
        <v>0</v>
      </c>
      <c r="BN143" s="99" t="s">
        <v>183</v>
      </c>
      <c r="BO143" s="100"/>
      <c r="BP143" s="100"/>
      <c r="BQ143" s="99" t="s">
        <v>183</v>
      </c>
      <c r="BR143" s="100"/>
      <c r="BS143" s="100"/>
      <c r="BT143" s="99" t="s">
        <v>183</v>
      </c>
      <c r="BU143" s="100"/>
      <c r="BV143" s="100"/>
      <c r="BW143" s="85"/>
      <c r="BX143" s="85" t="s">
        <v>245</v>
      </c>
      <c r="BY143" s="83" t="s">
        <v>245</v>
      </c>
      <c r="BZ143" s="102">
        <v>2016</v>
      </c>
      <c r="CA143" s="98"/>
      <c r="CB143" s="98"/>
      <c r="CC143" s="103">
        <f t="shared" si="27"/>
        <v>104</v>
      </c>
      <c r="CD143" s="98"/>
      <c r="CE143" s="98"/>
      <c r="CF143" s="98"/>
      <c r="CG143" s="105">
        <v>1</v>
      </c>
      <c r="CH143" s="105" t="str">
        <f>IF(CK143=0,"",IF(V143="Persistent",5,IF(V143="Once",1,IF(V143="One-off",1,"manual overwrite"))))</f>
        <v/>
      </c>
      <c r="CI143" s="105"/>
      <c r="CJ143" s="98">
        <f t="shared" si="22"/>
        <v>0</v>
      </c>
      <c r="CK143" s="98">
        <f>IF(CA143="C",0,IF(P143="Het",0,IF(SUM(AG143,AO143)=0,0,1)))</f>
        <v>0</v>
      </c>
      <c r="CL143" s="106" t="e">
        <f>IF(G143="AUS",VLOOKUP(H143,$CU$5:$CW$23,2),IF(G143="NZ",VLOOKUP(H143,$CU$5:$CW$23,3),"error"))*AU143</f>
        <v>#N/A</v>
      </c>
      <c r="CM143" s="107" t="e">
        <f>IF(G143="AUS",VLOOKUP(H143,$CU$5:$CW$23,2),IF(G143="NZ",VLOOKUP(H143,$CU$5:$CW$23,3),"error"))*AX143</f>
        <v>#N/A</v>
      </c>
      <c r="CN143" s="106" t="e">
        <f>IF(G143="AUS",VLOOKUP(H143,$CU$5:$CW$23,2),IF(G143="NZ",VLOOKUP(H143,$CU$5:$CW$23,3),"error"))*BK143</f>
        <v>#N/A</v>
      </c>
    </row>
    <row r="144" spans="1:92" s="108" customFormat="1" ht="229.5">
      <c r="A144" s="83" t="str">
        <f t="shared" si="21"/>
        <v>Tobacco</v>
      </c>
      <c r="B144" s="84" t="s">
        <v>170</v>
      </c>
      <c r="C144" s="85"/>
      <c r="D144" s="86"/>
      <c r="E144" s="85" t="s">
        <v>172</v>
      </c>
      <c r="F144" s="85" t="str">
        <f t="shared" si="24"/>
        <v xml:space="preserve">Tobacco; ; Prevention ; </v>
      </c>
      <c r="G144" s="85" t="s">
        <v>205</v>
      </c>
      <c r="H144" s="85">
        <v>2011</v>
      </c>
      <c r="I144" s="85" t="str">
        <f>CONCATENATE(A144,", ",G144,": ",J144)</f>
        <v>Tobacco, NZ: Sinking lid on tobacco supply (reducing tobacco commercial sales each year until sales are zero in 2025)</v>
      </c>
      <c r="J144" s="87" t="s">
        <v>361</v>
      </c>
      <c r="K144" s="87" t="s">
        <v>233</v>
      </c>
      <c r="L144" s="87" t="s">
        <v>233</v>
      </c>
      <c r="M144" s="87" t="s">
        <v>371</v>
      </c>
      <c r="N144" s="87" t="s">
        <v>367</v>
      </c>
      <c r="O144" s="87" t="s">
        <v>233</v>
      </c>
      <c r="P144" s="85" t="s">
        <v>215</v>
      </c>
      <c r="Q144" s="85" t="str">
        <f>IF($P144="Main",J144,BX144)</f>
        <v xml:space="preserve">in non-Māori men age 65+ yrs </v>
      </c>
      <c r="R144" s="85" t="str">
        <f>IF($P144="Main",CONCATENATE(J144,": ",G144),BY144)</f>
        <v xml:space="preserve">in non-Māori men age 65+ yrs </v>
      </c>
      <c r="S144" s="85" t="s">
        <v>247</v>
      </c>
      <c r="T144" s="85" t="s">
        <v>235</v>
      </c>
      <c r="U144" s="85" t="s">
        <v>236</v>
      </c>
      <c r="V144" s="88"/>
      <c r="W144" s="88" t="s">
        <v>368</v>
      </c>
      <c r="X144" s="88" t="s">
        <v>199</v>
      </c>
      <c r="Y144" s="85"/>
      <c r="Z144" s="85"/>
      <c r="AA144" s="85"/>
      <c r="AB144" s="85"/>
      <c r="AC144" s="89">
        <v>0.03</v>
      </c>
      <c r="AD144" s="122"/>
      <c r="AE144" s="83"/>
      <c r="AF144" s="83"/>
      <c r="AG144" s="90">
        <v>660</v>
      </c>
      <c r="AH144" s="90"/>
      <c r="AI144" s="90"/>
      <c r="AJ144" s="91">
        <v>253710</v>
      </c>
      <c r="AK144" s="92">
        <f t="shared" si="25"/>
        <v>2.6013952938394231</v>
      </c>
      <c r="AL144" s="92"/>
      <c r="AM144" s="92"/>
      <c r="AN144" s="93"/>
      <c r="AO144" s="94"/>
      <c r="AP144" s="94"/>
      <c r="AQ144" s="94"/>
      <c r="AR144" s="95">
        <v>-3440000</v>
      </c>
      <c r="AS144" s="95"/>
      <c r="AT144" s="95"/>
      <c r="AU144" s="95">
        <f t="shared" si="23"/>
        <v>-13558.78759213275</v>
      </c>
      <c r="AV144" s="95"/>
      <c r="AW144" s="95"/>
      <c r="AX144" s="95"/>
      <c r="AY144" s="95"/>
      <c r="AZ144" s="95"/>
      <c r="BA144" s="96"/>
      <c r="BB144" s="96"/>
      <c r="BC144" s="96"/>
      <c r="BD144" s="95"/>
      <c r="BE144" s="95"/>
      <c r="BF144" s="96"/>
      <c r="BG144" s="95"/>
      <c r="BH144" s="95"/>
      <c r="BI144" s="96"/>
      <c r="BJ144" s="97" t="s">
        <v>182</v>
      </c>
      <c r="BK144" s="98" t="str">
        <f t="shared" si="26"/>
        <v>Cost-saving</v>
      </c>
      <c r="BL144" s="98">
        <f t="shared" si="26"/>
        <v>0</v>
      </c>
      <c r="BM144" s="98">
        <f t="shared" si="26"/>
        <v>0</v>
      </c>
      <c r="BN144" s="99" t="s">
        <v>183</v>
      </c>
      <c r="BO144" s="100"/>
      <c r="BP144" s="100"/>
      <c r="BQ144" s="99" t="s">
        <v>183</v>
      </c>
      <c r="BR144" s="100"/>
      <c r="BS144" s="100"/>
      <c r="BT144" s="99" t="s">
        <v>183</v>
      </c>
      <c r="BU144" s="100"/>
      <c r="BV144" s="100"/>
      <c r="BW144" s="85"/>
      <c r="BX144" s="85" t="s">
        <v>248</v>
      </c>
      <c r="BY144" s="83" t="s">
        <v>248</v>
      </c>
      <c r="BZ144" s="102">
        <v>2016</v>
      </c>
      <c r="CA144" s="98"/>
      <c r="CB144" s="98"/>
      <c r="CC144" s="103">
        <f t="shared" si="27"/>
        <v>104</v>
      </c>
      <c r="CD144" s="98"/>
      <c r="CE144" s="98"/>
      <c r="CF144" s="98"/>
      <c r="CG144" s="105">
        <v>1</v>
      </c>
      <c r="CH144" s="105" t="str">
        <f>IF(CK144=0,"",IF(V144="Persistent",5,IF(V144="Once",1,IF(V144="One-off",1,"manual overwrite"))))</f>
        <v/>
      </c>
      <c r="CI144" s="105"/>
      <c r="CJ144" s="98">
        <f t="shared" si="22"/>
        <v>0</v>
      </c>
      <c r="CK144" s="98">
        <f>IF(CA144="C",0,IF(P144="Het",0,IF(SUM(AG144,AO144)=0,0,1)))</f>
        <v>0</v>
      </c>
      <c r="CL144" s="106" t="e">
        <f>IF(G144="AUS",VLOOKUP(H144,$CU$5:$CW$23,2),IF(G144="NZ",VLOOKUP(H144,$CU$5:$CW$23,3),"error"))*AU144</f>
        <v>#N/A</v>
      </c>
      <c r="CM144" s="107" t="e">
        <f>IF(G144="AUS",VLOOKUP(H144,$CU$5:$CW$23,2),IF(G144="NZ",VLOOKUP(H144,$CU$5:$CW$23,3),"error"))*AX144</f>
        <v>#N/A</v>
      </c>
      <c r="CN144" s="106" t="e">
        <f>IF(G144="AUS",VLOOKUP(H144,$CU$5:$CW$23,2),IF(G144="NZ",VLOOKUP(H144,$CU$5:$CW$23,3),"error"))*BK144</f>
        <v>#N/A</v>
      </c>
    </row>
    <row r="145" spans="1:92" s="108" customFormat="1" ht="229.5" hidden="1">
      <c r="A145" s="83" t="str">
        <f t="shared" si="21"/>
        <v>Tobacco</v>
      </c>
      <c r="B145" s="84" t="s">
        <v>170</v>
      </c>
      <c r="C145" s="85"/>
      <c r="D145" s="86"/>
      <c r="E145" s="85" t="s">
        <v>172</v>
      </c>
      <c r="F145" s="85" t="str">
        <f t="shared" si="24"/>
        <v xml:space="preserve">Tobacco; ; Prevention ; </v>
      </c>
      <c r="G145" s="85" t="s">
        <v>205</v>
      </c>
      <c r="H145" s="85">
        <v>2011</v>
      </c>
      <c r="I145" s="85" t="str">
        <f>CONCATENATE(A145,", ",G145,": ",J145)</f>
        <v>Tobacco, NZ: Sinking lid on tobacco supply (reducing tobacco commercial sales each year until sales are zero in 2025)</v>
      </c>
      <c r="J145" s="87" t="s">
        <v>361</v>
      </c>
      <c r="K145" s="87"/>
      <c r="L145" s="87" t="s">
        <v>233</v>
      </c>
      <c r="M145" s="87"/>
      <c r="N145" s="87"/>
      <c r="O145" s="87"/>
      <c r="P145" s="85" t="s">
        <v>215</v>
      </c>
      <c r="Q145" s="85" t="str">
        <f>IF($P145="Main",J145,BX145)</f>
        <v xml:space="preserve">in non-Māori women </v>
      </c>
      <c r="R145" s="85" t="str">
        <f>IF($P145="Main",CONCATENATE(J145,": ",G145),BY145)</f>
        <v xml:space="preserve">in non-Māori women </v>
      </c>
      <c r="S145" s="85"/>
      <c r="T145" s="85"/>
      <c r="U145" s="85"/>
      <c r="V145" s="88"/>
      <c r="W145" s="88"/>
      <c r="X145" s="88"/>
      <c r="Y145" s="85"/>
      <c r="Z145" s="85"/>
      <c r="AA145" s="85"/>
      <c r="AB145" s="85"/>
      <c r="AC145" s="89">
        <v>0.03</v>
      </c>
      <c r="AD145" s="122"/>
      <c r="AE145" s="83"/>
      <c r="AF145" s="83"/>
      <c r="AG145" s="90">
        <v>79200</v>
      </c>
      <c r="AH145" s="90"/>
      <c r="AI145" s="90"/>
      <c r="AJ145" s="91">
        <v>1897360</v>
      </c>
      <c r="AK145" s="92">
        <f t="shared" si="25"/>
        <v>41.742210228949702</v>
      </c>
      <c r="AL145" s="92"/>
      <c r="AM145" s="92"/>
      <c r="AN145" s="93"/>
      <c r="AO145" s="94"/>
      <c r="AP145" s="94"/>
      <c r="AQ145" s="94"/>
      <c r="AR145" s="95">
        <v>-1580000000</v>
      </c>
      <c r="AS145" s="95"/>
      <c r="AT145" s="95"/>
      <c r="AU145" s="95">
        <f t="shared" si="23"/>
        <v>-832736.01214318839</v>
      </c>
      <c r="AV145" s="95"/>
      <c r="AW145" s="95"/>
      <c r="AX145" s="95"/>
      <c r="AY145" s="95"/>
      <c r="AZ145" s="95"/>
      <c r="BA145" s="96"/>
      <c r="BB145" s="96"/>
      <c r="BC145" s="96"/>
      <c r="BD145" s="95"/>
      <c r="BE145" s="95"/>
      <c r="BF145" s="96"/>
      <c r="BG145" s="95"/>
      <c r="BH145" s="95"/>
      <c r="BI145" s="96"/>
      <c r="BJ145" s="97" t="s">
        <v>182</v>
      </c>
      <c r="BK145" s="98" t="str">
        <f t="shared" si="26"/>
        <v>Cost-saving</v>
      </c>
      <c r="BL145" s="98">
        <f t="shared" si="26"/>
        <v>0</v>
      </c>
      <c r="BM145" s="98">
        <f t="shared" si="26"/>
        <v>0</v>
      </c>
      <c r="BN145" s="99" t="s">
        <v>183</v>
      </c>
      <c r="BO145" s="100"/>
      <c r="BP145" s="100"/>
      <c r="BQ145" s="99" t="s">
        <v>183</v>
      </c>
      <c r="BR145" s="100"/>
      <c r="BS145" s="100"/>
      <c r="BT145" s="99" t="s">
        <v>183</v>
      </c>
      <c r="BU145" s="100"/>
      <c r="BV145" s="100"/>
      <c r="BW145" s="85"/>
      <c r="BX145" s="85" t="s">
        <v>320</v>
      </c>
      <c r="BY145" s="83" t="s">
        <v>320</v>
      </c>
      <c r="BZ145" s="102">
        <v>2016</v>
      </c>
      <c r="CA145" s="98"/>
      <c r="CB145" s="98"/>
      <c r="CC145" s="103">
        <f t="shared" si="27"/>
        <v>104</v>
      </c>
      <c r="CD145" s="98"/>
      <c r="CE145" s="98"/>
      <c r="CF145" s="98"/>
      <c r="CG145" s="105">
        <v>1</v>
      </c>
      <c r="CH145" s="105" t="str">
        <f>IF(CK145=0,"",IF(V145="Persistent",5,IF(V145="Once",1,IF(V145="One-off",1,"manual overwrite"))))</f>
        <v/>
      </c>
      <c r="CI145" s="105"/>
      <c r="CJ145" s="98">
        <f t="shared" si="22"/>
        <v>0</v>
      </c>
      <c r="CK145" s="98">
        <f>IF(CA145="C",0,IF(P145="Het",0,IF(SUM(AG145,AO145)=0,0,1)))</f>
        <v>0</v>
      </c>
      <c r="CL145" s="106" t="e">
        <f>IF(G145="AUS",VLOOKUP(H145,$CU$5:$CW$23,2),IF(G145="NZ",VLOOKUP(H145,$CU$5:$CW$23,3),"error"))*AU145</f>
        <v>#N/A</v>
      </c>
      <c r="CM145" s="107" t="e">
        <f>IF(G145="AUS",VLOOKUP(H145,$CU$5:$CW$23,2),IF(G145="NZ",VLOOKUP(H145,$CU$5:$CW$23,3),"error"))*AX145</f>
        <v>#N/A</v>
      </c>
      <c r="CN145" s="106" t="e">
        <f>IF(G145="AUS",VLOOKUP(H145,$CU$5:$CW$23,2),IF(G145="NZ",VLOOKUP(H145,$CU$5:$CW$23,3),"error"))*BK145</f>
        <v>#N/A</v>
      </c>
    </row>
    <row r="146" spans="1:92" s="108" customFormat="1" ht="229.5">
      <c r="A146" s="83" t="str">
        <f t="shared" si="21"/>
        <v>Tobacco</v>
      </c>
      <c r="B146" s="84" t="s">
        <v>170</v>
      </c>
      <c r="C146" s="85"/>
      <c r="D146" s="86"/>
      <c r="E146" s="85" t="s">
        <v>172</v>
      </c>
      <c r="F146" s="85" t="str">
        <f t="shared" si="24"/>
        <v xml:space="preserve">Tobacco; ; Prevention ; </v>
      </c>
      <c r="G146" s="85" t="s">
        <v>205</v>
      </c>
      <c r="H146" s="85">
        <v>2011</v>
      </c>
      <c r="I146" s="85" t="str">
        <f>CONCATENATE(A146,", ",G146,": ",J146)</f>
        <v>Tobacco, NZ: Sinking lid on tobacco supply (reducing tobacco commercial sales each year until sales are zero in 2025)</v>
      </c>
      <c r="J146" s="87" t="s">
        <v>361</v>
      </c>
      <c r="K146" s="87" t="s">
        <v>233</v>
      </c>
      <c r="L146" s="87" t="s">
        <v>233</v>
      </c>
      <c r="M146" s="87" t="s">
        <v>366</v>
      </c>
      <c r="N146" s="87" t="s">
        <v>367</v>
      </c>
      <c r="O146" s="87" t="s">
        <v>233</v>
      </c>
      <c r="P146" s="85" t="s">
        <v>215</v>
      </c>
      <c r="Q146" s="85" t="str">
        <f>IF($P146="Main",J146,BX146)</f>
        <v>in non-Māori women age 0-14 yrs</v>
      </c>
      <c r="R146" s="85" t="str">
        <f>IF($P146="Main",CONCATENATE(J146,": ",G146),BY146)</f>
        <v>in non-Māori women age 0-14 yrs</v>
      </c>
      <c r="S146" s="85" t="s">
        <v>234</v>
      </c>
      <c r="T146" s="85" t="s">
        <v>250</v>
      </c>
      <c r="U146" s="85" t="s">
        <v>236</v>
      </c>
      <c r="V146" s="88"/>
      <c r="W146" s="88" t="s">
        <v>368</v>
      </c>
      <c r="X146" s="88" t="s">
        <v>199</v>
      </c>
      <c r="Y146" s="85"/>
      <c r="Z146" s="85"/>
      <c r="AA146" s="85"/>
      <c r="AB146" s="85"/>
      <c r="AC146" s="89">
        <v>0.03</v>
      </c>
      <c r="AD146" s="122"/>
      <c r="AE146" s="83"/>
      <c r="AF146" s="83"/>
      <c r="AG146" s="90">
        <v>11400</v>
      </c>
      <c r="AH146" s="90"/>
      <c r="AI146" s="90"/>
      <c r="AJ146" s="91">
        <v>323780</v>
      </c>
      <c r="AK146" s="92">
        <f t="shared" si="25"/>
        <v>35.209092593736486</v>
      </c>
      <c r="AL146" s="92"/>
      <c r="AM146" s="92"/>
      <c r="AN146" s="93"/>
      <c r="AO146" s="94"/>
      <c r="AP146" s="94"/>
      <c r="AQ146" s="94"/>
      <c r="AR146" s="95">
        <v>-299000000</v>
      </c>
      <c r="AS146" s="95"/>
      <c r="AT146" s="95"/>
      <c r="AU146" s="95">
        <f t="shared" si="23"/>
        <v>-923466.55136203591</v>
      </c>
      <c r="AV146" s="95"/>
      <c r="AW146" s="95"/>
      <c r="AX146" s="95"/>
      <c r="AY146" s="95"/>
      <c r="AZ146" s="95"/>
      <c r="BA146" s="96"/>
      <c r="BB146" s="96"/>
      <c r="BC146" s="96"/>
      <c r="BD146" s="95"/>
      <c r="BE146" s="95"/>
      <c r="BF146" s="96"/>
      <c r="BG146" s="95"/>
      <c r="BH146" s="95"/>
      <c r="BI146" s="96"/>
      <c r="BJ146" s="97" t="s">
        <v>182</v>
      </c>
      <c r="BK146" s="98" t="str">
        <f t="shared" si="26"/>
        <v>Cost-saving</v>
      </c>
      <c r="BL146" s="98">
        <f t="shared" si="26"/>
        <v>0</v>
      </c>
      <c r="BM146" s="98">
        <f t="shared" si="26"/>
        <v>0</v>
      </c>
      <c r="BN146" s="99" t="s">
        <v>183</v>
      </c>
      <c r="BO146" s="100"/>
      <c r="BP146" s="100"/>
      <c r="BQ146" s="99" t="s">
        <v>183</v>
      </c>
      <c r="BR146" s="100"/>
      <c r="BS146" s="100"/>
      <c r="BT146" s="99" t="s">
        <v>183</v>
      </c>
      <c r="BU146" s="100"/>
      <c r="BV146" s="100"/>
      <c r="BW146" s="85"/>
      <c r="BX146" s="85" t="s">
        <v>251</v>
      </c>
      <c r="BY146" s="83" t="s">
        <v>251</v>
      </c>
      <c r="BZ146" s="102">
        <v>2016</v>
      </c>
      <c r="CA146" s="98"/>
      <c r="CB146" s="98"/>
      <c r="CC146" s="103">
        <f t="shared" si="27"/>
        <v>104</v>
      </c>
      <c r="CD146" s="98"/>
      <c r="CE146" s="98"/>
      <c r="CF146" s="98"/>
      <c r="CG146" s="105">
        <v>1</v>
      </c>
      <c r="CH146" s="105" t="str">
        <f>IF(CK146=0,"",IF(V146="Persistent",5,IF(V146="Once",1,IF(V146="One-off",1,"manual overwrite"))))</f>
        <v/>
      </c>
      <c r="CI146" s="105"/>
      <c r="CJ146" s="98">
        <f t="shared" si="22"/>
        <v>0</v>
      </c>
      <c r="CK146" s="98">
        <f>IF(CA146="C",0,IF(P146="Het",0,IF(SUM(AG146,AO146)=0,0,1)))</f>
        <v>0</v>
      </c>
      <c r="CL146" s="106" t="e">
        <f>IF(G146="AUS",VLOOKUP(H146,$CU$5:$CW$23,2),IF(G146="NZ",VLOOKUP(H146,$CU$5:$CW$23,3),"error"))*AU146</f>
        <v>#N/A</v>
      </c>
      <c r="CM146" s="107" t="e">
        <f>IF(G146="AUS",VLOOKUP(H146,$CU$5:$CW$23,2),IF(G146="NZ",VLOOKUP(H146,$CU$5:$CW$23,3),"error"))*AX146</f>
        <v>#N/A</v>
      </c>
      <c r="CN146" s="106" t="e">
        <f>IF(G146="AUS",VLOOKUP(H146,$CU$5:$CW$23,2),IF(G146="NZ",VLOOKUP(H146,$CU$5:$CW$23,3),"error"))*BK146</f>
        <v>#N/A</v>
      </c>
    </row>
    <row r="147" spans="1:92" s="108" customFormat="1" ht="229.5">
      <c r="A147" s="83" t="str">
        <f t="shared" si="21"/>
        <v>Tobacco</v>
      </c>
      <c r="B147" s="84" t="s">
        <v>170</v>
      </c>
      <c r="C147" s="85"/>
      <c r="D147" s="86"/>
      <c r="E147" s="85" t="s">
        <v>172</v>
      </c>
      <c r="F147" s="85" t="str">
        <f t="shared" si="24"/>
        <v xml:space="preserve">Tobacco; ; Prevention ; </v>
      </c>
      <c r="G147" s="85" t="s">
        <v>205</v>
      </c>
      <c r="H147" s="85">
        <v>2011</v>
      </c>
      <c r="I147" s="85" t="str">
        <f>CONCATENATE(A147,", ",G147,": ",J147)</f>
        <v>Tobacco, NZ: Sinking lid on tobacco supply (reducing tobacco commercial sales each year until sales are zero in 2025)</v>
      </c>
      <c r="J147" s="87" t="s">
        <v>361</v>
      </c>
      <c r="K147" s="87" t="s">
        <v>233</v>
      </c>
      <c r="L147" s="87" t="s">
        <v>233</v>
      </c>
      <c r="M147" s="87" t="s">
        <v>366</v>
      </c>
      <c r="N147" s="87" t="s">
        <v>367</v>
      </c>
      <c r="O147" s="87" t="s">
        <v>233</v>
      </c>
      <c r="P147" s="85" t="s">
        <v>215</v>
      </c>
      <c r="Q147" s="85" t="str">
        <f>IF($P147="Main",J147,BX147)</f>
        <v>in non-Māori women age 15-24 yrs</v>
      </c>
      <c r="R147" s="85" t="str">
        <f>IF($P147="Main",CONCATENATE(J147,": ",G147),BY147)</f>
        <v>in non-Māori women age 15-24 yrs</v>
      </c>
      <c r="S147" s="85" t="s">
        <v>239</v>
      </c>
      <c r="T147" s="85" t="s">
        <v>250</v>
      </c>
      <c r="U147" s="85" t="s">
        <v>236</v>
      </c>
      <c r="V147" s="88"/>
      <c r="W147" s="88" t="s">
        <v>368</v>
      </c>
      <c r="X147" s="88" t="s">
        <v>199</v>
      </c>
      <c r="Y147" s="85"/>
      <c r="Z147" s="85"/>
      <c r="AA147" s="85"/>
      <c r="AB147" s="85"/>
      <c r="AC147" s="89">
        <v>0.03</v>
      </c>
      <c r="AD147" s="122"/>
      <c r="AE147" s="83"/>
      <c r="AF147" s="83"/>
      <c r="AG147" s="90">
        <v>13400</v>
      </c>
      <c r="AH147" s="90"/>
      <c r="AI147" s="90"/>
      <c r="AJ147" s="91">
        <v>248800</v>
      </c>
      <c r="AK147" s="92">
        <f t="shared" si="25"/>
        <v>53.858520900321544</v>
      </c>
      <c r="AL147" s="92"/>
      <c r="AM147" s="92"/>
      <c r="AN147" s="93"/>
      <c r="AO147" s="94"/>
      <c r="AP147" s="94"/>
      <c r="AQ147" s="94"/>
      <c r="AR147" s="95">
        <v>-335000000</v>
      </c>
      <c r="AS147" s="95"/>
      <c r="AT147" s="95"/>
      <c r="AU147" s="95">
        <f t="shared" si="23"/>
        <v>-1346463.0225080387</v>
      </c>
      <c r="AV147" s="95"/>
      <c r="AW147" s="95"/>
      <c r="AX147" s="95"/>
      <c r="AY147" s="95"/>
      <c r="AZ147" s="95"/>
      <c r="BA147" s="96"/>
      <c r="BB147" s="96"/>
      <c r="BC147" s="96"/>
      <c r="BD147" s="95"/>
      <c r="BE147" s="95"/>
      <c r="BF147" s="96"/>
      <c r="BG147" s="95"/>
      <c r="BH147" s="95"/>
      <c r="BI147" s="96"/>
      <c r="BJ147" s="97" t="s">
        <v>182</v>
      </c>
      <c r="BK147" s="98" t="str">
        <f t="shared" si="26"/>
        <v>Cost-saving</v>
      </c>
      <c r="BL147" s="98">
        <f t="shared" si="26"/>
        <v>0</v>
      </c>
      <c r="BM147" s="98">
        <f t="shared" si="26"/>
        <v>0</v>
      </c>
      <c r="BN147" s="99" t="s">
        <v>183</v>
      </c>
      <c r="BO147" s="100"/>
      <c r="BP147" s="100"/>
      <c r="BQ147" s="99" t="s">
        <v>183</v>
      </c>
      <c r="BR147" s="100"/>
      <c r="BS147" s="100"/>
      <c r="BT147" s="99" t="s">
        <v>183</v>
      </c>
      <c r="BU147" s="100"/>
      <c r="BV147" s="100"/>
      <c r="BW147" s="85"/>
      <c r="BX147" s="85" t="s">
        <v>252</v>
      </c>
      <c r="BY147" s="83" t="s">
        <v>252</v>
      </c>
      <c r="BZ147" s="102">
        <v>2016</v>
      </c>
      <c r="CA147" s="98"/>
      <c r="CB147" s="98"/>
      <c r="CC147" s="103">
        <f t="shared" si="27"/>
        <v>104</v>
      </c>
      <c r="CD147" s="98"/>
      <c r="CE147" s="98"/>
      <c r="CF147" s="98"/>
      <c r="CG147" s="105">
        <v>1</v>
      </c>
      <c r="CH147" s="105" t="str">
        <f>IF(CK147=0,"",IF(V147="Persistent",5,IF(V147="Once",1,IF(V147="One-off",1,"manual overwrite"))))</f>
        <v/>
      </c>
      <c r="CI147" s="105"/>
      <c r="CJ147" s="98">
        <f t="shared" si="22"/>
        <v>0</v>
      </c>
      <c r="CK147" s="98">
        <f>IF(CA147="C",0,IF(P147="Het",0,IF(SUM(AG147,AO147)=0,0,1)))</f>
        <v>0</v>
      </c>
      <c r="CL147" s="106" t="e">
        <f>IF(G147="AUS",VLOOKUP(H147,$CU$5:$CW$23,2),IF(G147="NZ",VLOOKUP(H147,$CU$5:$CW$23,3),"error"))*AU147</f>
        <v>#N/A</v>
      </c>
      <c r="CM147" s="107" t="e">
        <f>IF(G147="AUS",VLOOKUP(H147,$CU$5:$CW$23,2),IF(G147="NZ",VLOOKUP(H147,$CU$5:$CW$23,3),"error"))*AX147</f>
        <v>#N/A</v>
      </c>
      <c r="CN147" s="106" t="e">
        <f>IF(G147="AUS",VLOOKUP(H147,$CU$5:$CW$23,2),IF(G147="NZ",VLOOKUP(H147,$CU$5:$CW$23,3),"error"))*BK147</f>
        <v>#N/A</v>
      </c>
    </row>
    <row r="148" spans="1:92" s="108" customFormat="1" ht="229.5">
      <c r="A148" s="83" t="str">
        <f t="shared" si="21"/>
        <v>Tobacco</v>
      </c>
      <c r="B148" s="84" t="s">
        <v>170</v>
      </c>
      <c r="C148" s="85"/>
      <c r="D148" s="86"/>
      <c r="E148" s="85" t="s">
        <v>172</v>
      </c>
      <c r="F148" s="85" t="str">
        <f t="shared" si="24"/>
        <v xml:space="preserve">Tobacco; ; Prevention ; </v>
      </c>
      <c r="G148" s="85" t="s">
        <v>205</v>
      </c>
      <c r="H148" s="85">
        <v>2011</v>
      </c>
      <c r="I148" s="85" t="str">
        <f>CONCATENATE(A148,", ",G148,": ",J148)</f>
        <v>Tobacco, NZ: Sinking lid on tobacco supply (reducing tobacco commercial sales each year until sales are zero in 2025)</v>
      </c>
      <c r="J148" s="87" t="s">
        <v>361</v>
      </c>
      <c r="K148" s="87" t="s">
        <v>233</v>
      </c>
      <c r="L148" s="87" t="s">
        <v>233</v>
      </c>
      <c r="M148" s="87" t="s">
        <v>366</v>
      </c>
      <c r="N148" s="87" t="s">
        <v>367</v>
      </c>
      <c r="O148" s="87" t="s">
        <v>233</v>
      </c>
      <c r="P148" s="85" t="s">
        <v>215</v>
      </c>
      <c r="Q148" s="85" t="str">
        <f>IF($P148="Main",J148,BX148)</f>
        <v>in non-Māori women age 25-44 yrs</v>
      </c>
      <c r="R148" s="85" t="str">
        <f>IF($P148="Main",CONCATENATE(J148,": ",G148),BY148)</f>
        <v>in non-Māori women age 25-44 yrs</v>
      </c>
      <c r="S148" s="85" t="s">
        <v>241</v>
      </c>
      <c r="T148" s="85" t="s">
        <v>250</v>
      </c>
      <c r="U148" s="85" t="s">
        <v>236</v>
      </c>
      <c r="V148" s="88"/>
      <c r="W148" s="88" t="s">
        <v>368</v>
      </c>
      <c r="X148" s="88" t="s">
        <v>199</v>
      </c>
      <c r="Y148" s="85"/>
      <c r="Z148" s="85"/>
      <c r="AA148" s="85"/>
      <c r="AB148" s="85"/>
      <c r="AC148" s="89">
        <v>0.03</v>
      </c>
      <c r="AD148" s="122"/>
      <c r="AE148" s="83"/>
      <c r="AF148" s="83"/>
      <c r="AG148" s="90">
        <v>35800</v>
      </c>
      <c r="AH148" s="90"/>
      <c r="AI148" s="90"/>
      <c r="AJ148" s="91">
        <v>515290</v>
      </c>
      <c r="AK148" s="92">
        <f t="shared" si="25"/>
        <v>69.475441013798061</v>
      </c>
      <c r="AL148" s="92"/>
      <c r="AM148" s="92"/>
      <c r="AN148" s="93"/>
      <c r="AO148" s="94"/>
      <c r="AP148" s="94"/>
      <c r="AQ148" s="94"/>
      <c r="AR148" s="95">
        <v>-721000000</v>
      </c>
      <c r="AS148" s="95"/>
      <c r="AT148" s="95"/>
      <c r="AU148" s="95">
        <f t="shared" si="23"/>
        <v>-1399212.0941605698</v>
      </c>
      <c r="AV148" s="95"/>
      <c r="AW148" s="95"/>
      <c r="AX148" s="95"/>
      <c r="AY148" s="95"/>
      <c r="AZ148" s="95"/>
      <c r="BA148" s="96"/>
      <c r="BB148" s="96"/>
      <c r="BC148" s="96"/>
      <c r="BD148" s="95"/>
      <c r="BE148" s="95"/>
      <c r="BF148" s="96"/>
      <c r="BG148" s="95"/>
      <c r="BH148" s="95"/>
      <c r="BI148" s="96"/>
      <c r="BJ148" s="97" t="s">
        <v>182</v>
      </c>
      <c r="BK148" s="98" t="str">
        <f t="shared" si="26"/>
        <v>Cost-saving</v>
      </c>
      <c r="BL148" s="98">
        <f t="shared" si="26"/>
        <v>0</v>
      </c>
      <c r="BM148" s="98">
        <f t="shared" si="26"/>
        <v>0</v>
      </c>
      <c r="BN148" s="99" t="s">
        <v>183</v>
      </c>
      <c r="BO148" s="100"/>
      <c r="BP148" s="100"/>
      <c r="BQ148" s="99" t="s">
        <v>183</v>
      </c>
      <c r="BR148" s="100"/>
      <c r="BS148" s="100"/>
      <c r="BT148" s="99" t="s">
        <v>183</v>
      </c>
      <c r="BU148" s="100"/>
      <c r="BV148" s="100"/>
      <c r="BW148" s="85"/>
      <c r="BX148" s="85" t="s">
        <v>333</v>
      </c>
      <c r="BY148" s="83" t="s">
        <v>333</v>
      </c>
      <c r="BZ148" s="102">
        <v>2016</v>
      </c>
      <c r="CA148" s="98"/>
      <c r="CB148" s="98"/>
      <c r="CC148" s="103">
        <f t="shared" si="27"/>
        <v>104</v>
      </c>
      <c r="CD148" s="98"/>
      <c r="CE148" s="98"/>
      <c r="CF148" s="98"/>
      <c r="CG148" s="105">
        <v>1</v>
      </c>
      <c r="CH148" s="105" t="str">
        <f>IF(CK148=0,"",IF(V148="Persistent",5,IF(V148="Once",1,IF(V148="One-off",1,"manual overwrite"))))</f>
        <v/>
      </c>
      <c r="CI148" s="105"/>
      <c r="CJ148" s="98">
        <f t="shared" si="22"/>
        <v>0</v>
      </c>
      <c r="CK148" s="98">
        <f>IF(CA148="C",0,IF(P148="Het",0,IF(SUM(AG148,AO148)=0,0,1)))</f>
        <v>0</v>
      </c>
      <c r="CL148" s="106" t="e">
        <f>IF(G148="AUS",VLOOKUP(H148,$CU$5:$CW$23,2),IF(G148="NZ",VLOOKUP(H148,$CU$5:$CW$23,3),"error"))*AU148</f>
        <v>#N/A</v>
      </c>
      <c r="CM148" s="107" t="e">
        <f>IF(G148="AUS",VLOOKUP(H148,$CU$5:$CW$23,2),IF(G148="NZ",VLOOKUP(H148,$CU$5:$CW$23,3),"error"))*AX148</f>
        <v>#N/A</v>
      </c>
      <c r="CN148" s="106" t="e">
        <f>IF(G148="AUS",VLOOKUP(H148,$CU$5:$CW$23,2),IF(G148="NZ",VLOOKUP(H148,$CU$5:$CW$23,3),"error"))*BK148</f>
        <v>#N/A</v>
      </c>
    </row>
    <row r="149" spans="1:92" s="108" customFormat="1" ht="229.5">
      <c r="A149" s="83" t="str">
        <f t="shared" si="21"/>
        <v>Tobacco</v>
      </c>
      <c r="B149" s="84" t="s">
        <v>170</v>
      </c>
      <c r="C149" s="85"/>
      <c r="D149" s="86"/>
      <c r="E149" s="85" t="s">
        <v>172</v>
      </c>
      <c r="F149" s="85" t="str">
        <f t="shared" si="24"/>
        <v xml:space="preserve">Tobacco; ; Prevention ; </v>
      </c>
      <c r="G149" s="85" t="s">
        <v>205</v>
      </c>
      <c r="H149" s="85">
        <v>2011</v>
      </c>
      <c r="I149" s="85" t="str">
        <f>CONCATENATE(A149,", ",G149,": ",J149)</f>
        <v>Tobacco, NZ: Sinking lid on tobacco supply (reducing tobacco commercial sales each year until sales are zero in 2025)</v>
      </c>
      <c r="J149" s="87" t="s">
        <v>361</v>
      </c>
      <c r="K149" s="87" t="s">
        <v>233</v>
      </c>
      <c r="L149" s="87" t="s">
        <v>233</v>
      </c>
      <c r="M149" s="87" t="s">
        <v>370</v>
      </c>
      <c r="N149" s="87" t="s">
        <v>367</v>
      </c>
      <c r="O149" s="87" t="s">
        <v>233</v>
      </c>
      <c r="P149" s="85" t="s">
        <v>215</v>
      </c>
      <c r="Q149" s="85" t="str">
        <f>IF($P149="Main",J149,BX149)</f>
        <v>in non-Māori women age 45-64 yrs</v>
      </c>
      <c r="R149" s="85" t="str">
        <f>IF($P149="Main",CONCATENATE(J149,": ",G149),BY149)</f>
        <v>in non-Māori women age 45-64 yrs</v>
      </c>
      <c r="S149" s="85" t="s">
        <v>244</v>
      </c>
      <c r="T149" s="85" t="s">
        <v>250</v>
      </c>
      <c r="U149" s="85" t="s">
        <v>236</v>
      </c>
      <c r="V149" s="88"/>
      <c r="W149" s="88" t="s">
        <v>368</v>
      </c>
      <c r="X149" s="88" t="s">
        <v>199</v>
      </c>
      <c r="Y149" s="85"/>
      <c r="Z149" s="85"/>
      <c r="AA149" s="85"/>
      <c r="AB149" s="85"/>
      <c r="AC149" s="89">
        <v>0.03</v>
      </c>
      <c r="AD149" s="122"/>
      <c r="AE149" s="83"/>
      <c r="AF149" s="83"/>
      <c r="AG149" s="90">
        <v>17600</v>
      </c>
      <c r="AH149" s="90"/>
      <c r="AI149" s="90"/>
      <c r="AJ149" s="91">
        <v>508320</v>
      </c>
      <c r="AK149" s="92">
        <f t="shared" si="25"/>
        <v>34.623858986465216</v>
      </c>
      <c r="AL149" s="92"/>
      <c r="AM149" s="92"/>
      <c r="AN149" s="93"/>
      <c r="AO149" s="94"/>
      <c r="AP149" s="94"/>
      <c r="AQ149" s="94"/>
      <c r="AR149" s="95">
        <v>-225000000</v>
      </c>
      <c r="AS149" s="95"/>
      <c r="AT149" s="95"/>
      <c r="AU149" s="95">
        <f t="shared" si="23"/>
        <v>-442634.56090651557</v>
      </c>
      <c r="AV149" s="95"/>
      <c r="AW149" s="95"/>
      <c r="AX149" s="95"/>
      <c r="AY149" s="95"/>
      <c r="AZ149" s="95"/>
      <c r="BA149" s="96"/>
      <c r="BB149" s="96"/>
      <c r="BC149" s="96"/>
      <c r="BD149" s="95"/>
      <c r="BE149" s="95"/>
      <c r="BF149" s="96"/>
      <c r="BG149" s="95"/>
      <c r="BH149" s="95"/>
      <c r="BI149" s="96"/>
      <c r="BJ149" s="97" t="s">
        <v>182</v>
      </c>
      <c r="BK149" s="98" t="str">
        <f t="shared" si="26"/>
        <v>Cost-saving</v>
      </c>
      <c r="BL149" s="98">
        <f t="shared" si="26"/>
        <v>0</v>
      </c>
      <c r="BM149" s="98">
        <f t="shared" si="26"/>
        <v>0</v>
      </c>
      <c r="BN149" s="99" t="s">
        <v>183</v>
      </c>
      <c r="BO149" s="100"/>
      <c r="BP149" s="100"/>
      <c r="BQ149" s="99" t="s">
        <v>183</v>
      </c>
      <c r="BR149" s="100"/>
      <c r="BS149" s="100"/>
      <c r="BT149" s="99" t="s">
        <v>183</v>
      </c>
      <c r="BU149" s="100"/>
      <c r="BV149" s="100"/>
      <c r="BW149" s="85"/>
      <c r="BX149" s="85" t="s">
        <v>254</v>
      </c>
      <c r="BY149" s="83" t="s">
        <v>254</v>
      </c>
      <c r="BZ149" s="102">
        <v>2016</v>
      </c>
      <c r="CA149" s="98"/>
      <c r="CB149" s="98"/>
      <c r="CC149" s="103">
        <f t="shared" si="27"/>
        <v>104</v>
      </c>
      <c r="CD149" s="98"/>
      <c r="CE149" s="98"/>
      <c r="CF149" s="98"/>
      <c r="CG149" s="105">
        <v>1</v>
      </c>
      <c r="CH149" s="105" t="str">
        <f>IF(CK149=0,"",IF(V149="Persistent",5,IF(V149="Once",1,IF(V149="One-off",1,"manual overwrite"))))</f>
        <v/>
      </c>
      <c r="CI149" s="105"/>
      <c r="CJ149" s="98">
        <f t="shared" si="22"/>
        <v>0</v>
      </c>
      <c r="CK149" s="98">
        <f>IF(CA149="C",0,IF(P149="Het",0,IF(SUM(AG149,AO149)=0,0,1)))</f>
        <v>0</v>
      </c>
      <c r="CL149" s="106" t="e">
        <f>IF(G149="AUS",VLOOKUP(H149,$CU$5:$CW$23,2),IF(G149="NZ",VLOOKUP(H149,$CU$5:$CW$23,3),"error"))*AU149</f>
        <v>#N/A</v>
      </c>
      <c r="CM149" s="107" t="e">
        <f>IF(G149="AUS",VLOOKUP(H149,$CU$5:$CW$23,2),IF(G149="NZ",VLOOKUP(H149,$CU$5:$CW$23,3),"error"))*AX149</f>
        <v>#N/A</v>
      </c>
      <c r="CN149" s="106" t="e">
        <f>IF(G149="AUS",VLOOKUP(H149,$CU$5:$CW$23,2),IF(G149="NZ",VLOOKUP(H149,$CU$5:$CW$23,3),"error"))*BK149</f>
        <v>#N/A</v>
      </c>
    </row>
    <row r="150" spans="1:92" s="108" customFormat="1" ht="229.5">
      <c r="A150" s="83" t="str">
        <f t="shared" si="21"/>
        <v>Tobacco</v>
      </c>
      <c r="B150" s="84" t="s">
        <v>170</v>
      </c>
      <c r="C150" s="85"/>
      <c r="D150" s="86"/>
      <c r="E150" s="85" t="s">
        <v>172</v>
      </c>
      <c r="F150" s="85" t="str">
        <f t="shared" si="24"/>
        <v xml:space="preserve">Tobacco; ; Prevention ; </v>
      </c>
      <c r="G150" s="85" t="s">
        <v>205</v>
      </c>
      <c r="H150" s="85">
        <v>2011</v>
      </c>
      <c r="I150" s="85" t="str">
        <f>CONCATENATE(A150,", ",G150,": ",J150)</f>
        <v>Tobacco, NZ: Sinking lid on tobacco supply (reducing tobacco commercial sales each year until sales are zero in 2025)</v>
      </c>
      <c r="J150" s="87" t="s">
        <v>361</v>
      </c>
      <c r="K150" s="87" t="s">
        <v>233</v>
      </c>
      <c r="L150" s="87" t="s">
        <v>233</v>
      </c>
      <c r="M150" s="87" t="s">
        <v>371</v>
      </c>
      <c r="N150" s="87" t="s">
        <v>367</v>
      </c>
      <c r="O150" s="87" t="s">
        <v>233</v>
      </c>
      <c r="P150" s="85" t="s">
        <v>215</v>
      </c>
      <c r="Q150" s="85" t="str">
        <f>IF($P150="Main",J150,BX150)</f>
        <v>in non-Māori women age 65+ yrs</v>
      </c>
      <c r="R150" s="85" t="str">
        <f>IF($P150="Main",CONCATENATE(J150,": ",G150),BY150)</f>
        <v>in non-Māori women age 65+ yrs</v>
      </c>
      <c r="S150" s="85" t="s">
        <v>247</v>
      </c>
      <c r="T150" s="85" t="s">
        <v>250</v>
      </c>
      <c r="U150" s="85" t="s">
        <v>236</v>
      </c>
      <c r="V150" s="88"/>
      <c r="W150" s="88" t="s">
        <v>368</v>
      </c>
      <c r="X150" s="88" t="s">
        <v>199</v>
      </c>
      <c r="Y150" s="85"/>
      <c r="Z150" s="85"/>
      <c r="AA150" s="85"/>
      <c r="AB150" s="85"/>
      <c r="AC150" s="89">
        <v>0.03</v>
      </c>
      <c r="AD150" s="122"/>
      <c r="AE150" s="83"/>
      <c r="AF150" s="83"/>
      <c r="AG150" s="90">
        <v>920</v>
      </c>
      <c r="AH150" s="90"/>
      <c r="AI150" s="90"/>
      <c r="AJ150" s="91">
        <v>301170</v>
      </c>
      <c r="AK150" s="92">
        <f t="shared" si="25"/>
        <v>3.054753129461766</v>
      </c>
      <c r="AL150" s="92"/>
      <c r="AM150" s="92"/>
      <c r="AN150" s="93"/>
      <c r="AO150" s="94"/>
      <c r="AP150" s="94"/>
      <c r="AQ150" s="94"/>
      <c r="AR150" s="95">
        <v>-3040000</v>
      </c>
      <c r="AS150" s="95"/>
      <c r="AT150" s="95"/>
      <c r="AU150" s="95">
        <f t="shared" si="23"/>
        <v>-10093.966862569314</v>
      </c>
      <c r="AV150" s="95"/>
      <c r="AW150" s="95"/>
      <c r="AX150" s="95"/>
      <c r="AY150" s="95"/>
      <c r="AZ150" s="95"/>
      <c r="BA150" s="96"/>
      <c r="BB150" s="96"/>
      <c r="BC150" s="96"/>
      <c r="BD150" s="95"/>
      <c r="BE150" s="95"/>
      <c r="BF150" s="96"/>
      <c r="BG150" s="95"/>
      <c r="BH150" s="95"/>
      <c r="BI150" s="96"/>
      <c r="BJ150" s="97" t="s">
        <v>182</v>
      </c>
      <c r="BK150" s="98" t="str">
        <f t="shared" si="26"/>
        <v>Cost-saving</v>
      </c>
      <c r="BL150" s="98">
        <f t="shared" si="26"/>
        <v>0</v>
      </c>
      <c r="BM150" s="98">
        <f t="shared" si="26"/>
        <v>0</v>
      </c>
      <c r="BN150" s="99" t="s">
        <v>183</v>
      </c>
      <c r="BO150" s="100"/>
      <c r="BP150" s="100"/>
      <c r="BQ150" s="99" t="s">
        <v>183</v>
      </c>
      <c r="BR150" s="100"/>
      <c r="BS150" s="100"/>
      <c r="BT150" s="99" t="s">
        <v>183</v>
      </c>
      <c r="BU150" s="100"/>
      <c r="BV150" s="100"/>
      <c r="BW150" s="85"/>
      <c r="BX150" s="85" t="s">
        <v>372</v>
      </c>
      <c r="BY150" s="83" t="s">
        <v>372</v>
      </c>
      <c r="BZ150" s="102">
        <v>2016</v>
      </c>
      <c r="CA150" s="98"/>
      <c r="CB150" s="98"/>
      <c r="CC150" s="103">
        <f t="shared" si="27"/>
        <v>104</v>
      </c>
      <c r="CD150" s="98"/>
      <c r="CE150" s="98"/>
      <c r="CF150" s="98"/>
      <c r="CG150" s="105">
        <v>1</v>
      </c>
      <c r="CH150" s="105" t="str">
        <f>IF(CK150=0,"",IF(V150="Persistent",5,IF(V150="Once",1,IF(V150="One-off",1,"manual overwrite"))))</f>
        <v/>
      </c>
      <c r="CI150" s="105"/>
      <c r="CJ150" s="98">
        <f t="shared" si="22"/>
        <v>0</v>
      </c>
      <c r="CK150" s="98">
        <f>IF(CA150="C",0,IF(P150="Het",0,IF(SUM(AG150,AO150)=0,0,1)))</f>
        <v>0</v>
      </c>
      <c r="CL150" s="106" t="e">
        <f>IF(G150="AUS",VLOOKUP(H150,$CU$5:$CW$23,2),IF(G150="NZ",VLOOKUP(H150,$CU$5:$CW$23,3),"error"))*AU150</f>
        <v>#N/A</v>
      </c>
      <c r="CM150" s="107" t="e">
        <f>IF(G150="AUS",VLOOKUP(H150,$CU$5:$CW$23,2),IF(G150="NZ",VLOOKUP(H150,$CU$5:$CW$23,3),"error"))*AX150</f>
        <v>#N/A</v>
      </c>
      <c r="CN150" s="106" t="e">
        <f>IF(G150="AUS",VLOOKUP(H150,$CU$5:$CW$23,2),IF(G150="NZ",VLOOKUP(H150,$CU$5:$CW$23,3),"error"))*BK150</f>
        <v>#N/A</v>
      </c>
    </row>
    <row r="151" spans="1:92" s="108" customFormat="1" ht="229.5" hidden="1">
      <c r="A151" s="83" t="str">
        <f t="shared" si="21"/>
        <v>Tobacco</v>
      </c>
      <c r="B151" s="84" t="s">
        <v>170</v>
      </c>
      <c r="C151" s="85"/>
      <c r="D151" s="86"/>
      <c r="E151" s="85" t="s">
        <v>172</v>
      </c>
      <c r="F151" s="85" t="str">
        <f t="shared" si="24"/>
        <v xml:space="preserve">Tobacco; ; Prevention ; </v>
      </c>
      <c r="G151" s="85" t="s">
        <v>205</v>
      </c>
      <c r="H151" s="85">
        <v>2011</v>
      </c>
      <c r="I151" s="85" t="str">
        <f>CONCATENATE(A151,", ",G151,": ",J151)</f>
        <v>Tobacco, NZ: Sinking lid on tobacco supply (reducing tobacco commercial sales each year until sales are zero in 2025)</v>
      </c>
      <c r="J151" s="87" t="s">
        <v>361</v>
      </c>
      <c r="K151" s="87"/>
      <c r="L151" s="87" t="s">
        <v>233</v>
      </c>
      <c r="M151" s="87"/>
      <c r="N151" s="87"/>
      <c r="O151" s="87"/>
      <c r="P151" s="85" t="s">
        <v>215</v>
      </c>
      <c r="Q151" s="85" t="str">
        <f>IF($P151="Main",J151,BX151)</f>
        <v>in Māori</v>
      </c>
      <c r="R151" s="85" t="str">
        <f>IF($P151="Main",CONCATENATE(J151,": ",G151),BY151)</f>
        <v>in Māori</v>
      </c>
      <c r="S151" s="85"/>
      <c r="T151" s="85"/>
      <c r="U151" s="85"/>
      <c r="V151" s="88"/>
      <c r="W151" s="88"/>
      <c r="X151" s="88"/>
      <c r="Y151" s="85"/>
      <c r="Z151" s="85"/>
      <c r="AA151" s="85"/>
      <c r="AB151" s="85"/>
      <c r="AC151" s="89">
        <v>0.03</v>
      </c>
      <c r="AD151" s="122"/>
      <c r="AE151" s="83"/>
      <c r="AF151" s="83"/>
      <c r="AG151" s="90">
        <v>105000</v>
      </c>
      <c r="AH151" s="90">
        <v>73300</v>
      </c>
      <c r="AI151" s="90">
        <v>143000</v>
      </c>
      <c r="AJ151" s="91">
        <v>674200</v>
      </c>
      <c r="AK151" s="92">
        <f t="shared" si="25"/>
        <v>155.74013645802432</v>
      </c>
      <c r="AL151" s="92">
        <f>AH151/$AJ151*1000</f>
        <v>108.72144764164936</v>
      </c>
      <c r="AM151" s="92">
        <f>AI151/$AJ151*1000</f>
        <v>212.10323346188076</v>
      </c>
      <c r="AN151" s="93"/>
      <c r="AO151" s="94">
        <v>0.155</v>
      </c>
      <c r="AP151" s="94"/>
      <c r="AQ151" s="94"/>
      <c r="AR151" s="95">
        <v>-1540000000</v>
      </c>
      <c r="AS151" s="95">
        <v>-1094000000</v>
      </c>
      <c r="AT151" s="95">
        <v>-2160000000</v>
      </c>
      <c r="AU151" s="95">
        <f t="shared" si="23"/>
        <v>-2284188.6680510235</v>
      </c>
      <c r="AV151" s="95">
        <f>1000*AS151/$AJ151</f>
        <v>-1622663.8979531296</v>
      </c>
      <c r="AW151" s="95">
        <f>1000*AT151/$AJ151</f>
        <v>-3203797.0928507862</v>
      </c>
      <c r="AX151" s="95">
        <v>-2280</v>
      </c>
      <c r="AY151" s="95"/>
      <c r="AZ151" s="95"/>
      <c r="BA151" s="96"/>
      <c r="BB151" s="96"/>
      <c r="BC151" s="96"/>
      <c r="BD151" s="95"/>
      <c r="BE151" s="95"/>
      <c r="BF151" s="96"/>
      <c r="BG151" s="95"/>
      <c r="BH151" s="95"/>
      <c r="BI151" s="96"/>
      <c r="BJ151" s="97" t="s">
        <v>182</v>
      </c>
      <c r="BK151" s="98" t="str">
        <f t="shared" si="26"/>
        <v>Cost-saving</v>
      </c>
      <c r="BL151" s="98">
        <f t="shared" si="26"/>
        <v>0</v>
      </c>
      <c r="BM151" s="98">
        <f t="shared" si="26"/>
        <v>0</v>
      </c>
      <c r="BN151" s="99" t="s">
        <v>183</v>
      </c>
      <c r="BO151" s="100"/>
      <c r="BP151" s="100"/>
      <c r="BQ151" s="99" t="s">
        <v>183</v>
      </c>
      <c r="BR151" s="100"/>
      <c r="BS151" s="100"/>
      <c r="BT151" s="99" t="s">
        <v>183</v>
      </c>
      <c r="BU151" s="100"/>
      <c r="BV151" s="100"/>
      <c r="BW151" s="85"/>
      <c r="BX151" s="85" t="s">
        <v>256</v>
      </c>
      <c r="BY151" s="83" t="s">
        <v>256</v>
      </c>
      <c r="BZ151" s="102">
        <v>2016</v>
      </c>
      <c r="CA151" s="98"/>
      <c r="CB151" s="98"/>
      <c r="CC151" s="103">
        <f t="shared" si="27"/>
        <v>104</v>
      </c>
      <c r="CD151" s="98"/>
      <c r="CE151" s="98"/>
      <c r="CF151" s="98"/>
      <c r="CG151" s="105">
        <v>1</v>
      </c>
      <c r="CH151" s="105" t="str">
        <f>IF(CK151=0,"",IF(V151="Persistent",5,IF(V151="Once",1,IF(V151="One-off",1,"manual overwrite"))))</f>
        <v/>
      </c>
      <c r="CI151" s="105"/>
      <c r="CJ151" s="98">
        <f t="shared" si="22"/>
        <v>0</v>
      </c>
      <c r="CK151" s="98">
        <f>IF(CA151="C",0,IF(P151="Het",0,IF(SUM(AG151,AO151)=0,0,1)))</f>
        <v>0</v>
      </c>
      <c r="CL151" s="106" t="e">
        <f>IF(G151="AUS",VLOOKUP(H151,$CU$5:$CW$23,2),IF(G151="NZ",VLOOKUP(H151,$CU$5:$CW$23,3),"error"))*AU151</f>
        <v>#N/A</v>
      </c>
      <c r="CM151" s="107" t="e">
        <f>IF(G151="AUS",VLOOKUP(H151,$CU$5:$CW$23,2),IF(G151="NZ",VLOOKUP(H151,$CU$5:$CW$23,3),"error"))*AX151</f>
        <v>#N/A</v>
      </c>
      <c r="CN151" s="106" t="e">
        <f>IF(G151="AUS",VLOOKUP(H151,$CU$5:$CW$23,2),IF(G151="NZ",VLOOKUP(H151,$CU$5:$CW$23,3),"error"))*BK151</f>
        <v>#N/A</v>
      </c>
    </row>
    <row r="152" spans="1:92" s="108" customFormat="1" ht="229.5" hidden="1">
      <c r="A152" s="83" t="str">
        <f t="shared" si="21"/>
        <v>Tobacco</v>
      </c>
      <c r="B152" s="84" t="s">
        <v>170</v>
      </c>
      <c r="C152" s="85"/>
      <c r="D152" s="86"/>
      <c r="E152" s="85" t="s">
        <v>172</v>
      </c>
      <c r="F152" s="85" t="str">
        <f t="shared" si="24"/>
        <v xml:space="preserve">Tobacco; ; Prevention ; </v>
      </c>
      <c r="G152" s="85" t="s">
        <v>205</v>
      </c>
      <c r="H152" s="85">
        <v>2011</v>
      </c>
      <c r="I152" s="85" t="str">
        <f>CONCATENATE(A152,", ",G152,": ",J152)</f>
        <v>Tobacco, NZ: Sinking lid on tobacco supply (reducing tobacco commercial sales each year until sales are zero in 2025)</v>
      </c>
      <c r="J152" s="87" t="s">
        <v>361</v>
      </c>
      <c r="K152" s="87"/>
      <c r="L152" s="87" t="s">
        <v>233</v>
      </c>
      <c r="M152" s="87"/>
      <c r="N152" s="87"/>
      <c r="O152" s="87"/>
      <c r="P152" s="85" t="s">
        <v>215</v>
      </c>
      <c r="Q152" s="85" t="str">
        <f>IF($P152="Main",J152,BX152)</f>
        <v>in Māori men</v>
      </c>
      <c r="R152" s="85" t="str">
        <f>IF($P152="Main",CONCATENATE(J152,": ",G152),BY152)</f>
        <v>in Māori men</v>
      </c>
      <c r="S152" s="85"/>
      <c r="T152" s="85"/>
      <c r="U152" s="85"/>
      <c r="V152" s="88"/>
      <c r="W152" s="88"/>
      <c r="X152" s="88"/>
      <c r="Y152" s="85"/>
      <c r="Z152" s="85"/>
      <c r="AA152" s="85"/>
      <c r="AB152" s="85"/>
      <c r="AC152" s="89">
        <v>0.03</v>
      </c>
      <c r="AD152" s="122"/>
      <c r="AE152" s="83"/>
      <c r="AF152" s="83"/>
      <c r="AG152" s="90">
        <v>42100</v>
      </c>
      <c r="AH152" s="90"/>
      <c r="AI152" s="90"/>
      <c r="AJ152" s="91">
        <v>330900</v>
      </c>
      <c r="AK152" s="92">
        <f t="shared" si="25"/>
        <v>127.22877002115443</v>
      </c>
      <c r="AL152" s="92"/>
      <c r="AM152" s="92"/>
      <c r="AN152" s="93"/>
      <c r="AO152" s="94"/>
      <c r="AP152" s="94"/>
      <c r="AQ152" s="94"/>
      <c r="AR152" s="95">
        <v>-865000000</v>
      </c>
      <c r="AS152" s="95"/>
      <c r="AT152" s="95"/>
      <c r="AU152" s="95">
        <f t="shared" si="23"/>
        <v>-2614082.8044726504</v>
      </c>
      <c r="AV152" s="95"/>
      <c r="AW152" s="95"/>
      <c r="AX152" s="95"/>
      <c r="AY152" s="95"/>
      <c r="AZ152" s="95"/>
      <c r="BA152" s="96"/>
      <c r="BB152" s="96"/>
      <c r="BC152" s="96"/>
      <c r="BD152" s="95"/>
      <c r="BE152" s="95"/>
      <c r="BF152" s="96"/>
      <c r="BG152" s="95"/>
      <c r="BH152" s="95"/>
      <c r="BI152" s="96"/>
      <c r="BJ152" s="97" t="s">
        <v>182</v>
      </c>
      <c r="BK152" s="98" t="str">
        <f t="shared" si="26"/>
        <v>Cost-saving</v>
      </c>
      <c r="BL152" s="98">
        <f t="shared" si="26"/>
        <v>0</v>
      </c>
      <c r="BM152" s="98">
        <f t="shared" si="26"/>
        <v>0</v>
      </c>
      <c r="BN152" s="99" t="s">
        <v>183</v>
      </c>
      <c r="BO152" s="100"/>
      <c r="BP152" s="100"/>
      <c r="BQ152" s="99" t="s">
        <v>183</v>
      </c>
      <c r="BR152" s="100"/>
      <c r="BS152" s="100"/>
      <c r="BT152" s="99" t="s">
        <v>183</v>
      </c>
      <c r="BU152" s="100"/>
      <c r="BV152" s="100"/>
      <c r="BW152" s="85"/>
      <c r="BX152" s="85" t="s">
        <v>373</v>
      </c>
      <c r="BY152" s="83" t="s">
        <v>373</v>
      </c>
      <c r="BZ152" s="102">
        <v>2016</v>
      </c>
      <c r="CA152" s="98"/>
      <c r="CB152" s="98"/>
      <c r="CC152" s="103">
        <f t="shared" si="27"/>
        <v>104</v>
      </c>
      <c r="CD152" s="98"/>
      <c r="CE152" s="98"/>
      <c r="CF152" s="98"/>
      <c r="CG152" s="105">
        <v>1</v>
      </c>
      <c r="CH152" s="105" t="str">
        <f>IF(CK152=0,"",IF(V152="Persistent",5,IF(V152="Once",1,IF(V152="One-off",1,"manual overwrite"))))</f>
        <v/>
      </c>
      <c r="CI152" s="105"/>
      <c r="CJ152" s="98">
        <f t="shared" si="22"/>
        <v>0</v>
      </c>
      <c r="CK152" s="98">
        <f>IF(CA152="C",0,IF(P152="Het",0,IF(SUM(AG152,AO152)=0,0,1)))</f>
        <v>0</v>
      </c>
      <c r="CL152" s="106" t="e">
        <f>IF(G152="AUS",VLOOKUP(H152,$CU$5:$CW$23,2),IF(G152="NZ",VLOOKUP(H152,$CU$5:$CW$23,3),"error"))*AU152</f>
        <v>#N/A</v>
      </c>
      <c r="CM152" s="107" t="e">
        <f>IF(G152="AUS",VLOOKUP(H152,$CU$5:$CW$23,2),IF(G152="NZ",VLOOKUP(H152,$CU$5:$CW$23,3),"error"))*AX152</f>
        <v>#N/A</v>
      </c>
      <c r="CN152" s="106" t="e">
        <f>IF(G152="AUS",VLOOKUP(H152,$CU$5:$CW$23,2),IF(G152="NZ",VLOOKUP(H152,$CU$5:$CW$23,3),"error"))*BK152</f>
        <v>#N/A</v>
      </c>
    </row>
    <row r="153" spans="1:92" s="108" customFormat="1" ht="229.5">
      <c r="A153" s="83" t="str">
        <f t="shared" si="21"/>
        <v>Tobacco</v>
      </c>
      <c r="B153" s="84" t="s">
        <v>170</v>
      </c>
      <c r="C153" s="85"/>
      <c r="D153" s="86"/>
      <c r="E153" s="85" t="s">
        <v>172</v>
      </c>
      <c r="F153" s="85" t="str">
        <f t="shared" si="24"/>
        <v xml:space="preserve">Tobacco; ; Prevention ; </v>
      </c>
      <c r="G153" s="85" t="s">
        <v>205</v>
      </c>
      <c r="H153" s="85">
        <v>2011</v>
      </c>
      <c r="I153" s="85" t="str">
        <f>CONCATENATE(A153,", ",G153,": ",J153)</f>
        <v>Tobacco, NZ: Sinking lid on tobacco supply (reducing tobacco commercial sales each year until sales are zero in 2025)</v>
      </c>
      <c r="J153" s="87" t="s">
        <v>361</v>
      </c>
      <c r="K153" s="87" t="s">
        <v>233</v>
      </c>
      <c r="L153" s="87" t="s">
        <v>233</v>
      </c>
      <c r="M153" s="87" t="s">
        <v>374</v>
      </c>
      <c r="N153" s="87" t="s">
        <v>367</v>
      </c>
      <c r="O153" s="87" t="s">
        <v>233</v>
      </c>
      <c r="P153" s="85" t="s">
        <v>215</v>
      </c>
      <c r="Q153" s="85" t="str">
        <f>IF($P153="Main",J153,BX153)</f>
        <v>in Māori men 0-14 yrs</v>
      </c>
      <c r="R153" s="85" t="str">
        <f>IF($P153="Main",CONCATENATE(J153,": ",G153),BY153)</f>
        <v>in Māori men 0-14 yrs</v>
      </c>
      <c r="S153" s="85" t="s">
        <v>234</v>
      </c>
      <c r="T153" s="85" t="s">
        <v>235</v>
      </c>
      <c r="U153" s="85" t="s">
        <v>259</v>
      </c>
      <c r="V153" s="88"/>
      <c r="W153" s="88" t="s">
        <v>368</v>
      </c>
      <c r="X153" s="88" t="s">
        <v>199</v>
      </c>
      <c r="Y153" s="85"/>
      <c r="Z153" s="85"/>
      <c r="AA153" s="85"/>
      <c r="AB153" s="85"/>
      <c r="AC153" s="89">
        <v>0.03</v>
      </c>
      <c r="AD153" s="122"/>
      <c r="AE153" s="83"/>
      <c r="AF153" s="83"/>
      <c r="AG153" s="90">
        <v>11800</v>
      </c>
      <c r="AH153" s="90"/>
      <c r="AI153" s="90"/>
      <c r="AJ153" s="91">
        <v>118100</v>
      </c>
      <c r="AK153" s="92">
        <f t="shared" si="25"/>
        <v>99.915325994919556</v>
      </c>
      <c r="AL153" s="92"/>
      <c r="AM153" s="92"/>
      <c r="AN153" s="93"/>
      <c r="AO153" s="94"/>
      <c r="AP153" s="94"/>
      <c r="AQ153" s="94"/>
      <c r="AR153" s="95">
        <v>-285000000</v>
      </c>
      <c r="AS153" s="95"/>
      <c r="AT153" s="95"/>
      <c r="AU153" s="95">
        <f t="shared" si="23"/>
        <v>-2413209.1447925488</v>
      </c>
      <c r="AV153" s="95"/>
      <c r="AW153" s="95"/>
      <c r="AX153" s="95"/>
      <c r="AY153" s="95"/>
      <c r="AZ153" s="95"/>
      <c r="BA153" s="96"/>
      <c r="BB153" s="96"/>
      <c r="BC153" s="96"/>
      <c r="BD153" s="95"/>
      <c r="BE153" s="95"/>
      <c r="BF153" s="96"/>
      <c r="BG153" s="95"/>
      <c r="BH153" s="95"/>
      <c r="BI153" s="96"/>
      <c r="BJ153" s="97" t="s">
        <v>182</v>
      </c>
      <c r="BK153" s="98" t="str">
        <f t="shared" si="26"/>
        <v>Cost-saving</v>
      </c>
      <c r="BL153" s="98">
        <f t="shared" si="26"/>
        <v>0</v>
      </c>
      <c r="BM153" s="98">
        <f t="shared" si="26"/>
        <v>0</v>
      </c>
      <c r="BN153" s="99" t="s">
        <v>183</v>
      </c>
      <c r="BO153" s="100"/>
      <c r="BP153" s="100"/>
      <c r="BQ153" s="99" t="s">
        <v>183</v>
      </c>
      <c r="BR153" s="100"/>
      <c r="BS153" s="100"/>
      <c r="BT153" s="99" t="s">
        <v>183</v>
      </c>
      <c r="BU153" s="100"/>
      <c r="BV153" s="100"/>
      <c r="BW153" s="85"/>
      <c r="BX153" s="85" t="s">
        <v>375</v>
      </c>
      <c r="BY153" s="83" t="s">
        <v>375</v>
      </c>
      <c r="BZ153" s="102">
        <v>2016</v>
      </c>
      <c r="CA153" s="98"/>
      <c r="CB153" s="98"/>
      <c r="CC153" s="103">
        <f t="shared" si="27"/>
        <v>104</v>
      </c>
      <c r="CD153" s="98"/>
      <c r="CE153" s="98"/>
      <c r="CF153" s="98"/>
      <c r="CG153" s="105">
        <v>1</v>
      </c>
      <c r="CH153" s="105" t="str">
        <f>IF(CK153=0,"",IF(V153="Persistent",5,IF(V153="Once",1,IF(V153="One-off",1,"manual overwrite"))))</f>
        <v/>
      </c>
      <c r="CI153" s="105"/>
      <c r="CJ153" s="98">
        <f t="shared" si="22"/>
        <v>0</v>
      </c>
      <c r="CK153" s="98">
        <f>IF(CA153="C",0,IF(P153="Het",0,IF(SUM(AG153,AO153)=0,0,1)))</f>
        <v>0</v>
      </c>
      <c r="CL153" s="106" t="e">
        <f>IF(G153="AUS",VLOOKUP(H153,$CU$5:$CW$23,2),IF(G153="NZ",VLOOKUP(H153,$CU$5:$CW$23,3),"error"))*AU153</f>
        <v>#N/A</v>
      </c>
      <c r="CM153" s="107" t="e">
        <f>IF(G153="AUS",VLOOKUP(H153,$CU$5:$CW$23,2),IF(G153="NZ",VLOOKUP(H153,$CU$5:$CW$23,3),"error"))*AX153</f>
        <v>#N/A</v>
      </c>
      <c r="CN153" s="106" t="e">
        <f>IF(G153="AUS",VLOOKUP(H153,$CU$5:$CW$23,2),IF(G153="NZ",VLOOKUP(H153,$CU$5:$CW$23,3),"error"))*BK153</f>
        <v>#N/A</v>
      </c>
    </row>
    <row r="154" spans="1:92" s="108" customFormat="1" ht="229.5">
      <c r="A154" s="83" t="str">
        <f t="shared" si="21"/>
        <v>Tobacco</v>
      </c>
      <c r="B154" s="84" t="s">
        <v>170</v>
      </c>
      <c r="C154" s="85"/>
      <c r="D154" s="86"/>
      <c r="E154" s="85" t="s">
        <v>172</v>
      </c>
      <c r="F154" s="85" t="str">
        <f t="shared" si="24"/>
        <v xml:space="preserve">Tobacco; ; Prevention ; </v>
      </c>
      <c r="G154" s="85" t="s">
        <v>205</v>
      </c>
      <c r="H154" s="85">
        <v>2011</v>
      </c>
      <c r="I154" s="85" t="str">
        <f>CONCATENATE(A154,", ",G154,": ",J154)</f>
        <v>Tobacco, NZ: Sinking lid on tobacco supply (reducing tobacco commercial sales each year until sales are zero in 2025)</v>
      </c>
      <c r="J154" s="87" t="s">
        <v>361</v>
      </c>
      <c r="K154" s="87" t="s">
        <v>233</v>
      </c>
      <c r="L154" s="87" t="s">
        <v>233</v>
      </c>
      <c r="M154" s="87" t="s">
        <v>374</v>
      </c>
      <c r="N154" s="87" t="s">
        <v>367</v>
      </c>
      <c r="O154" s="87" t="s">
        <v>233</v>
      </c>
      <c r="P154" s="85" t="s">
        <v>215</v>
      </c>
      <c r="Q154" s="85" t="str">
        <f>IF($P154="Main",J154,BX154)</f>
        <v>in Māori men 15-24 yrs</v>
      </c>
      <c r="R154" s="85" t="str">
        <f>IF($P154="Main",CONCATENATE(J154,": ",G154),BY154)</f>
        <v>in Māori men 15-24 yrs</v>
      </c>
      <c r="S154" s="85" t="s">
        <v>239</v>
      </c>
      <c r="T154" s="85" t="s">
        <v>235</v>
      </c>
      <c r="U154" s="85" t="s">
        <v>259</v>
      </c>
      <c r="V154" s="88"/>
      <c r="W154" s="88" t="s">
        <v>368</v>
      </c>
      <c r="X154" s="88" t="s">
        <v>199</v>
      </c>
      <c r="Y154" s="85"/>
      <c r="Z154" s="85"/>
      <c r="AA154" s="85"/>
      <c r="AB154" s="85"/>
      <c r="AC154" s="89">
        <v>0.03</v>
      </c>
      <c r="AD154" s="122"/>
      <c r="AE154" s="83"/>
      <c r="AF154" s="83"/>
      <c r="AG154" s="90">
        <v>10600</v>
      </c>
      <c r="AH154" s="90"/>
      <c r="AI154" s="90"/>
      <c r="AJ154" s="91">
        <v>64800</v>
      </c>
      <c r="AK154" s="92">
        <f t="shared" si="25"/>
        <v>163.58024691358025</v>
      </c>
      <c r="AL154" s="92"/>
      <c r="AM154" s="92"/>
      <c r="AN154" s="93"/>
      <c r="AO154" s="94"/>
      <c r="AP154" s="94"/>
      <c r="AQ154" s="94"/>
      <c r="AR154" s="95">
        <v>-237000000</v>
      </c>
      <c r="AS154" s="95"/>
      <c r="AT154" s="95"/>
      <c r="AU154" s="95">
        <f t="shared" si="23"/>
        <v>-3657407.4074074072</v>
      </c>
      <c r="AV154" s="95"/>
      <c r="AW154" s="95"/>
      <c r="AX154" s="95"/>
      <c r="AY154" s="95"/>
      <c r="AZ154" s="95"/>
      <c r="BA154" s="96"/>
      <c r="BB154" s="96"/>
      <c r="BC154" s="96"/>
      <c r="BD154" s="95"/>
      <c r="BE154" s="95"/>
      <c r="BF154" s="96"/>
      <c r="BG154" s="95"/>
      <c r="BH154" s="95"/>
      <c r="BI154" s="96"/>
      <c r="BJ154" s="97" t="s">
        <v>182</v>
      </c>
      <c r="BK154" s="98" t="str">
        <f t="shared" si="26"/>
        <v>Cost-saving</v>
      </c>
      <c r="BL154" s="98">
        <f t="shared" si="26"/>
        <v>0</v>
      </c>
      <c r="BM154" s="98">
        <f t="shared" si="26"/>
        <v>0</v>
      </c>
      <c r="BN154" s="99" t="s">
        <v>183</v>
      </c>
      <c r="BO154" s="100"/>
      <c r="BP154" s="100"/>
      <c r="BQ154" s="99" t="s">
        <v>183</v>
      </c>
      <c r="BR154" s="100"/>
      <c r="BS154" s="100"/>
      <c r="BT154" s="99" t="s">
        <v>183</v>
      </c>
      <c r="BU154" s="100"/>
      <c r="BV154" s="100"/>
      <c r="BW154" s="85"/>
      <c r="BX154" s="85" t="s">
        <v>376</v>
      </c>
      <c r="BY154" s="83" t="s">
        <v>376</v>
      </c>
      <c r="BZ154" s="102">
        <v>2016</v>
      </c>
      <c r="CA154" s="98"/>
      <c r="CB154" s="98"/>
      <c r="CC154" s="103">
        <f t="shared" si="27"/>
        <v>104</v>
      </c>
      <c r="CD154" s="98"/>
      <c r="CE154" s="98"/>
      <c r="CF154" s="98"/>
      <c r="CG154" s="105">
        <v>1</v>
      </c>
      <c r="CH154" s="105" t="str">
        <f>IF(CK154=0,"",IF(V154="Persistent",5,IF(V154="Once",1,IF(V154="One-off",1,"manual overwrite"))))</f>
        <v/>
      </c>
      <c r="CI154" s="105"/>
      <c r="CJ154" s="98">
        <f t="shared" si="22"/>
        <v>0</v>
      </c>
      <c r="CK154" s="98">
        <f>IF(CA154="C",0,IF(P154="Het",0,IF(SUM(AG154,AO154)=0,0,1)))</f>
        <v>0</v>
      </c>
      <c r="CL154" s="106" t="e">
        <f>IF(G154="AUS",VLOOKUP(H154,$CU$5:$CW$23,2),IF(G154="NZ",VLOOKUP(H154,$CU$5:$CW$23,3),"error"))*AU154</f>
        <v>#N/A</v>
      </c>
      <c r="CM154" s="107" t="e">
        <f>IF(G154="AUS",VLOOKUP(H154,$CU$5:$CW$23,2),IF(G154="NZ",VLOOKUP(H154,$CU$5:$CW$23,3),"error"))*AX154</f>
        <v>#N/A</v>
      </c>
      <c r="CN154" s="106" t="e">
        <f>IF(G154="AUS",VLOOKUP(H154,$CU$5:$CW$23,2),IF(G154="NZ",VLOOKUP(H154,$CU$5:$CW$23,3),"error"))*BK154</f>
        <v>#N/A</v>
      </c>
    </row>
    <row r="155" spans="1:92" s="108" customFormat="1" ht="229.5">
      <c r="A155" s="83" t="str">
        <f t="shared" si="21"/>
        <v>Tobacco</v>
      </c>
      <c r="B155" s="84" t="s">
        <v>170</v>
      </c>
      <c r="C155" s="85"/>
      <c r="D155" s="86"/>
      <c r="E155" s="85" t="s">
        <v>172</v>
      </c>
      <c r="F155" s="85" t="str">
        <f t="shared" si="24"/>
        <v xml:space="preserve">Tobacco; ; Prevention ; </v>
      </c>
      <c r="G155" s="85" t="s">
        <v>205</v>
      </c>
      <c r="H155" s="85">
        <v>2011</v>
      </c>
      <c r="I155" s="85" t="str">
        <f>CONCATENATE(A155,", ",G155,": ",J155)</f>
        <v>Tobacco, NZ: Sinking lid on tobacco supply (reducing tobacco commercial sales each year until sales are zero in 2025)</v>
      </c>
      <c r="J155" s="87" t="s">
        <v>361</v>
      </c>
      <c r="K155" s="87" t="s">
        <v>233</v>
      </c>
      <c r="L155" s="87" t="s">
        <v>233</v>
      </c>
      <c r="M155" s="87" t="s">
        <v>374</v>
      </c>
      <c r="N155" s="87" t="s">
        <v>367</v>
      </c>
      <c r="O155" s="87" t="s">
        <v>233</v>
      </c>
      <c r="P155" s="85" t="s">
        <v>215</v>
      </c>
      <c r="Q155" s="85" t="str">
        <f>IF($P155="Main",J155,BX155)</f>
        <v>in Māori men age 25-44 yrs</v>
      </c>
      <c r="R155" s="85" t="str">
        <f>IF($P155="Main",CONCATENATE(J155,": ",G155),BY155)</f>
        <v>in Māori men age 25-44 yrs</v>
      </c>
      <c r="S155" s="85" t="s">
        <v>241</v>
      </c>
      <c r="T155" s="85" t="s">
        <v>235</v>
      </c>
      <c r="U155" s="85" t="s">
        <v>259</v>
      </c>
      <c r="V155" s="88"/>
      <c r="W155" s="88" t="s">
        <v>368</v>
      </c>
      <c r="X155" s="88" t="s">
        <v>199</v>
      </c>
      <c r="Y155" s="85"/>
      <c r="Z155" s="85"/>
      <c r="AA155" s="85"/>
      <c r="AB155" s="85"/>
      <c r="AC155" s="89">
        <v>0.03</v>
      </c>
      <c r="AD155" s="122"/>
      <c r="AE155" s="83"/>
      <c r="AF155" s="83"/>
      <c r="AG155" s="90">
        <v>15900</v>
      </c>
      <c r="AH155" s="90"/>
      <c r="AI155" s="90"/>
      <c r="AJ155" s="91">
        <v>78600</v>
      </c>
      <c r="AK155" s="92">
        <f t="shared" si="25"/>
        <v>202.29007633587787</v>
      </c>
      <c r="AL155" s="92"/>
      <c r="AM155" s="92"/>
      <c r="AN155" s="93"/>
      <c r="AO155" s="94"/>
      <c r="AP155" s="94"/>
      <c r="AQ155" s="94"/>
      <c r="AR155" s="95">
        <v>-292000000</v>
      </c>
      <c r="AS155" s="95"/>
      <c r="AT155" s="95"/>
      <c r="AU155" s="95">
        <f t="shared" si="23"/>
        <v>-3715012.7226463105</v>
      </c>
      <c r="AV155" s="95"/>
      <c r="AW155" s="95"/>
      <c r="AX155" s="95"/>
      <c r="AY155" s="95"/>
      <c r="AZ155" s="95"/>
      <c r="BA155" s="96"/>
      <c r="BB155" s="96"/>
      <c r="BC155" s="96"/>
      <c r="BD155" s="95"/>
      <c r="BE155" s="95"/>
      <c r="BF155" s="96"/>
      <c r="BG155" s="95"/>
      <c r="BH155" s="95"/>
      <c r="BI155" s="96"/>
      <c r="BJ155" s="97" t="s">
        <v>182</v>
      </c>
      <c r="BK155" s="98" t="str">
        <f t="shared" si="26"/>
        <v>Cost-saving</v>
      </c>
      <c r="BL155" s="98">
        <f t="shared" si="26"/>
        <v>0</v>
      </c>
      <c r="BM155" s="98">
        <f t="shared" si="26"/>
        <v>0</v>
      </c>
      <c r="BN155" s="99" t="s">
        <v>183</v>
      </c>
      <c r="BO155" s="100"/>
      <c r="BP155" s="100"/>
      <c r="BQ155" s="99" t="s">
        <v>183</v>
      </c>
      <c r="BR155" s="100"/>
      <c r="BS155" s="100"/>
      <c r="BT155" s="99" t="s">
        <v>183</v>
      </c>
      <c r="BU155" s="100"/>
      <c r="BV155" s="100"/>
      <c r="BW155" s="85"/>
      <c r="BX155" s="85" t="s">
        <v>262</v>
      </c>
      <c r="BY155" s="83" t="s">
        <v>262</v>
      </c>
      <c r="BZ155" s="102">
        <v>2016</v>
      </c>
      <c r="CA155" s="98"/>
      <c r="CB155" s="98"/>
      <c r="CC155" s="103">
        <f t="shared" si="27"/>
        <v>104</v>
      </c>
      <c r="CD155" s="98"/>
      <c r="CE155" s="98"/>
      <c r="CF155" s="98"/>
      <c r="CG155" s="105">
        <v>1</v>
      </c>
      <c r="CH155" s="105" t="str">
        <f>IF(CK155=0,"",IF(V155="Persistent",5,IF(V155="Once",1,IF(V155="One-off",1,"manual overwrite"))))</f>
        <v/>
      </c>
      <c r="CI155" s="105"/>
      <c r="CJ155" s="98">
        <f t="shared" si="22"/>
        <v>0</v>
      </c>
      <c r="CK155" s="98">
        <f>IF(CA155="C",0,IF(P155="Het",0,IF(SUM(AG155,AO155)=0,0,1)))</f>
        <v>0</v>
      </c>
      <c r="CL155" s="106" t="e">
        <f>IF(G155="AUS",VLOOKUP(H155,$CU$5:$CW$23,2),IF(G155="NZ",VLOOKUP(H155,$CU$5:$CW$23,3),"error"))*AU155</f>
        <v>#N/A</v>
      </c>
      <c r="CM155" s="107" t="e">
        <f>IF(G155="AUS",VLOOKUP(H155,$CU$5:$CW$23,2),IF(G155="NZ",VLOOKUP(H155,$CU$5:$CW$23,3),"error"))*AX155</f>
        <v>#N/A</v>
      </c>
      <c r="CN155" s="106" t="e">
        <f>IF(G155="AUS",VLOOKUP(H155,$CU$5:$CW$23,2),IF(G155="NZ",VLOOKUP(H155,$CU$5:$CW$23,3),"error"))*BK155</f>
        <v>#N/A</v>
      </c>
    </row>
    <row r="156" spans="1:92" s="108" customFormat="1" ht="229.5">
      <c r="A156" s="83" t="str">
        <f t="shared" si="21"/>
        <v>Tobacco</v>
      </c>
      <c r="B156" s="84" t="s">
        <v>170</v>
      </c>
      <c r="C156" s="85"/>
      <c r="D156" s="86"/>
      <c r="E156" s="85" t="s">
        <v>172</v>
      </c>
      <c r="F156" s="85" t="str">
        <f t="shared" si="24"/>
        <v xml:space="preserve">Tobacco; ; Prevention ; </v>
      </c>
      <c r="G156" s="85" t="s">
        <v>205</v>
      </c>
      <c r="H156" s="85">
        <v>2011</v>
      </c>
      <c r="I156" s="85" t="str">
        <f>CONCATENATE(A156,", ",G156,": ",J156)</f>
        <v>Tobacco, NZ: Sinking lid on tobacco supply (reducing tobacco commercial sales each year until sales are zero in 2025)</v>
      </c>
      <c r="J156" s="87" t="s">
        <v>361</v>
      </c>
      <c r="K156" s="87" t="s">
        <v>233</v>
      </c>
      <c r="L156" s="87" t="s">
        <v>233</v>
      </c>
      <c r="M156" s="87" t="s">
        <v>258</v>
      </c>
      <c r="N156" s="87" t="s">
        <v>367</v>
      </c>
      <c r="O156" s="87" t="s">
        <v>233</v>
      </c>
      <c r="P156" s="85" t="s">
        <v>215</v>
      </c>
      <c r="Q156" s="85" t="str">
        <f>IF($P156="Main",J156,BX156)</f>
        <v>in Māori men age 45-64 yrs</v>
      </c>
      <c r="R156" s="85" t="str">
        <f>IF($P156="Main",CONCATENATE(J156,": ",G156),BY156)</f>
        <v>in Māori men age 45-64 yrs</v>
      </c>
      <c r="S156" s="85" t="s">
        <v>244</v>
      </c>
      <c r="T156" s="85" t="s">
        <v>235</v>
      </c>
      <c r="U156" s="85" t="s">
        <v>259</v>
      </c>
      <c r="V156" s="88"/>
      <c r="W156" s="88" t="s">
        <v>368</v>
      </c>
      <c r="X156" s="88" t="s">
        <v>199</v>
      </c>
      <c r="Y156" s="85"/>
      <c r="Z156" s="85"/>
      <c r="AA156" s="85"/>
      <c r="AB156" s="85"/>
      <c r="AC156" s="89">
        <v>0.03</v>
      </c>
      <c r="AD156" s="122"/>
      <c r="AE156" s="83"/>
      <c r="AF156" s="83"/>
      <c r="AG156" s="90">
        <v>3820</v>
      </c>
      <c r="AH156" s="90"/>
      <c r="AI156" s="90"/>
      <c r="AJ156" s="91">
        <v>54800</v>
      </c>
      <c r="AK156" s="92">
        <f t="shared" si="25"/>
        <v>69.708029197080293</v>
      </c>
      <c r="AL156" s="92"/>
      <c r="AM156" s="92"/>
      <c r="AN156" s="93"/>
      <c r="AO156" s="94"/>
      <c r="AP156" s="94"/>
      <c r="AQ156" s="94"/>
      <c r="AR156" s="95">
        <v>-51000000</v>
      </c>
      <c r="AS156" s="95"/>
      <c r="AT156" s="95"/>
      <c r="AU156" s="95">
        <f t="shared" si="23"/>
        <v>-930656.9343065694</v>
      </c>
      <c r="AV156" s="95"/>
      <c r="AW156" s="95"/>
      <c r="AX156" s="95"/>
      <c r="AY156" s="95"/>
      <c r="AZ156" s="95"/>
      <c r="BA156" s="96"/>
      <c r="BB156" s="96"/>
      <c r="BC156" s="96"/>
      <c r="BD156" s="95"/>
      <c r="BE156" s="95"/>
      <c r="BF156" s="96"/>
      <c r="BG156" s="95"/>
      <c r="BH156" s="95"/>
      <c r="BI156" s="96"/>
      <c r="BJ156" s="97" t="s">
        <v>182</v>
      </c>
      <c r="BK156" s="98" t="str">
        <f t="shared" si="26"/>
        <v>Cost-saving</v>
      </c>
      <c r="BL156" s="98">
        <f t="shared" si="26"/>
        <v>0</v>
      </c>
      <c r="BM156" s="98">
        <f t="shared" si="26"/>
        <v>0</v>
      </c>
      <c r="BN156" s="99" t="s">
        <v>183</v>
      </c>
      <c r="BO156" s="100"/>
      <c r="BP156" s="100"/>
      <c r="BQ156" s="99" t="s">
        <v>183</v>
      </c>
      <c r="BR156" s="100"/>
      <c r="BS156" s="100"/>
      <c r="BT156" s="99" t="s">
        <v>183</v>
      </c>
      <c r="BU156" s="100"/>
      <c r="BV156" s="100"/>
      <c r="BW156" s="85"/>
      <c r="BX156" s="85" t="s">
        <v>264</v>
      </c>
      <c r="BY156" s="83" t="s">
        <v>264</v>
      </c>
      <c r="BZ156" s="102">
        <v>2016</v>
      </c>
      <c r="CA156" s="98"/>
      <c r="CB156" s="98"/>
      <c r="CC156" s="103">
        <f t="shared" si="27"/>
        <v>104</v>
      </c>
      <c r="CD156" s="98"/>
      <c r="CE156" s="98"/>
      <c r="CF156" s="98"/>
      <c r="CG156" s="105">
        <v>1</v>
      </c>
      <c r="CH156" s="105" t="str">
        <f>IF(CK156=0,"",IF(V156="Persistent",5,IF(V156="Once",1,IF(V156="One-off",1,"manual overwrite"))))</f>
        <v/>
      </c>
      <c r="CI156" s="105"/>
      <c r="CJ156" s="98">
        <f t="shared" si="22"/>
        <v>0</v>
      </c>
      <c r="CK156" s="98">
        <f>IF(CA156="C",0,IF(P156="Het",0,IF(SUM(AG156,AO156)=0,0,1)))</f>
        <v>0</v>
      </c>
      <c r="CL156" s="106" t="e">
        <f>IF(G156="AUS",VLOOKUP(H156,$CU$5:$CW$23,2),IF(G156="NZ",VLOOKUP(H156,$CU$5:$CW$23,3),"error"))*AU156</f>
        <v>#N/A</v>
      </c>
      <c r="CM156" s="107" t="e">
        <f>IF(G156="AUS",VLOOKUP(H156,$CU$5:$CW$23,2),IF(G156="NZ",VLOOKUP(H156,$CU$5:$CW$23,3),"error"))*AX156</f>
        <v>#N/A</v>
      </c>
      <c r="CN156" s="106" t="e">
        <f>IF(G156="AUS",VLOOKUP(H156,$CU$5:$CW$23,2),IF(G156="NZ",VLOOKUP(H156,$CU$5:$CW$23,3),"error"))*BK156</f>
        <v>#N/A</v>
      </c>
    </row>
    <row r="157" spans="1:92" s="108" customFormat="1" ht="229.5">
      <c r="A157" s="83" t="str">
        <f t="shared" si="21"/>
        <v>Tobacco</v>
      </c>
      <c r="B157" s="84" t="s">
        <v>170</v>
      </c>
      <c r="C157" s="85"/>
      <c r="D157" s="86"/>
      <c r="E157" s="85" t="s">
        <v>172</v>
      </c>
      <c r="F157" s="85" t="str">
        <f t="shared" si="24"/>
        <v xml:space="preserve">Tobacco; ; Prevention ; </v>
      </c>
      <c r="G157" s="85" t="s">
        <v>205</v>
      </c>
      <c r="H157" s="85">
        <v>2011</v>
      </c>
      <c r="I157" s="85" t="str">
        <f>CONCATENATE(A157,", ",G157,": ",J157)</f>
        <v>Tobacco, NZ: Sinking lid on tobacco supply (reducing tobacco commercial sales each year until sales are zero in 2025)</v>
      </c>
      <c r="J157" s="87" t="s">
        <v>361</v>
      </c>
      <c r="K157" s="87" t="s">
        <v>233</v>
      </c>
      <c r="L157" s="87" t="s">
        <v>233</v>
      </c>
      <c r="M157" s="87" t="s">
        <v>377</v>
      </c>
      <c r="N157" s="87" t="s">
        <v>367</v>
      </c>
      <c r="O157" s="87" t="s">
        <v>233</v>
      </c>
      <c r="P157" s="85" t="s">
        <v>215</v>
      </c>
      <c r="Q157" s="85" t="str">
        <f>IF($P157="Main",J157,BX157)</f>
        <v xml:space="preserve">in Māori men age 65+ yrs </v>
      </c>
      <c r="R157" s="85" t="str">
        <f>IF($P157="Main",CONCATENATE(J157,": ",G157),BY157)</f>
        <v xml:space="preserve">in Māori men age 65+ yrs </v>
      </c>
      <c r="S157" s="85" t="s">
        <v>247</v>
      </c>
      <c r="T157" s="85" t="s">
        <v>235</v>
      </c>
      <c r="U157" s="85" t="s">
        <v>259</v>
      </c>
      <c r="V157" s="88"/>
      <c r="W157" s="88" t="s">
        <v>368</v>
      </c>
      <c r="X157" s="88" t="s">
        <v>199</v>
      </c>
      <c r="Y157" s="85"/>
      <c r="Z157" s="85"/>
      <c r="AA157" s="85"/>
      <c r="AB157" s="85"/>
      <c r="AC157" s="89">
        <v>0.03</v>
      </c>
      <c r="AD157" s="122"/>
      <c r="AE157" s="83"/>
      <c r="AF157" s="83"/>
      <c r="AG157" s="90">
        <v>23</v>
      </c>
      <c r="AH157" s="90"/>
      <c r="AI157" s="90"/>
      <c r="AJ157" s="91">
        <v>14600</v>
      </c>
      <c r="AK157" s="92">
        <f t="shared" si="25"/>
        <v>1.5753424657534247</v>
      </c>
      <c r="AL157" s="92"/>
      <c r="AM157" s="92"/>
      <c r="AN157" s="93"/>
      <c r="AO157" s="94"/>
      <c r="AP157" s="94"/>
      <c r="AQ157" s="94"/>
      <c r="AR157" s="95">
        <v>-100000</v>
      </c>
      <c r="AS157" s="95"/>
      <c r="AT157" s="95"/>
      <c r="AU157" s="95">
        <f t="shared" si="23"/>
        <v>-6849.3150684931506</v>
      </c>
      <c r="AV157" s="95"/>
      <c r="AW157" s="95"/>
      <c r="AX157" s="95"/>
      <c r="AY157" s="95"/>
      <c r="AZ157" s="95"/>
      <c r="BA157" s="96"/>
      <c r="BB157" s="96"/>
      <c r="BC157" s="96"/>
      <c r="BD157" s="95"/>
      <c r="BE157" s="95"/>
      <c r="BF157" s="96"/>
      <c r="BG157" s="95"/>
      <c r="BH157" s="95"/>
      <c r="BI157" s="96"/>
      <c r="BJ157" s="97" t="s">
        <v>182</v>
      </c>
      <c r="BK157" s="98" t="str">
        <f t="shared" si="26"/>
        <v>Cost-saving</v>
      </c>
      <c r="BL157" s="98">
        <f t="shared" si="26"/>
        <v>0</v>
      </c>
      <c r="BM157" s="98">
        <f t="shared" si="26"/>
        <v>0</v>
      </c>
      <c r="BN157" s="99" t="s">
        <v>183</v>
      </c>
      <c r="BO157" s="100"/>
      <c r="BP157" s="100"/>
      <c r="BQ157" s="99" t="s">
        <v>183</v>
      </c>
      <c r="BR157" s="100"/>
      <c r="BS157" s="100"/>
      <c r="BT157" s="99" t="s">
        <v>183</v>
      </c>
      <c r="BU157" s="100"/>
      <c r="BV157" s="100"/>
      <c r="BW157" s="85"/>
      <c r="BX157" s="85" t="s">
        <v>378</v>
      </c>
      <c r="BY157" s="83" t="s">
        <v>378</v>
      </c>
      <c r="BZ157" s="102">
        <v>2016</v>
      </c>
      <c r="CA157" s="98"/>
      <c r="CB157" s="98"/>
      <c r="CC157" s="103">
        <f t="shared" si="27"/>
        <v>104</v>
      </c>
      <c r="CD157" s="98"/>
      <c r="CE157" s="98"/>
      <c r="CF157" s="98"/>
      <c r="CG157" s="105">
        <v>1</v>
      </c>
      <c r="CH157" s="105" t="str">
        <f>IF(CK157=0,"",IF(V157="Persistent",5,IF(V157="Once",1,IF(V157="One-off",1,"manual overwrite"))))</f>
        <v/>
      </c>
      <c r="CI157" s="105"/>
      <c r="CJ157" s="98">
        <f t="shared" si="22"/>
        <v>0</v>
      </c>
      <c r="CK157" s="98">
        <f>IF(CA157="C",0,IF(P157="Het",0,IF(SUM(AG157,AO157)=0,0,1)))</f>
        <v>0</v>
      </c>
      <c r="CL157" s="106" t="e">
        <f>IF(G157="AUS",VLOOKUP(H157,$CU$5:$CW$23,2),IF(G157="NZ",VLOOKUP(H157,$CU$5:$CW$23,3),"error"))*AU157</f>
        <v>#N/A</v>
      </c>
      <c r="CM157" s="107" t="e">
        <f>IF(G157="AUS",VLOOKUP(H157,$CU$5:$CW$23,2),IF(G157="NZ",VLOOKUP(H157,$CU$5:$CW$23,3),"error"))*AX157</f>
        <v>#N/A</v>
      </c>
      <c r="CN157" s="106" t="e">
        <f>IF(G157="AUS",VLOOKUP(H157,$CU$5:$CW$23,2),IF(G157="NZ",VLOOKUP(H157,$CU$5:$CW$23,3),"error"))*BK157</f>
        <v>#N/A</v>
      </c>
    </row>
    <row r="158" spans="1:92" s="108" customFormat="1" ht="229.5" hidden="1">
      <c r="A158" s="83" t="str">
        <f t="shared" si="21"/>
        <v>Tobacco</v>
      </c>
      <c r="B158" s="84" t="s">
        <v>170</v>
      </c>
      <c r="C158" s="85"/>
      <c r="D158" s="86"/>
      <c r="E158" s="85" t="s">
        <v>172</v>
      </c>
      <c r="F158" s="85" t="str">
        <f t="shared" si="24"/>
        <v xml:space="preserve">Tobacco; ; Prevention ; </v>
      </c>
      <c r="G158" s="85" t="s">
        <v>205</v>
      </c>
      <c r="H158" s="85">
        <v>2011</v>
      </c>
      <c r="I158" s="85" t="str">
        <f>CONCATENATE(A158,", ",G158,": ",J158)</f>
        <v>Tobacco, NZ: Sinking lid on tobacco supply (reducing tobacco commercial sales each year until sales are zero in 2025)</v>
      </c>
      <c r="J158" s="87" t="s">
        <v>361</v>
      </c>
      <c r="K158" s="87"/>
      <c r="L158" s="87" t="s">
        <v>233</v>
      </c>
      <c r="M158" s="87"/>
      <c r="N158" s="87"/>
      <c r="O158" s="87"/>
      <c r="P158" s="85" t="s">
        <v>215</v>
      </c>
      <c r="Q158" s="85" t="str">
        <f>IF($P158="Main",J158,BX158)</f>
        <v xml:space="preserve">in Māori women </v>
      </c>
      <c r="R158" s="85" t="str">
        <f>IF($P158="Main",CONCATENATE(J158,": ",G158),BY158)</f>
        <v xml:space="preserve">in Māori women </v>
      </c>
      <c r="S158" s="85"/>
      <c r="T158" s="85"/>
      <c r="U158" s="85"/>
      <c r="V158" s="88"/>
      <c r="W158" s="88"/>
      <c r="X158" s="88"/>
      <c r="Y158" s="85"/>
      <c r="Z158" s="85"/>
      <c r="AA158" s="85"/>
      <c r="AB158" s="85"/>
      <c r="AC158" s="89">
        <v>0.03</v>
      </c>
      <c r="AD158" s="122"/>
      <c r="AE158" s="83"/>
      <c r="AF158" s="83"/>
      <c r="AG158" s="90">
        <v>62400</v>
      </c>
      <c r="AH158" s="90"/>
      <c r="AI158" s="90"/>
      <c r="AJ158" s="91">
        <v>343300</v>
      </c>
      <c r="AK158" s="92">
        <f t="shared" si="25"/>
        <v>181.7652199242645</v>
      </c>
      <c r="AL158" s="92"/>
      <c r="AM158" s="92"/>
      <c r="AN158" s="93"/>
      <c r="AO158" s="94"/>
      <c r="AP158" s="94"/>
      <c r="AQ158" s="94"/>
      <c r="AR158" s="95">
        <v>-675000000</v>
      </c>
      <c r="AS158" s="95"/>
      <c r="AT158" s="95"/>
      <c r="AU158" s="95">
        <f t="shared" si="23"/>
        <v>-1966210.3116807458</v>
      </c>
      <c r="AV158" s="95"/>
      <c r="AW158" s="95"/>
      <c r="AX158" s="95"/>
      <c r="AY158" s="95"/>
      <c r="AZ158" s="95"/>
      <c r="BA158" s="96"/>
      <c r="BB158" s="96"/>
      <c r="BC158" s="96"/>
      <c r="BD158" s="95"/>
      <c r="BE158" s="95"/>
      <c r="BF158" s="96"/>
      <c r="BG158" s="95"/>
      <c r="BH158" s="95"/>
      <c r="BI158" s="96"/>
      <c r="BJ158" s="97" t="s">
        <v>182</v>
      </c>
      <c r="BK158" s="98" t="str">
        <f t="shared" si="26"/>
        <v>Cost-saving</v>
      </c>
      <c r="BL158" s="98">
        <f t="shared" si="26"/>
        <v>0</v>
      </c>
      <c r="BM158" s="98">
        <f t="shared" si="26"/>
        <v>0</v>
      </c>
      <c r="BN158" s="99" t="s">
        <v>183</v>
      </c>
      <c r="BO158" s="100"/>
      <c r="BP158" s="100"/>
      <c r="BQ158" s="99" t="s">
        <v>183</v>
      </c>
      <c r="BR158" s="100"/>
      <c r="BS158" s="100"/>
      <c r="BT158" s="99" t="s">
        <v>183</v>
      </c>
      <c r="BU158" s="100"/>
      <c r="BV158" s="100"/>
      <c r="BW158" s="85"/>
      <c r="BX158" s="85" t="s">
        <v>266</v>
      </c>
      <c r="BY158" s="83" t="s">
        <v>266</v>
      </c>
      <c r="BZ158" s="102">
        <v>2016</v>
      </c>
      <c r="CA158" s="98"/>
      <c r="CB158" s="98"/>
      <c r="CC158" s="103">
        <f t="shared" si="27"/>
        <v>104</v>
      </c>
      <c r="CD158" s="98"/>
      <c r="CE158" s="98"/>
      <c r="CF158" s="98"/>
      <c r="CG158" s="105">
        <v>1</v>
      </c>
      <c r="CH158" s="105" t="str">
        <f>IF(CK158=0,"",IF(V158="Persistent",5,IF(V158="Once",1,IF(V158="One-off",1,"manual overwrite"))))</f>
        <v/>
      </c>
      <c r="CI158" s="105"/>
      <c r="CJ158" s="98">
        <f t="shared" si="22"/>
        <v>0</v>
      </c>
      <c r="CK158" s="98">
        <f>IF(CA158="C",0,IF(P158="Het",0,IF(SUM(AG158,AO158)=0,0,1)))</f>
        <v>0</v>
      </c>
      <c r="CL158" s="106" t="e">
        <f>IF(G158="AUS",VLOOKUP(H158,$CU$5:$CW$23,2),IF(G158="NZ",VLOOKUP(H158,$CU$5:$CW$23,3),"error"))*AU158</f>
        <v>#N/A</v>
      </c>
      <c r="CM158" s="107" t="e">
        <f>IF(G158="AUS",VLOOKUP(H158,$CU$5:$CW$23,2),IF(G158="NZ",VLOOKUP(H158,$CU$5:$CW$23,3),"error"))*AX158</f>
        <v>#N/A</v>
      </c>
      <c r="CN158" s="106" t="e">
        <f>IF(G158="AUS",VLOOKUP(H158,$CU$5:$CW$23,2),IF(G158="NZ",VLOOKUP(H158,$CU$5:$CW$23,3),"error"))*BK158</f>
        <v>#N/A</v>
      </c>
    </row>
    <row r="159" spans="1:92" s="108" customFormat="1" ht="229.5">
      <c r="A159" s="83" t="str">
        <f t="shared" si="21"/>
        <v>Tobacco</v>
      </c>
      <c r="B159" s="84" t="s">
        <v>170</v>
      </c>
      <c r="C159" s="85"/>
      <c r="D159" s="86"/>
      <c r="E159" s="85" t="s">
        <v>172</v>
      </c>
      <c r="F159" s="85" t="str">
        <f t="shared" si="24"/>
        <v xml:space="preserve">Tobacco; ; Prevention ; </v>
      </c>
      <c r="G159" s="85" t="s">
        <v>205</v>
      </c>
      <c r="H159" s="85">
        <v>2011</v>
      </c>
      <c r="I159" s="85" t="str">
        <f>CONCATENATE(A159,", ",G159,": ",J159)</f>
        <v>Tobacco, NZ: Sinking lid on tobacco supply (reducing tobacco commercial sales each year until sales are zero in 2025)</v>
      </c>
      <c r="J159" s="87" t="s">
        <v>361</v>
      </c>
      <c r="K159" s="87" t="s">
        <v>233</v>
      </c>
      <c r="L159" s="87" t="s">
        <v>233</v>
      </c>
      <c r="M159" s="87" t="s">
        <v>374</v>
      </c>
      <c r="N159" s="87" t="s">
        <v>367</v>
      </c>
      <c r="O159" s="87" t="s">
        <v>233</v>
      </c>
      <c r="P159" s="85" t="s">
        <v>215</v>
      </c>
      <c r="Q159" s="85" t="str">
        <f>IF($P159="Main",J159,BX159)</f>
        <v>in Māori women age 0-14 yrs</v>
      </c>
      <c r="R159" s="85" t="str">
        <f>IF($P159="Main",CONCATENATE(J159,": ",G159),BY159)</f>
        <v>in Māori women age 0-14 yrs</v>
      </c>
      <c r="S159" s="85" t="s">
        <v>234</v>
      </c>
      <c r="T159" s="85" t="s">
        <v>250</v>
      </c>
      <c r="U159" s="85" t="s">
        <v>259</v>
      </c>
      <c r="V159" s="88"/>
      <c r="W159" s="88" t="s">
        <v>368</v>
      </c>
      <c r="X159" s="88" t="s">
        <v>199</v>
      </c>
      <c r="Y159" s="85"/>
      <c r="Z159" s="85"/>
      <c r="AA159" s="85"/>
      <c r="AB159" s="85"/>
      <c r="AC159" s="89">
        <v>0.03</v>
      </c>
      <c r="AD159" s="122"/>
      <c r="AE159" s="83"/>
      <c r="AF159" s="83"/>
      <c r="AG159" s="90">
        <v>16400</v>
      </c>
      <c r="AH159" s="90"/>
      <c r="AI159" s="90"/>
      <c r="AJ159" s="117">
        <v>112600</v>
      </c>
      <c r="AK159" s="92">
        <f t="shared" si="25"/>
        <v>145.64831261101244</v>
      </c>
      <c r="AL159" s="92"/>
      <c r="AM159" s="92"/>
      <c r="AN159" s="93"/>
      <c r="AO159" s="94"/>
      <c r="AP159" s="94"/>
      <c r="AQ159" s="94"/>
      <c r="AR159" s="95">
        <v>-216000000</v>
      </c>
      <c r="AS159" s="95"/>
      <c r="AT159" s="95"/>
      <c r="AU159" s="95">
        <f t="shared" si="23"/>
        <v>-1918294.8490230907</v>
      </c>
      <c r="AV159" s="95"/>
      <c r="AW159" s="95"/>
      <c r="AX159" s="95"/>
      <c r="AY159" s="95"/>
      <c r="AZ159" s="95"/>
      <c r="BA159" s="96"/>
      <c r="BB159" s="96"/>
      <c r="BC159" s="96"/>
      <c r="BD159" s="95"/>
      <c r="BE159" s="95"/>
      <c r="BF159" s="96"/>
      <c r="BG159" s="95"/>
      <c r="BH159" s="95"/>
      <c r="BI159" s="96"/>
      <c r="BJ159" s="97" t="s">
        <v>182</v>
      </c>
      <c r="BK159" s="98" t="str">
        <f t="shared" si="26"/>
        <v>Cost-saving</v>
      </c>
      <c r="BL159" s="98">
        <f t="shared" si="26"/>
        <v>0</v>
      </c>
      <c r="BM159" s="98">
        <f t="shared" si="26"/>
        <v>0</v>
      </c>
      <c r="BN159" s="99" t="s">
        <v>183</v>
      </c>
      <c r="BO159" s="100"/>
      <c r="BP159" s="100"/>
      <c r="BQ159" s="99" t="s">
        <v>183</v>
      </c>
      <c r="BR159" s="100"/>
      <c r="BS159" s="100"/>
      <c r="BT159" s="99" t="s">
        <v>183</v>
      </c>
      <c r="BU159" s="100"/>
      <c r="BV159" s="100"/>
      <c r="BW159" s="85"/>
      <c r="BX159" s="85" t="s">
        <v>335</v>
      </c>
      <c r="BY159" s="83" t="s">
        <v>335</v>
      </c>
      <c r="BZ159" s="102">
        <v>2016</v>
      </c>
      <c r="CA159" s="98"/>
      <c r="CB159" s="98"/>
      <c r="CC159" s="103">
        <f t="shared" si="27"/>
        <v>104</v>
      </c>
      <c r="CD159" s="98"/>
      <c r="CE159" s="98"/>
      <c r="CF159" s="98"/>
      <c r="CG159" s="105">
        <v>1</v>
      </c>
      <c r="CH159" s="105" t="str">
        <f>IF(CK159=0,"",IF(V159="Persistent",5,IF(V159="Once",1,IF(V159="One-off",1,"manual overwrite"))))</f>
        <v/>
      </c>
      <c r="CI159" s="105"/>
      <c r="CJ159" s="98">
        <f t="shared" si="22"/>
        <v>0</v>
      </c>
      <c r="CK159" s="98">
        <f>IF(CA159="C",0,IF(P159="Het",0,IF(SUM(AG159,AO159)=0,0,1)))</f>
        <v>0</v>
      </c>
      <c r="CL159" s="106" t="e">
        <f>IF(G159="AUS",VLOOKUP(H159,$CU$5:$CW$23,2),IF(G159="NZ",VLOOKUP(H159,$CU$5:$CW$23,3),"error"))*AU159</f>
        <v>#N/A</v>
      </c>
      <c r="CM159" s="107" t="e">
        <f>IF(G159="AUS",VLOOKUP(H159,$CU$5:$CW$23,2),IF(G159="NZ",VLOOKUP(H159,$CU$5:$CW$23,3),"error"))*AX159</f>
        <v>#N/A</v>
      </c>
      <c r="CN159" s="106" t="e">
        <f>IF(G159="AUS",VLOOKUP(H159,$CU$5:$CW$23,2),IF(G159="NZ",VLOOKUP(H159,$CU$5:$CW$23,3),"error"))*BK159</f>
        <v>#N/A</v>
      </c>
    </row>
    <row r="160" spans="1:92" s="108" customFormat="1" ht="229.5">
      <c r="A160" s="83" t="str">
        <f t="shared" si="21"/>
        <v>Tobacco</v>
      </c>
      <c r="B160" s="84" t="s">
        <v>170</v>
      </c>
      <c r="C160" s="85"/>
      <c r="D160" s="86"/>
      <c r="E160" s="85" t="s">
        <v>172</v>
      </c>
      <c r="F160" s="85" t="str">
        <f t="shared" si="24"/>
        <v xml:space="preserve">Tobacco; ; Prevention ; </v>
      </c>
      <c r="G160" s="85" t="s">
        <v>205</v>
      </c>
      <c r="H160" s="85">
        <v>2011</v>
      </c>
      <c r="I160" s="85" t="str">
        <f>CONCATENATE(A160,", ",G160,": ",J160)</f>
        <v>Tobacco, NZ: Sinking lid on tobacco supply (reducing tobacco commercial sales each year until sales are zero in 2025)</v>
      </c>
      <c r="J160" s="87" t="s">
        <v>361</v>
      </c>
      <c r="K160" s="87" t="s">
        <v>233</v>
      </c>
      <c r="L160" s="87" t="s">
        <v>233</v>
      </c>
      <c r="M160" s="87" t="s">
        <v>374</v>
      </c>
      <c r="N160" s="87" t="s">
        <v>367</v>
      </c>
      <c r="O160" s="87" t="s">
        <v>233</v>
      </c>
      <c r="P160" s="85" t="s">
        <v>215</v>
      </c>
      <c r="Q160" s="85" t="str">
        <f>IF($P160="Main",J160,BX160)</f>
        <v>in Māori women age 15-24 yrs</v>
      </c>
      <c r="R160" s="85" t="str">
        <f>IF($P160="Main",CONCATENATE(J160,": ",G160),BY160)</f>
        <v>in Māori women age 15-24 yrs</v>
      </c>
      <c r="S160" s="85" t="s">
        <v>239</v>
      </c>
      <c r="T160" s="85" t="s">
        <v>250</v>
      </c>
      <c r="U160" s="85" t="s">
        <v>259</v>
      </c>
      <c r="V160" s="88"/>
      <c r="W160" s="88" t="s">
        <v>368</v>
      </c>
      <c r="X160" s="88" t="s">
        <v>199</v>
      </c>
      <c r="Y160" s="85"/>
      <c r="Z160" s="85"/>
      <c r="AA160" s="85"/>
      <c r="AB160" s="85"/>
      <c r="AC160" s="89">
        <v>0.03</v>
      </c>
      <c r="AD160" s="122"/>
      <c r="AE160" s="83"/>
      <c r="AF160" s="83"/>
      <c r="AG160" s="90">
        <v>14500</v>
      </c>
      <c r="AH160" s="90"/>
      <c r="AI160" s="90"/>
      <c r="AJ160" s="117">
        <v>62700</v>
      </c>
      <c r="AK160" s="92">
        <f t="shared" si="25"/>
        <v>231.25996810207337</v>
      </c>
      <c r="AL160" s="92"/>
      <c r="AM160" s="92"/>
      <c r="AN160" s="93"/>
      <c r="AO160" s="94"/>
      <c r="AP160" s="94"/>
      <c r="AQ160" s="94"/>
      <c r="AR160" s="95">
        <v>-177000000</v>
      </c>
      <c r="AS160" s="95"/>
      <c r="AT160" s="95"/>
      <c r="AU160" s="95">
        <f t="shared" si="23"/>
        <v>-2822966.5071770335</v>
      </c>
      <c r="AV160" s="95"/>
      <c r="AW160" s="95"/>
      <c r="AX160" s="95"/>
      <c r="AY160" s="95"/>
      <c r="AZ160" s="95"/>
      <c r="BA160" s="96"/>
      <c r="BB160" s="96"/>
      <c r="BC160" s="96"/>
      <c r="BD160" s="95"/>
      <c r="BE160" s="95"/>
      <c r="BF160" s="96"/>
      <c r="BG160" s="95"/>
      <c r="BH160" s="95"/>
      <c r="BI160" s="96"/>
      <c r="BJ160" s="97" t="s">
        <v>182</v>
      </c>
      <c r="BK160" s="98" t="str">
        <f t="shared" si="26"/>
        <v>Cost-saving</v>
      </c>
      <c r="BL160" s="98">
        <f t="shared" si="26"/>
        <v>0</v>
      </c>
      <c r="BM160" s="98">
        <f t="shared" si="26"/>
        <v>0</v>
      </c>
      <c r="BN160" s="99" t="s">
        <v>183</v>
      </c>
      <c r="BO160" s="100"/>
      <c r="BP160" s="100"/>
      <c r="BQ160" s="99" t="s">
        <v>183</v>
      </c>
      <c r="BR160" s="100"/>
      <c r="BS160" s="100"/>
      <c r="BT160" s="99" t="s">
        <v>183</v>
      </c>
      <c r="BU160" s="100"/>
      <c r="BV160" s="100"/>
      <c r="BW160" s="85"/>
      <c r="BX160" s="85" t="s">
        <v>336</v>
      </c>
      <c r="BY160" s="83" t="s">
        <v>336</v>
      </c>
      <c r="BZ160" s="102">
        <v>2016</v>
      </c>
      <c r="CA160" s="98"/>
      <c r="CB160" s="98"/>
      <c r="CC160" s="103">
        <f t="shared" si="27"/>
        <v>104</v>
      </c>
      <c r="CD160" s="98"/>
      <c r="CE160" s="98"/>
      <c r="CF160" s="98"/>
      <c r="CG160" s="105">
        <v>1</v>
      </c>
      <c r="CH160" s="105" t="str">
        <f>IF(CK160=0,"",IF(V160="Persistent",5,IF(V160="Once",1,IF(V160="One-off",1,"manual overwrite"))))</f>
        <v/>
      </c>
      <c r="CI160" s="105"/>
      <c r="CJ160" s="98">
        <f t="shared" si="22"/>
        <v>0</v>
      </c>
      <c r="CK160" s="98">
        <f>IF(CA160="C",0,IF(P160="Het",0,IF(SUM(AG160,AO160)=0,0,1)))</f>
        <v>0</v>
      </c>
      <c r="CL160" s="106" t="e">
        <f>IF(G160="AUS",VLOOKUP(H160,$CU$5:$CW$23,2),IF(G160="NZ",VLOOKUP(H160,$CU$5:$CW$23,3),"error"))*AU160</f>
        <v>#N/A</v>
      </c>
      <c r="CM160" s="107" t="e">
        <f>IF(G160="AUS",VLOOKUP(H160,$CU$5:$CW$23,2),IF(G160="NZ",VLOOKUP(H160,$CU$5:$CW$23,3),"error"))*AX160</f>
        <v>#N/A</v>
      </c>
      <c r="CN160" s="106" t="e">
        <f>IF(G160="AUS",VLOOKUP(H160,$CU$5:$CW$23,2),IF(G160="NZ",VLOOKUP(H160,$CU$5:$CW$23,3),"error"))*BK160</f>
        <v>#N/A</v>
      </c>
    </row>
    <row r="161" spans="1:92" s="108" customFormat="1" ht="229.5">
      <c r="A161" s="83" t="str">
        <f t="shared" si="21"/>
        <v>Tobacco</v>
      </c>
      <c r="B161" s="84" t="s">
        <v>170</v>
      </c>
      <c r="C161" s="85"/>
      <c r="D161" s="86"/>
      <c r="E161" s="85" t="s">
        <v>172</v>
      </c>
      <c r="F161" s="85" t="str">
        <f t="shared" si="24"/>
        <v xml:space="preserve">Tobacco; ; Prevention ; </v>
      </c>
      <c r="G161" s="85" t="s">
        <v>205</v>
      </c>
      <c r="H161" s="85">
        <v>2011</v>
      </c>
      <c r="I161" s="85" t="str">
        <f>CONCATENATE(A161,", ",G161,": ",J161)</f>
        <v>Tobacco, NZ: Sinking lid on tobacco supply (reducing tobacco commercial sales each year until sales are zero in 2025)</v>
      </c>
      <c r="J161" s="87" t="s">
        <v>361</v>
      </c>
      <c r="K161" s="87" t="s">
        <v>233</v>
      </c>
      <c r="L161" s="87" t="s">
        <v>233</v>
      </c>
      <c r="M161" s="87" t="s">
        <v>374</v>
      </c>
      <c r="N161" s="87" t="s">
        <v>367</v>
      </c>
      <c r="O161" s="87" t="s">
        <v>233</v>
      </c>
      <c r="P161" s="85" t="s">
        <v>215</v>
      </c>
      <c r="Q161" s="85" t="str">
        <f>IF($P161="Main",J161,BX161)</f>
        <v>in Māori women age 25-44 yrs</v>
      </c>
      <c r="R161" s="85" t="str">
        <f>IF($P161="Main",CONCATENATE(J161,": ",G161),BY161)</f>
        <v>in Māori women age 25-44 yrs</v>
      </c>
      <c r="S161" s="85" t="s">
        <v>241</v>
      </c>
      <c r="T161" s="85" t="s">
        <v>250</v>
      </c>
      <c r="U161" s="85" t="s">
        <v>259</v>
      </c>
      <c r="V161" s="88"/>
      <c r="W161" s="88" t="s">
        <v>368</v>
      </c>
      <c r="X161" s="88" t="s">
        <v>199</v>
      </c>
      <c r="Y161" s="85"/>
      <c r="Z161" s="85"/>
      <c r="AA161" s="85"/>
      <c r="AB161" s="85"/>
      <c r="AC161" s="89">
        <v>0.03</v>
      </c>
      <c r="AD161" s="122"/>
      <c r="AE161" s="83"/>
      <c r="AF161" s="83"/>
      <c r="AG161" s="90">
        <v>24700</v>
      </c>
      <c r="AH161" s="90"/>
      <c r="AI161" s="90"/>
      <c r="AJ161" s="117">
        <v>89100</v>
      </c>
      <c r="AK161" s="92">
        <f t="shared" si="25"/>
        <v>277.21661054994388</v>
      </c>
      <c r="AL161" s="92"/>
      <c r="AM161" s="92"/>
      <c r="AN161" s="93"/>
      <c r="AO161" s="94"/>
      <c r="AP161" s="94"/>
      <c r="AQ161" s="94"/>
      <c r="AR161" s="95">
        <v>-236000000</v>
      </c>
      <c r="AS161" s="95"/>
      <c r="AT161" s="95"/>
      <c r="AU161" s="95">
        <f t="shared" si="23"/>
        <v>-2648709.3153759819</v>
      </c>
      <c r="AV161" s="95"/>
      <c r="AW161" s="95"/>
      <c r="AX161" s="95"/>
      <c r="AY161" s="95"/>
      <c r="AZ161" s="95"/>
      <c r="BA161" s="96"/>
      <c r="BB161" s="96"/>
      <c r="BC161" s="96"/>
      <c r="BD161" s="95"/>
      <c r="BE161" s="95"/>
      <c r="BF161" s="96"/>
      <c r="BG161" s="95"/>
      <c r="BH161" s="95"/>
      <c r="BI161" s="96"/>
      <c r="BJ161" s="97" t="s">
        <v>182</v>
      </c>
      <c r="BK161" s="98" t="str">
        <f t="shared" si="26"/>
        <v>Cost-saving</v>
      </c>
      <c r="BL161" s="98">
        <f t="shared" si="26"/>
        <v>0</v>
      </c>
      <c r="BM161" s="98">
        <f t="shared" si="26"/>
        <v>0</v>
      </c>
      <c r="BN161" s="99" t="s">
        <v>183</v>
      </c>
      <c r="BO161" s="100"/>
      <c r="BP161" s="100"/>
      <c r="BQ161" s="99" t="s">
        <v>183</v>
      </c>
      <c r="BR161" s="100"/>
      <c r="BS161" s="100"/>
      <c r="BT161" s="99" t="s">
        <v>183</v>
      </c>
      <c r="BU161" s="100"/>
      <c r="BV161" s="100"/>
      <c r="BW161" s="85"/>
      <c r="BX161" s="85" t="s">
        <v>337</v>
      </c>
      <c r="BY161" s="83" t="s">
        <v>337</v>
      </c>
      <c r="BZ161" s="102">
        <v>2016</v>
      </c>
      <c r="CA161" s="98"/>
      <c r="CB161" s="98"/>
      <c r="CC161" s="103">
        <f t="shared" si="27"/>
        <v>104</v>
      </c>
      <c r="CD161" s="98"/>
      <c r="CE161" s="98"/>
      <c r="CF161" s="98"/>
      <c r="CG161" s="105">
        <v>1</v>
      </c>
      <c r="CH161" s="105" t="str">
        <f>IF(CK161=0,"",IF(V161="Persistent",5,IF(V161="Once",1,IF(V161="One-off",1,"manual overwrite"))))</f>
        <v/>
      </c>
      <c r="CI161" s="105"/>
      <c r="CJ161" s="98">
        <f t="shared" si="22"/>
        <v>0</v>
      </c>
      <c r="CK161" s="98">
        <f>IF(CA161="C",0,IF(P161="Het",0,IF(SUM(AG161,AO161)=0,0,1)))</f>
        <v>0</v>
      </c>
      <c r="CL161" s="106" t="e">
        <f>IF(G161="AUS",VLOOKUP(H161,$CU$5:$CW$23,2),IF(G161="NZ",VLOOKUP(H161,$CU$5:$CW$23,3),"error"))*AU161</f>
        <v>#N/A</v>
      </c>
      <c r="CM161" s="107" t="e">
        <f>IF(G161="AUS",VLOOKUP(H161,$CU$5:$CW$23,2),IF(G161="NZ",VLOOKUP(H161,$CU$5:$CW$23,3),"error"))*AX161</f>
        <v>#N/A</v>
      </c>
      <c r="CN161" s="106" t="e">
        <f>IF(G161="AUS",VLOOKUP(H161,$CU$5:$CW$23,2),IF(G161="NZ",VLOOKUP(H161,$CU$5:$CW$23,3),"error"))*BK161</f>
        <v>#N/A</v>
      </c>
    </row>
    <row r="162" spans="1:92" s="108" customFormat="1" ht="229.5">
      <c r="A162" s="83" t="str">
        <f t="shared" si="21"/>
        <v>Tobacco</v>
      </c>
      <c r="B162" s="84" t="s">
        <v>170</v>
      </c>
      <c r="C162" s="85"/>
      <c r="D162" s="86"/>
      <c r="E162" s="85" t="s">
        <v>172</v>
      </c>
      <c r="F162" s="85" t="str">
        <f t="shared" si="24"/>
        <v xml:space="preserve">Tobacco; ; Prevention ; </v>
      </c>
      <c r="G162" s="85" t="s">
        <v>205</v>
      </c>
      <c r="H162" s="85">
        <v>2011</v>
      </c>
      <c r="I162" s="85" t="str">
        <f>CONCATENATE(A162,", ",G162,": ",J162)</f>
        <v>Tobacco, NZ: Sinking lid on tobacco supply (reducing tobacco commercial sales each year until sales are zero in 2025)</v>
      </c>
      <c r="J162" s="87" t="s">
        <v>361</v>
      </c>
      <c r="K162" s="87" t="s">
        <v>233</v>
      </c>
      <c r="L162" s="87" t="s">
        <v>233</v>
      </c>
      <c r="M162" s="87" t="s">
        <v>258</v>
      </c>
      <c r="N162" s="87" t="s">
        <v>367</v>
      </c>
      <c r="O162" s="87" t="s">
        <v>233</v>
      </c>
      <c r="P162" s="85" t="s">
        <v>215</v>
      </c>
      <c r="Q162" s="85" t="str">
        <f>IF($P162="Main",J162,BX162)</f>
        <v>in Māori women age 45-64 yrs</v>
      </c>
      <c r="R162" s="85" t="str">
        <f>IF($P162="Main",CONCATENATE(J162,": ",G162),BY162)</f>
        <v>in Māori women age 45-64 yrs</v>
      </c>
      <c r="S162" s="85" t="s">
        <v>244</v>
      </c>
      <c r="T162" s="85" t="s">
        <v>250</v>
      </c>
      <c r="U162" s="85" t="s">
        <v>259</v>
      </c>
      <c r="V162" s="88"/>
      <c r="W162" s="88" t="s">
        <v>368</v>
      </c>
      <c r="X162" s="88" t="s">
        <v>199</v>
      </c>
      <c r="Y162" s="85"/>
      <c r="Z162" s="85"/>
      <c r="AA162" s="85"/>
      <c r="AB162" s="85"/>
      <c r="AC162" s="89">
        <v>0.03</v>
      </c>
      <c r="AD162" s="122"/>
      <c r="AE162" s="83"/>
      <c r="AF162" s="83"/>
      <c r="AG162" s="90">
        <v>6680</v>
      </c>
      <c r="AH162" s="90"/>
      <c r="AI162" s="90"/>
      <c r="AJ162" s="117">
        <v>61400</v>
      </c>
      <c r="AK162" s="92">
        <f t="shared" si="25"/>
        <v>108.79478827361564</v>
      </c>
      <c r="AL162" s="92"/>
      <c r="AM162" s="92"/>
      <c r="AN162" s="93"/>
      <c r="AO162" s="94"/>
      <c r="AP162" s="94"/>
      <c r="AQ162" s="94"/>
      <c r="AR162" s="95">
        <v>-45000000</v>
      </c>
      <c r="AS162" s="95"/>
      <c r="AT162" s="95"/>
      <c r="AU162" s="95">
        <f t="shared" si="23"/>
        <v>-732899.02280130296</v>
      </c>
      <c r="AV162" s="95"/>
      <c r="AW162" s="95"/>
      <c r="AX162" s="95"/>
      <c r="AY162" s="95"/>
      <c r="AZ162" s="95"/>
      <c r="BA162" s="96"/>
      <c r="BB162" s="96"/>
      <c r="BC162" s="96"/>
      <c r="BD162" s="95"/>
      <c r="BE162" s="95"/>
      <c r="BF162" s="96"/>
      <c r="BG162" s="95"/>
      <c r="BH162" s="95"/>
      <c r="BI162" s="96"/>
      <c r="BJ162" s="97" t="s">
        <v>182</v>
      </c>
      <c r="BK162" s="98" t="str">
        <f t="shared" si="26"/>
        <v>Cost-saving</v>
      </c>
      <c r="BL162" s="98">
        <f t="shared" si="26"/>
        <v>0</v>
      </c>
      <c r="BM162" s="98">
        <f t="shared" si="26"/>
        <v>0</v>
      </c>
      <c r="BN162" s="99" t="s">
        <v>183</v>
      </c>
      <c r="BO162" s="100"/>
      <c r="BP162" s="100"/>
      <c r="BQ162" s="99" t="s">
        <v>183</v>
      </c>
      <c r="BR162" s="100"/>
      <c r="BS162" s="100"/>
      <c r="BT162" s="99" t="s">
        <v>183</v>
      </c>
      <c r="BU162" s="100"/>
      <c r="BV162" s="100"/>
      <c r="BW162" s="85"/>
      <c r="BX162" s="85" t="s">
        <v>338</v>
      </c>
      <c r="BY162" s="83" t="s">
        <v>338</v>
      </c>
      <c r="BZ162" s="102">
        <v>2016</v>
      </c>
      <c r="CA162" s="98"/>
      <c r="CB162" s="98"/>
      <c r="CC162" s="103">
        <f t="shared" si="27"/>
        <v>104</v>
      </c>
      <c r="CD162" s="98"/>
      <c r="CE162" s="98"/>
      <c r="CF162" s="98"/>
      <c r="CG162" s="105">
        <v>1</v>
      </c>
      <c r="CH162" s="105" t="str">
        <f>IF(CK162=0,"",IF(V162="Persistent",5,IF(V162="Once",1,IF(V162="One-off",1,"manual overwrite"))))</f>
        <v/>
      </c>
      <c r="CI162" s="105"/>
      <c r="CJ162" s="98">
        <f t="shared" si="22"/>
        <v>0</v>
      </c>
      <c r="CK162" s="98">
        <f>IF(CA162="C",0,IF(P162="Het",0,IF(SUM(AG162,AO162)=0,0,1)))</f>
        <v>0</v>
      </c>
      <c r="CL162" s="106" t="e">
        <f>IF(G162="AUS",VLOOKUP(H162,$CU$5:$CW$23,2),IF(G162="NZ",VLOOKUP(H162,$CU$5:$CW$23,3),"error"))*AU162</f>
        <v>#N/A</v>
      </c>
      <c r="CM162" s="107" t="e">
        <f>IF(G162="AUS",VLOOKUP(H162,$CU$5:$CW$23,2),IF(G162="NZ",VLOOKUP(H162,$CU$5:$CW$23,3),"error"))*AX162</f>
        <v>#N/A</v>
      </c>
      <c r="CN162" s="106" t="e">
        <f>IF(G162="AUS",VLOOKUP(H162,$CU$5:$CW$23,2),IF(G162="NZ",VLOOKUP(H162,$CU$5:$CW$23,3),"error"))*BK162</f>
        <v>#N/A</v>
      </c>
    </row>
    <row r="163" spans="1:92" s="108" customFormat="1" ht="229.5">
      <c r="A163" s="83" t="str">
        <f t="shared" si="21"/>
        <v>Tobacco</v>
      </c>
      <c r="B163" s="84" t="s">
        <v>170</v>
      </c>
      <c r="C163" s="85"/>
      <c r="D163" s="86"/>
      <c r="E163" s="85" t="s">
        <v>172</v>
      </c>
      <c r="F163" s="85" t="str">
        <f t="shared" si="24"/>
        <v xml:space="preserve">Tobacco; ; Prevention ; </v>
      </c>
      <c r="G163" s="85" t="s">
        <v>205</v>
      </c>
      <c r="H163" s="85">
        <v>2011</v>
      </c>
      <c r="I163" s="85" t="str">
        <f>CONCATENATE(A163,", ",G163,": ",J163)</f>
        <v>Tobacco, NZ: Sinking lid on tobacco supply (reducing tobacco commercial sales each year until sales are zero in 2025)</v>
      </c>
      <c r="J163" s="87" t="s">
        <v>361</v>
      </c>
      <c r="K163" s="87" t="s">
        <v>233</v>
      </c>
      <c r="L163" s="87" t="s">
        <v>233</v>
      </c>
      <c r="M163" s="87" t="s">
        <v>377</v>
      </c>
      <c r="N163" s="87" t="s">
        <v>367</v>
      </c>
      <c r="O163" s="87" t="s">
        <v>233</v>
      </c>
      <c r="P163" s="85" t="s">
        <v>215</v>
      </c>
      <c r="Q163" s="85" t="str">
        <f>IF($P163="Main",J163,BX163)</f>
        <v xml:space="preserve">in Māori women age 65+ yrs </v>
      </c>
      <c r="R163" s="85" t="str">
        <f>IF($P163="Main",CONCATENATE(J163,": ",G163),BY163)</f>
        <v xml:space="preserve">in Māori women age 65+ yrs </v>
      </c>
      <c r="S163" s="85" t="s">
        <v>247</v>
      </c>
      <c r="T163" s="85" t="s">
        <v>250</v>
      </c>
      <c r="U163" s="85" t="s">
        <v>259</v>
      </c>
      <c r="V163" s="88"/>
      <c r="W163" s="88" t="s">
        <v>368</v>
      </c>
      <c r="X163" s="88" t="s">
        <v>199</v>
      </c>
      <c r="Y163" s="85"/>
      <c r="Z163" s="85"/>
      <c r="AA163" s="85"/>
      <c r="AB163" s="85"/>
      <c r="AC163" s="89">
        <v>0.03</v>
      </c>
      <c r="AD163" s="122"/>
      <c r="AE163" s="83"/>
      <c r="AF163" s="83"/>
      <c r="AG163" s="90">
        <v>119</v>
      </c>
      <c r="AH163" s="90"/>
      <c r="AI163" s="90"/>
      <c r="AJ163" s="117">
        <v>17500</v>
      </c>
      <c r="AK163" s="92">
        <f t="shared" si="25"/>
        <v>6.8</v>
      </c>
      <c r="AL163" s="92"/>
      <c r="AM163" s="92"/>
      <c r="AN163" s="93"/>
      <c r="AO163" s="94"/>
      <c r="AP163" s="94"/>
      <c r="AQ163" s="94"/>
      <c r="AR163" s="95">
        <v>-290000</v>
      </c>
      <c r="AS163" s="95"/>
      <c r="AT163" s="95"/>
      <c r="AU163" s="95">
        <f t="shared" si="23"/>
        <v>-16571.428571428572</v>
      </c>
      <c r="AV163" s="95"/>
      <c r="AW163" s="95"/>
      <c r="AX163" s="95"/>
      <c r="AY163" s="95"/>
      <c r="AZ163" s="95"/>
      <c r="BA163" s="96"/>
      <c r="BB163" s="96"/>
      <c r="BC163" s="96"/>
      <c r="BD163" s="95"/>
      <c r="BE163" s="95"/>
      <c r="BF163" s="96"/>
      <c r="BG163" s="95"/>
      <c r="BH163" s="95"/>
      <c r="BI163" s="96"/>
      <c r="BJ163" s="97" t="s">
        <v>182</v>
      </c>
      <c r="BK163" s="98" t="str">
        <f t="shared" si="26"/>
        <v>Cost-saving</v>
      </c>
      <c r="BL163" s="98">
        <f t="shared" si="26"/>
        <v>0</v>
      </c>
      <c r="BM163" s="98">
        <f t="shared" si="26"/>
        <v>0</v>
      </c>
      <c r="BN163" s="99" t="s">
        <v>183</v>
      </c>
      <c r="BO163" s="100"/>
      <c r="BP163" s="100"/>
      <c r="BQ163" s="99" t="s">
        <v>183</v>
      </c>
      <c r="BR163" s="100"/>
      <c r="BS163" s="100"/>
      <c r="BT163" s="99" t="s">
        <v>183</v>
      </c>
      <c r="BU163" s="100"/>
      <c r="BV163" s="100"/>
      <c r="BW163" s="85"/>
      <c r="BX163" s="85" t="s">
        <v>271</v>
      </c>
      <c r="BY163" s="83" t="s">
        <v>271</v>
      </c>
      <c r="BZ163" s="102">
        <v>2016</v>
      </c>
      <c r="CA163" s="98"/>
      <c r="CB163" s="98"/>
      <c r="CC163" s="103">
        <f t="shared" si="27"/>
        <v>104</v>
      </c>
      <c r="CD163" s="98"/>
      <c r="CE163" s="98"/>
      <c r="CF163" s="98"/>
      <c r="CG163" s="105">
        <v>1</v>
      </c>
      <c r="CH163" s="105" t="str">
        <f>IF(CK163=0,"",IF(V163="Persistent",5,IF(V163="Once",1,IF(V163="One-off",1,"manual overwrite"))))</f>
        <v/>
      </c>
      <c r="CI163" s="105"/>
      <c r="CJ163" s="98">
        <f t="shared" si="22"/>
        <v>0</v>
      </c>
      <c r="CK163" s="98">
        <f>IF(CA163="C",0,IF(P163="Het",0,IF(SUM(AG163,AO163)=0,0,1)))</f>
        <v>0</v>
      </c>
      <c r="CL163" s="106" t="e">
        <f>IF(G163="AUS",VLOOKUP(H163,$CU$5:$CW$23,2),IF(G163="NZ",VLOOKUP(H163,$CU$5:$CW$23,3),"error"))*AU163</f>
        <v>#N/A</v>
      </c>
      <c r="CM163" s="107" t="e">
        <f>IF(G163="AUS",VLOOKUP(H163,$CU$5:$CW$23,2),IF(G163="NZ",VLOOKUP(H163,$CU$5:$CW$23,3),"error"))*AX163</f>
        <v>#N/A</v>
      </c>
      <c r="CN163" s="106" t="e">
        <f>IF(G163="AUS",VLOOKUP(H163,$CU$5:$CW$23,2),IF(G163="NZ",VLOOKUP(H163,$CU$5:$CW$23,3),"error"))*BK163</f>
        <v>#N/A</v>
      </c>
    </row>
    <row r="164" spans="1:92" s="108" customFormat="1" ht="244.5" hidden="1">
      <c r="A164" s="83" t="str">
        <f t="shared" si="21"/>
        <v>Tobacco</v>
      </c>
      <c r="B164" s="84" t="s">
        <v>170</v>
      </c>
      <c r="C164" s="85"/>
      <c r="D164" s="86"/>
      <c r="E164" s="85" t="s">
        <v>172</v>
      </c>
      <c r="F164" s="85" t="str">
        <f t="shared" si="24"/>
        <v xml:space="preserve">Tobacco; ; Prevention ; </v>
      </c>
      <c r="G164" s="85" t="s">
        <v>205</v>
      </c>
      <c r="H164" s="85">
        <v>2011</v>
      </c>
      <c r="I164" s="85" t="str">
        <f>CONCATENATE(A164,", ",G164,": ",J164)</f>
        <v>Tobacco, NZ: Substantive tobacco retail  outlet reduction strategy (reducing the total number of outlets until 18 left in 2025)</v>
      </c>
      <c r="J164" s="87" t="s">
        <v>379</v>
      </c>
      <c r="K164" s="87"/>
      <c r="L164" s="87"/>
      <c r="M164" s="87"/>
      <c r="N164" s="87"/>
      <c r="O164" s="87"/>
      <c r="P164" s="85" t="s">
        <v>175</v>
      </c>
      <c r="Q164" s="85" t="str">
        <f>IF($P164="Main",J164,BX164)</f>
        <v>Substantive tobacco retail  outlet reduction strategy (reducing the total number of outlets until 18 left in 2025)</v>
      </c>
      <c r="R164" s="85" t="str">
        <f>IF($P164="Main",CONCATENATE(J164,": ",G164),BY164)</f>
        <v>Substantive tobacco retail  outlet reduction strategy (reducing the total number of outlets until 18 left in 2025): NZ</v>
      </c>
      <c r="S164" s="85"/>
      <c r="T164" s="85"/>
      <c r="U164" s="85"/>
      <c r="V164" s="88" t="s">
        <v>207</v>
      </c>
      <c r="W164" s="88"/>
      <c r="X164" s="88"/>
      <c r="Y164" s="85" t="s">
        <v>208</v>
      </c>
      <c r="Z164" s="85" t="s">
        <v>209</v>
      </c>
      <c r="AA164" s="85" t="s">
        <v>179</v>
      </c>
      <c r="AB164" s="85" t="s">
        <v>210</v>
      </c>
      <c r="AC164" s="89">
        <v>0.03</v>
      </c>
      <c r="AD164" s="122"/>
      <c r="AE164" s="83"/>
      <c r="AF164" s="83" t="s">
        <v>380</v>
      </c>
      <c r="AG164" s="90">
        <v>28900</v>
      </c>
      <c r="AH164" s="90">
        <v>16500</v>
      </c>
      <c r="AI164" s="90">
        <v>48200</v>
      </c>
      <c r="AJ164" s="91">
        <v>4410000</v>
      </c>
      <c r="AK164" s="92">
        <f t="shared" si="25"/>
        <v>6.5532879818594099</v>
      </c>
      <c r="AL164" s="92">
        <f>AH164/$AJ164*1000</f>
        <v>3.7414965986394555</v>
      </c>
      <c r="AM164" s="92">
        <f>AI164/$AJ164*1000</f>
        <v>10.929705215419501</v>
      </c>
      <c r="AN164" s="93"/>
      <c r="AO164" s="94">
        <v>6.6E-3</v>
      </c>
      <c r="AP164" s="94"/>
      <c r="AQ164" s="94"/>
      <c r="AR164" s="95">
        <v>-584000000</v>
      </c>
      <c r="AS164" s="95">
        <v>-328000000</v>
      </c>
      <c r="AT164" s="95">
        <v>-985000000</v>
      </c>
      <c r="AU164" s="95">
        <f t="shared" si="23"/>
        <v>-132426.3038548753</v>
      </c>
      <c r="AV164" s="95">
        <f>1000*AS164/$AJ164</f>
        <v>-74376.417233560089</v>
      </c>
      <c r="AW164" s="95">
        <f>1000*AT164/$AJ164</f>
        <v>-223356.00907029479</v>
      </c>
      <c r="AX164" s="95">
        <v>-133</v>
      </c>
      <c r="AY164" s="95"/>
      <c r="AZ164" s="95"/>
      <c r="BA164" s="96"/>
      <c r="BB164" s="96"/>
      <c r="BC164" s="96"/>
      <c r="BD164" s="95"/>
      <c r="BE164" s="95"/>
      <c r="BF164" s="96"/>
      <c r="BG164" s="95"/>
      <c r="BH164" s="95"/>
      <c r="BI164" s="96"/>
      <c r="BJ164" s="97" t="s">
        <v>182</v>
      </c>
      <c r="BK164" s="98" t="str">
        <f t="shared" si="26"/>
        <v>Cost-saving</v>
      </c>
      <c r="BL164" s="98">
        <f t="shared" si="26"/>
        <v>0</v>
      </c>
      <c r="BM164" s="98">
        <f t="shared" si="26"/>
        <v>0</v>
      </c>
      <c r="BN164" s="99" t="s">
        <v>183</v>
      </c>
      <c r="BO164" s="100"/>
      <c r="BP164" s="100"/>
      <c r="BQ164" s="99" t="s">
        <v>183</v>
      </c>
      <c r="BR164" s="100"/>
      <c r="BS164" s="100"/>
      <c r="BT164" s="99" t="s">
        <v>183</v>
      </c>
      <c r="BU164" s="100"/>
      <c r="BV164" s="100"/>
      <c r="BW164" s="85"/>
      <c r="BX164" s="85" t="s">
        <v>379</v>
      </c>
      <c r="BY164" s="83" t="s">
        <v>381</v>
      </c>
      <c r="BZ164" s="102">
        <v>2016</v>
      </c>
      <c r="CA164" s="98"/>
      <c r="CB164" s="98"/>
      <c r="CC164" s="103">
        <f t="shared" si="27"/>
        <v>114</v>
      </c>
      <c r="CD164" s="98"/>
      <c r="CE164" s="98"/>
      <c r="CF164" s="98"/>
      <c r="CG164" s="105">
        <v>1</v>
      </c>
      <c r="CH164" s="105">
        <v>5</v>
      </c>
      <c r="CI164" s="105">
        <f>IF(AA164="Lifetime",2,IF(CJ164=1,2,"manual entry"))</f>
        <v>2</v>
      </c>
      <c r="CJ164" s="98">
        <f t="shared" si="22"/>
        <v>0</v>
      </c>
      <c r="CK164" s="98">
        <f>IF(CA164="C",0,IF(P164="Het",0,IF(SUM(AG164,AO164)=0,0,1)))</f>
        <v>1</v>
      </c>
      <c r="CL164" s="106" t="e">
        <f>IF(G164="AUS",VLOOKUP(H164,$CU$5:$CW$23,2),IF(G164="NZ",VLOOKUP(H164,$CU$5:$CW$23,3),"error"))*AU164</f>
        <v>#N/A</v>
      </c>
      <c r="CM164" s="107" t="e">
        <f>IF(G164="AUS",VLOOKUP(H164,$CU$5:$CW$23,2),IF(G164="NZ",VLOOKUP(H164,$CU$5:$CW$23,3),"error"))*AX164</f>
        <v>#N/A</v>
      </c>
      <c r="CN164" s="106" t="e">
        <f>IF(G164="AUS",VLOOKUP(H164,$CU$5:$CW$23,2),IF(G164="NZ",VLOOKUP(H164,$CU$5:$CW$23,3),"error"))*BK164</f>
        <v>#N/A</v>
      </c>
    </row>
    <row r="165" spans="1:92" s="108" customFormat="1" ht="244.5" hidden="1">
      <c r="A165" s="83" t="str">
        <f t="shared" si="21"/>
        <v>Tobacco</v>
      </c>
      <c r="B165" s="84" t="s">
        <v>170</v>
      </c>
      <c r="C165" s="85"/>
      <c r="D165" s="86"/>
      <c r="E165" s="85" t="s">
        <v>172</v>
      </c>
      <c r="F165" s="85" t="str">
        <f t="shared" si="24"/>
        <v xml:space="preserve">Tobacco; ; Prevention ; </v>
      </c>
      <c r="G165" s="85" t="s">
        <v>205</v>
      </c>
      <c r="H165" s="85">
        <v>2011</v>
      </c>
      <c r="I165" s="85" t="str">
        <f>CONCATENATE(A165,", ",G165,": ",J165)</f>
        <v>Tobacco, NZ: Substantive tobacco retail  outlet reduction strategy (reducing the total number of outlets until 18 left in 2025)</v>
      </c>
      <c r="J165" s="87" t="s">
        <v>379</v>
      </c>
      <c r="K165" s="87"/>
      <c r="L165" s="87"/>
      <c r="M165" s="87"/>
      <c r="N165" s="87"/>
      <c r="O165" s="87"/>
      <c r="P165" s="85" t="s">
        <v>215</v>
      </c>
      <c r="Q165" s="85" t="str">
        <f>IF($P165="Main",J165,BX165)</f>
        <v xml:space="preserve">in men </v>
      </c>
      <c r="R165" s="85" t="str">
        <f>IF($P165="Main",CONCATENATE(J165,": ",G165),BY165)</f>
        <v xml:space="preserve">in men </v>
      </c>
      <c r="S165" s="85"/>
      <c r="T165" s="85"/>
      <c r="U165" s="85"/>
      <c r="V165" s="88"/>
      <c r="W165" s="88"/>
      <c r="X165" s="88"/>
      <c r="Y165" s="85"/>
      <c r="Z165" s="85"/>
      <c r="AA165" s="85"/>
      <c r="AB165" s="85"/>
      <c r="AC165" s="89">
        <v>0.03</v>
      </c>
      <c r="AD165" s="122"/>
      <c r="AE165" s="83"/>
      <c r="AF165" s="83"/>
      <c r="AG165" s="90">
        <v>14000</v>
      </c>
      <c r="AH165" s="90"/>
      <c r="AI165" s="90"/>
      <c r="AJ165" s="91">
        <v>2164610</v>
      </c>
      <c r="AK165" s="92">
        <f t="shared" si="25"/>
        <v>6.467677780292985</v>
      </c>
      <c r="AL165" s="92"/>
      <c r="AM165" s="92"/>
      <c r="AN165" s="93"/>
      <c r="AO165" s="94"/>
      <c r="AP165" s="94"/>
      <c r="AQ165" s="94"/>
      <c r="AR165" s="95">
        <v>-341000000</v>
      </c>
      <c r="AS165" s="95"/>
      <c r="AT165" s="95"/>
      <c r="AU165" s="95">
        <f t="shared" si="23"/>
        <v>-157534.15164856488</v>
      </c>
      <c r="AV165" s="95"/>
      <c r="AW165" s="95"/>
      <c r="AX165" s="95"/>
      <c r="AY165" s="95"/>
      <c r="AZ165" s="95"/>
      <c r="BA165" s="96"/>
      <c r="BB165" s="96"/>
      <c r="BC165" s="96"/>
      <c r="BD165" s="95"/>
      <c r="BE165" s="95"/>
      <c r="BF165" s="96"/>
      <c r="BG165" s="95"/>
      <c r="BH165" s="95"/>
      <c r="BI165" s="96"/>
      <c r="BJ165" s="97" t="s">
        <v>182</v>
      </c>
      <c r="BK165" s="98" t="str">
        <f t="shared" si="26"/>
        <v>Cost-saving</v>
      </c>
      <c r="BL165" s="98">
        <f t="shared" si="26"/>
        <v>0</v>
      </c>
      <c r="BM165" s="98">
        <f t="shared" si="26"/>
        <v>0</v>
      </c>
      <c r="BN165" s="99" t="s">
        <v>183</v>
      </c>
      <c r="BO165" s="100"/>
      <c r="BP165" s="100"/>
      <c r="BQ165" s="99" t="s">
        <v>183</v>
      </c>
      <c r="BR165" s="100"/>
      <c r="BS165" s="100"/>
      <c r="BT165" s="99" t="s">
        <v>183</v>
      </c>
      <c r="BU165" s="100"/>
      <c r="BV165" s="100"/>
      <c r="BW165" s="85"/>
      <c r="BX165" s="85" t="s">
        <v>326</v>
      </c>
      <c r="BY165" s="83" t="s">
        <v>326</v>
      </c>
      <c r="BZ165" s="102">
        <v>2016</v>
      </c>
      <c r="CA165" s="98"/>
      <c r="CB165" s="98"/>
      <c r="CC165" s="103">
        <f t="shared" si="27"/>
        <v>114</v>
      </c>
      <c r="CD165" s="98"/>
      <c r="CE165" s="98"/>
      <c r="CF165" s="98"/>
      <c r="CG165" s="105">
        <v>1</v>
      </c>
      <c r="CH165" s="105" t="str">
        <f>IF(CK165=0,"",IF(V165="Persistent",5,IF(V165="Once",1,IF(V165="One-off",1,"manual overwrite"))))</f>
        <v/>
      </c>
      <c r="CI165" s="105"/>
      <c r="CJ165" s="98">
        <f t="shared" si="22"/>
        <v>0</v>
      </c>
      <c r="CK165" s="98">
        <f>IF(CA165="C",0,IF(P165="Het",0,IF(SUM(AG165,AO165)=0,0,1)))</f>
        <v>0</v>
      </c>
      <c r="CL165" s="106" t="e">
        <f>IF(G165="AUS",VLOOKUP(H165,$CU$5:$CW$23,2),IF(G165="NZ",VLOOKUP(H165,$CU$5:$CW$23,3),"error"))*AU165</f>
        <v>#N/A</v>
      </c>
      <c r="CM165" s="107" t="e">
        <f>IF(G165="AUS",VLOOKUP(H165,$CU$5:$CW$23,2),IF(G165="NZ",VLOOKUP(H165,$CU$5:$CW$23,3),"error"))*AX165</f>
        <v>#N/A</v>
      </c>
      <c r="CN165" s="106" t="e">
        <f>IF(G165="AUS",VLOOKUP(H165,$CU$5:$CW$23,2),IF(G165="NZ",VLOOKUP(H165,$CU$5:$CW$23,3),"error"))*BK165</f>
        <v>#N/A</v>
      </c>
    </row>
    <row r="166" spans="1:92" s="108" customFormat="1" ht="244.5" hidden="1">
      <c r="A166" s="83" t="str">
        <f t="shared" si="21"/>
        <v>Tobacco</v>
      </c>
      <c r="B166" s="84" t="s">
        <v>170</v>
      </c>
      <c r="C166" s="85"/>
      <c r="D166" s="86"/>
      <c r="E166" s="85" t="s">
        <v>172</v>
      </c>
      <c r="F166" s="85" t="str">
        <f t="shared" si="24"/>
        <v xml:space="preserve">Tobacco; ; Prevention ; </v>
      </c>
      <c r="G166" s="85" t="s">
        <v>205</v>
      </c>
      <c r="H166" s="85">
        <v>2011</v>
      </c>
      <c r="I166" s="85" t="str">
        <f>CONCATENATE(A166,", ",G166,": ",J166)</f>
        <v>Tobacco, NZ: Substantive tobacco retail  outlet reduction strategy (reducing the total number of outlets until 18 left in 2025)</v>
      </c>
      <c r="J166" s="87" t="s">
        <v>379</v>
      </c>
      <c r="K166" s="87"/>
      <c r="L166" s="87"/>
      <c r="M166" s="87"/>
      <c r="N166" s="87"/>
      <c r="O166" s="87"/>
      <c r="P166" s="85" t="s">
        <v>215</v>
      </c>
      <c r="Q166" s="85" t="str">
        <f>IF($P166="Main",J166,BX166)</f>
        <v xml:space="preserve">in men age 0-14 yrs </v>
      </c>
      <c r="R166" s="85" t="str">
        <f>IF($P166="Main",CONCATENATE(J166,": ",G166),BY166)</f>
        <v xml:space="preserve">in men age 0-14 yrs </v>
      </c>
      <c r="S166" s="85"/>
      <c r="T166" s="85"/>
      <c r="U166" s="85"/>
      <c r="V166" s="88"/>
      <c r="W166" s="88"/>
      <c r="X166" s="88"/>
      <c r="Y166" s="85"/>
      <c r="Z166" s="85"/>
      <c r="AA166" s="85"/>
      <c r="AB166" s="85"/>
      <c r="AC166" s="89">
        <v>0.03</v>
      </c>
      <c r="AD166" s="122"/>
      <c r="AE166" s="83"/>
      <c r="AF166" s="83"/>
      <c r="AG166" s="90">
        <v>4920</v>
      </c>
      <c r="AH166" s="90"/>
      <c r="AI166" s="90"/>
      <c r="AJ166" s="91">
        <v>458240</v>
      </c>
      <c r="AK166" s="92">
        <f t="shared" si="25"/>
        <v>10.736731843575418</v>
      </c>
      <c r="AL166" s="92"/>
      <c r="AM166" s="92"/>
      <c r="AN166" s="93"/>
      <c r="AO166" s="94"/>
      <c r="AP166" s="94"/>
      <c r="AQ166" s="94"/>
      <c r="AR166" s="95">
        <v>-137000000</v>
      </c>
      <c r="AS166" s="95"/>
      <c r="AT166" s="95"/>
      <c r="AU166" s="95">
        <f t="shared" si="23"/>
        <v>-298969.97206703911</v>
      </c>
      <c r="AV166" s="95"/>
      <c r="AW166" s="95"/>
      <c r="AX166" s="95"/>
      <c r="AY166" s="95"/>
      <c r="AZ166" s="95"/>
      <c r="BA166" s="96"/>
      <c r="BB166" s="96"/>
      <c r="BC166" s="96"/>
      <c r="BD166" s="95"/>
      <c r="BE166" s="95"/>
      <c r="BF166" s="96"/>
      <c r="BG166" s="95"/>
      <c r="BH166" s="95"/>
      <c r="BI166" s="96"/>
      <c r="BJ166" s="97" t="s">
        <v>182</v>
      </c>
      <c r="BK166" s="98" t="str">
        <f t="shared" si="26"/>
        <v>Cost-saving</v>
      </c>
      <c r="BL166" s="98">
        <f t="shared" si="26"/>
        <v>0</v>
      </c>
      <c r="BM166" s="98">
        <f t="shared" si="26"/>
        <v>0</v>
      </c>
      <c r="BN166" s="99" t="s">
        <v>183</v>
      </c>
      <c r="BO166" s="100"/>
      <c r="BP166" s="100"/>
      <c r="BQ166" s="99" t="s">
        <v>183</v>
      </c>
      <c r="BR166" s="100"/>
      <c r="BS166" s="100"/>
      <c r="BT166" s="99" t="s">
        <v>183</v>
      </c>
      <c r="BU166" s="100"/>
      <c r="BV166" s="100"/>
      <c r="BW166" s="85"/>
      <c r="BX166" s="85" t="s">
        <v>217</v>
      </c>
      <c r="BY166" s="83" t="s">
        <v>217</v>
      </c>
      <c r="BZ166" s="102">
        <v>2016</v>
      </c>
      <c r="CA166" s="98"/>
      <c r="CB166" s="98"/>
      <c r="CC166" s="103">
        <f t="shared" si="27"/>
        <v>114</v>
      </c>
      <c r="CD166" s="98"/>
      <c r="CE166" s="98"/>
      <c r="CF166" s="98"/>
      <c r="CG166" s="105">
        <v>1</v>
      </c>
      <c r="CH166" s="105" t="str">
        <f>IF(CK166=0,"",IF(V166="Persistent",5,IF(V166="Once",1,IF(V166="One-off",1,"manual overwrite"))))</f>
        <v/>
      </c>
      <c r="CI166" s="105"/>
      <c r="CJ166" s="98">
        <f t="shared" si="22"/>
        <v>0</v>
      </c>
      <c r="CK166" s="98">
        <f>IF(CA166="C",0,IF(P166="Het",0,IF(SUM(AG166,AO166)=0,0,1)))</f>
        <v>0</v>
      </c>
      <c r="CL166" s="106" t="e">
        <f>IF(G166="AUS",VLOOKUP(H166,$CU$5:$CW$23,2),IF(G166="NZ",VLOOKUP(H166,$CU$5:$CW$23,3),"error"))*AU166</f>
        <v>#N/A</v>
      </c>
      <c r="CM166" s="107" t="e">
        <f>IF(G166="AUS",VLOOKUP(H166,$CU$5:$CW$23,2),IF(G166="NZ",VLOOKUP(H166,$CU$5:$CW$23,3),"error"))*AX166</f>
        <v>#N/A</v>
      </c>
      <c r="CN166" s="106" t="e">
        <f>IF(G166="AUS",VLOOKUP(H166,$CU$5:$CW$23,2),IF(G166="NZ",VLOOKUP(H166,$CU$5:$CW$23,3),"error"))*BK166</f>
        <v>#N/A</v>
      </c>
    </row>
    <row r="167" spans="1:92" s="108" customFormat="1" ht="244.5" hidden="1">
      <c r="A167" s="83" t="str">
        <f t="shared" si="21"/>
        <v>Tobacco</v>
      </c>
      <c r="B167" s="84" t="s">
        <v>170</v>
      </c>
      <c r="C167" s="85"/>
      <c r="D167" s="86"/>
      <c r="E167" s="85" t="s">
        <v>172</v>
      </c>
      <c r="F167" s="85" t="str">
        <f t="shared" si="24"/>
        <v xml:space="preserve">Tobacco; ; Prevention ; </v>
      </c>
      <c r="G167" s="85" t="s">
        <v>205</v>
      </c>
      <c r="H167" s="85">
        <v>2011</v>
      </c>
      <c r="I167" s="85" t="str">
        <f>CONCATENATE(A167,", ",G167,": ",J167)</f>
        <v>Tobacco, NZ: Substantive tobacco retail  outlet reduction strategy (reducing the total number of outlets until 18 left in 2025)</v>
      </c>
      <c r="J167" s="87" t="s">
        <v>379</v>
      </c>
      <c r="K167" s="87"/>
      <c r="L167" s="87"/>
      <c r="M167" s="87"/>
      <c r="N167" s="87"/>
      <c r="O167" s="87"/>
      <c r="P167" s="85" t="s">
        <v>215</v>
      </c>
      <c r="Q167" s="85" t="str">
        <f>IF($P167="Main",J167,BX167)</f>
        <v>in men age 15-24 yrs</v>
      </c>
      <c r="R167" s="85" t="str">
        <f>IF($P167="Main",CONCATENATE(J167,": ",G167),BY167)</f>
        <v>in men age 15-24 yrs</v>
      </c>
      <c r="S167" s="85"/>
      <c r="T167" s="85"/>
      <c r="U167" s="85"/>
      <c r="V167" s="88"/>
      <c r="W167" s="88"/>
      <c r="X167" s="88"/>
      <c r="Y167" s="85"/>
      <c r="Z167" s="85"/>
      <c r="AA167" s="85"/>
      <c r="AB167" s="85"/>
      <c r="AC167" s="89">
        <v>0.03</v>
      </c>
      <c r="AD167" s="122"/>
      <c r="AE167" s="83"/>
      <c r="AF167" s="83"/>
      <c r="AG167" s="90">
        <v>3430</v>
      </c>
      <c r="AH167" s="90"/>
      <c r="AI167" s="90"/>
      <c r="AJ167" s="91">
        <v>330930</v>
      </c>
      <c r="AK167" s="92">
        <f t="shared" si="25"/>
        <v>10.364729701145258</v>
      </c>
      <c r="AL167" s="92"/>
      <c r="AM167" s="92"/>
      <c r="AN167" s="93"/>
      <c r="AO167" s="94"/>
      <c r="AP167" s="94"/>
      <c r="AQ167" s="94"/>
      <c r="AR167" s="95">
        <v>-91000000</v>
      </c>
      <c r="AS167" s="95"/>
      <c r="AT167" s="95"/>
      <c r="AU167" s="95">
        <f t="shared" si="23"/>
        <v>-274982.62472426193</v>
      </c>
      <c r="AV167" s="95"/>
      <c r="AW167" s="95"/>
      <c r="AX167" s="95"/>
      <c r="AY167" s="95"/>
      <c r="AZ167" s="95"/>
      <c r="BA167" s="96"/>
      <c r="BB167" s="96"/>
      <c r="BC167" s="96"/>
      <c r="BD167" s="95"/>
      <c r="BE167" s="95"/>
      <c r="BF167" s="96"/>
      <c r="BG167" s="95"/>
      <c r="BH167" s="95"/>
      <c r="BI167" s="96"/>
      <c r="BJ167" s="97" t="s">
        <v>182</v>
      </c>
      <c r="BK167" s="98" t="str">
        <f t="shared" si="26"/>
        <v>Cost-saving</v>
      </c>
      <c r="BL167" s="98">
        <f t="shared" si="26"/>
        <v>0</v>
      </c>
      <c r="BM167" s="98">
        <f t="shared" si="26"/>
        <v>0</v>
      </c>
      <c r="BN167" s="99" t="s">
        <v>183</v>
      </c>
      <c r="BO167" s="100"/>
      <c r="BP167" s="100"/>
      <c r="BQ167" s="99" t="s">
        <v>183</v>
      </c>
      <c r="BR167" s="100"/>
      <c r="BS167" s="100"/>
      <c r="BT167" s="99" t="s">
        <v>183</v>
      </c>
      <c r="BU167" s="100"/>
      <c r="BV167" s="100"/>
      <c r="BW167" s="85"/>
      <c r="BX167" s="85" t="s">
        <v>328</v>
      </c>
      <c r="BY167" s="83" t="s">
        <v>328</v>
      </c>
      <c r="BZ167" s="102">
        <v>2016</v>
      </c>
      <c r="CA167" s="98"/>
      <c r="CB167" s="98"/>
      <c r="CC167" s="103">
        <f t="shared" si="27"/>
        <v>114</v>
      </c>
      <c r="CD167" s="98"/>
      <c r="CE167" s="98"/>
      <c r="CF167" s="98"/>
      <c r="CG167" s="105">
        <v>1</v>
      </c>
      <c r="CH167" s="105" t="str">
        <f>IF(CK167=0,"",IF(V167="Persistent",5,IF(V167="Once",1,IF(V167="One-off",1,"manual overwrite"))))</f>
        <v/>
      </c>
      <c r="CI167" s="105"/>
      <c r="CJ167" s="98">
        <f t="shared" si="22"/>
        <v>0</v>
      </c>
      <c r="CK167" s="98">
        <f>IF(CA167="C",0,IF(P167="Het",0,IF(SUM(AG167,AO167)=0,0,1)))</f>
        <v>0</v>
      </c>
      <c r="CL167" s="106" t="e">
        <f>IF(G167="AUS",VLOOKUP(H167,$CU$5:$CW$23,2),IF(G167="NZ",VLOOKUP(H167,$CU$5:$CW$23,3),"error"))*AU167</f>
        <v>#N/A</v>
      </c>
      <c r="CM167" s="107" t="e">
        <f>IF(G167="AUS",VLOOKUP(H167,$CU$5:$CW$23,2),IF(G167="NZ",VLOOKUP(H167,$CU$5:$CW$23,3),"error"))*AX167</f>
        <v>#N/A</v>
      </c>
      <c r="CN167" s="106" t="e">
        <f>IF(G167="AUS",VLOOKUP(H167,$CU$5:$CW$23,2),IF(G167="NZ",VLOOKUP(H167,$CU$5:$CW$23,3),"error"))*BK167</f>
        <v>#N/A</v>
      </c>
    </row>
    <row r="168" spans="1:92" s="108" customFormat="1" ht="244.5" hidden="1">
      <c r="A168" s="83" t="str">
        <f t="shared" si="21"/>
        <v>Tobacco</v>
      </c>
      <c r="B168" s="84" t="s">
        <v>170</v>
      </c>
      <c r="C168" s="85"/>
      <c r="D168" s="86"/>
      <c r="E168" s="85" t="s">
        <v>172</v>
      </c>
      <c r="F168" s="85" t="str">
        <f t="shared" si="24"/>
        <v xml:space="preserve">Tobacco; ; Prevention ; </v>
      </c>
      <c r="G168" s="85" t="s">
        <v>205</v>
      </c>
      <c r="H168" s="85">
        <v>2011</v>
      </c>
      <c r="I168" s="85" t="str">
        <f>CONCATENATE(A168,", ",G168,": ",J168)</f>
        <v>Tobacco, NZ: Substantive tobacco retail  outlet reduction strategy (reducing the total number of outlets until 18 left in 2025)</v>
      </c>
      <c r="J168" s="87" t="s">
        <v>379</v>
      </c>
      <c r="K168" s="87"/>
      <c r="L168" s="87"/>
      <c r="M168" s="87"/>
      <c r="N168" s="87"/>
      <c r="O168" s="87"/>
      <c r="P168" s="85" t="s">
        <v>215</v>
      </c>
      <c r="Q168" s="85" t="str">
        <f>IF($P168="Main",J168,BX168)</f>
        <v xml:space="preserve">in men age 25-44 yrs </v>
      </c>
      <c r="R168" s="85" t="str">
        <f>IF($P168="Main",CONCATENATE(J168,": ",G168),BY168)</f>
        <v xml:space="preserve">in men age 25-44 yrs </v>
      </c>
      <c r="S168" s="85"/>
      <c r="T168" s="85"/>
      <c r="U168" s="85"/>
      <c r="V168" s="88"/>
      <c r="W168" s="88"/>
      <c r="X168" s="88"/>
      <c r="Y168" s="85"/>
      <c r="Z168" s="85"/>
      <c r="AA168" s="85"/>
      <c r="AB168" s="85"/>
      <c r="AC168" s="89">
        <v>0.03</v>
      </c>
      <c r="AD168" s="122"/>
      <c r="AE168" s="83"/>
      <c r="AF168" s="83"/>
      <c r="AG168" s="90">
        <v>3920</v>
      </c>
      <c r="AH168" s="90"/>
      <c r="AI168" s="90"/>
      <c r="AJ168" s="91">
        <v>564950</v>
      </c>
      <c r="AK168" s="92">
        <f t="shared" si="25"/>
        <v>6.9386671386848393</v>
      </c>
      <c r="AL168" s="92"/>
      <c r="AM168" s="92"/>
      <c r="AN168" s="93"/>
      <c r="AO168" s="94"/>
      <c r="AP168" s="94"/>
      <c r="AQ168" s="94"/>
      <c r="AR168" s="95">
        <v>-86000000</v>
      </c>
      <c r="AS168" s="95"/>
      <c r="AT168" s="95"/>
      <c r="AU168" s="95">
        <f t="shared" si="23"/>
        <v>-152225.86069563677</v>
      </c>
      <c r="AV168" s="95"/>
      <c r="AW168" s="95"/>
      <c r="AX168" s="95"/>
      <c r="AY168" s="95"/>
      <c r="AZ168" s="95"/>
      <c r="BA168" s="96"/>
      <c r="BB168" s="96"/>
      <c r="BC168" s="96"/>
      <c r="BD168" s="95"/>
      <c r="BE168" s="95"/>
      <c r="BF168" s="96"/>
      <c r="BG168" s="95"/>
      <c r="BH168" s="95"/>
      <c r="BI168" s="96"/>
      <c r="BJ168" s="97" t="s">
        <v>182</v>
      </c>
      <c r="BK168" s="98" t="str">
        <f t="shared" si="26"/>
        <v>Cost-saving</v>
      </c>
      <c r="BL168" s="98">
        <f t="shared" si="26"/>
        <v>0</v>
      </c>
      <c r="BM168" s="98">
        <f t="shared" si="26"/>
        <v>0</v>
      </c>
      <c r="BN168" s="99" t="s">
        <v>183</v>
      </c>
      <c r="BO168" s="100"/>
      <c r="BP168" s="100"/>
      <c r="BQ168" s="99" t="s">
        <v>183</v>
      </c>
      <c r="BR168" s="100"/>
      <c r="BS168" s="100"/>
      <c r="BT168" s="99" t="s">
        <v>183</v>
      </c>
      <c r="BU168" s="100"/>
      <c r="BV168" s="100"/>
      <c r="BW168" s="85"/>
      <c r="BX168" s="85" t="s">
        <v>219</v>
      </c>
      <c r="BY168" s="83" t="s">
        <v>219</v>
      </c>
      <c r="BZ168" s="102">
        <v>2016</v>
      </c>
      <c r="CA168" s="98"/>
      <c r="CB168" s="98"/>
      <c r="CC168" s="103">
        <f t="shared" si="27"/>
        <v>114</v>
      </c>
      <c r="CD168" s="98"/>
      <c r="CE168" s="98"/>
      <c r="CF168" s="98"/>
      <c r="CG168" s="105">
        <v>1</v>
      </c>
      <c r="CH168" s="105" t="str">
        <f>IF(CK168=0,"",IF(V168="Persistent",5,IF(V168="Once",1,IF(V168="One-off",1,"manual overwrite"))))</f>
        <v/>
      </c>
      <c r="CI168" s="105"/>
      <c r="CJ168" s="98">
        <f t="shared" si="22"/>
        <v>0</v>
      </c>
      <c r="CK168" s="98">
        <f>IF(CA168="C",0,IF(P168="Het",0,IF(SUM(AG168,AO168)=0,0,1)))</f>
        <v>0</v>
      </c>
      <c r="CL168" s="106" t="e">
        <f>IF(G168="AUS",VLOOKUP(H168,$CU$5:$CW$23,2),IF(G168="NZ",VLOOKUP(H168,$CU$5:$CW$23,3),"error"))*AU168</f>
        <v>#N/A</v>
      </c>
      <c r="CM168" s="107" t="e">
        <f>IF(G168="AUS",VLOOKUP(H168,$CU$5:$CW$23,2),IF(G168="NZ",VLOOKUP(H168,$CU$5:$CW$23,3),"error"))*AX168</f>
        <v>#N/A</v>
      </c>
      <c r="CN168" s="106" t="e">
        <f>IF(G168="AUS",VLOOKUP(H168,$CU$5:$CW$23,2),IF(G168="NZ",VLOOKUP(H168,$CU$5:$CW$23,3),"error"))*BK168</f>
        <v>#N/A</v>
      </c>
    </row>
    <row r="169" spans="1:92" s="108" customFormat="1" ht="244.5" hidden="1">
      <c r="A169" s="83" t="str">
        <f t="shared" si="21"/>
        <v>Tobacco</v>
      </c>
      <c r="B169" s="84" t="s">
        <v>170</v>
      </c>
      <c r="C169" s="85"/>
      <c r="D169" s="86"/>
      <c r="E169" s="85" t="s">
        <v>172</v>
      </c>
      <c r="F169" s="85" t="str">
        <f t="shared" si="24"/>
        <v xml:space="preserve">Tobacco; ; Prevention ; </v>
      </c>
      <c r="G169" s="85" t="s">
        <v>205</v>
      </c>
      <c r="H169" s="85">
        <v>2011</v>
      </c>
      <c r="I169" s="85" t="str">
        <f>CONCATENATE(A169,", ",G169,": ",J169)</f>
        <v>Tobacco, NZ: Substantive tobacco retail  outlet reduction strategy (reducing the total number of outlets until 18 left in 2025)</v>
      </c>
      <c r="J169" s="87" t="s">
        <v>379</v>
      </c>
      <c r="K169" s="87"/>
      <c r="L169" s="87"/>
      <c r="M169" s="87"/>
      <c r="N169" s="87"/>
      <c r="O169" s="87"/>
      <c r="P169" s="85" t="s">
        <v>215</v>
      </c>
      <c r="Q169" s="85" t="str">
        <f>IF($P169="Main",J169,BX169)</f>
        <v>in men age 45-64 yrs</v>
      </c>
      <c r="R169" s="85" t="str">
        <f>IF($P169="Main",CONCATENATE(J169,": ",G169),BY169)</f>
        <v>in men age 45-64 yrs</v>
      </c>
      <c r="S169" s="85"/>
      <c r="T169" s="85"/>
      <c r="U169" s="85"/>
      <c r="V169" s="88"/>
      <c r="W169" s="88"/>
      <c r="X169" s="88"/>
      <c r="Y169" s="85"/>
      <c r="Z169" s="85"/>
      <c r="AA169" s="85"/>
      <c r="AB169" s="85"/>
      <c r="AC169" s="89">
        <v>0.03</v>
      </c>
      <c r="AD169" s="122"/>
      <c r="AE169" s="83"/>
      <c r="AF169" s="83"/>
      <c r="AG169" s="90">
        <v>1650</v>
      </c>
      <c r="AH169" s="90"/>
      <c r="AI169" s="90"/>
      <c r="AJ169" s="91">
        <v>542180</v>
      </c>
      <c r="AK169" s="92">
        <f t="shared" si="25"/>
        <v>3.0432697628093988</v>
      </c>
      <c r="AL169" s="92"/>
      <c r="AM169" s="92"/>
      <c r="AN169" s="93"/>
      <c r="AO169" s="94"/>
      <c r="AP169" s="94"/>
      <c r="AQ169" s="94"/>
      <c r="AR169" s="95">
        <v>-26000000</v>
      </c>
      <c r="AS169" s="95"/>
      <c r="AT169" s="95"/>
      <c r="AU169" s="95">
        <f t="shared" si="23"/>
        <v>-47954.553838208711</v>
      </c>
      <c r="AV169" s="95"/>
      <c r="AW169" s="95"/>
      <c r="AX169" s="95"/>
      <c r="AY169" s="95"/>
      <c r="AZ169" s="95"/>
      <c r="BA169" s="96"/>
      <c r="BB169" s="96"/>
      <c r="BC169" s="96"/>
      <c r="BD169" s="95"/>
      <c r="BE169" s="95"/>
      <c r="BF169" s="96"/>
      <c r="BG169" s="95"/>
      <c r="BH169" s="95"/>
      <c r="BI169" s="96"/>
      <c r="BJ169" s="97" t="s">
        <v>182</v>
      </c>
      <c r="BK169" s="98" t="str">
        <f t="shared" si="26"/>
        <v>Cost-saving</v>
      </c>
      <c r="BL169" s="98">
        <f t="shared" si="26"/>
        <v>0</v>
      </c>
      <c r="BM169" s="98">
        <f t="shared" si="26"/>
        <v>0</v>
      </c>
      <c r="BN169" s="99" t="s">
        <v>183</v>
      </c>
      <c r="BO169" s="100"/>
      <c r="BP169" s="100"/>
      <c r="BQ169" s="99" t="s">
        <v>183</v>
      </c>
      <c r="BR169" s="100"/>
      <c r="BS169" s="100"/>
      <c r="BT169" s="99" t="s">
        <v>183</v>
      </c>
      <c r="BU169" s="100"/>
      <c r="BV169" s="100"/>
      <c r="BW169" s="85"/>
      <c r="BX169" s="85" t="s">
        <v>330</v>
      </c>
      <c r="BY169" s="83" t="s">
        <v>330</v>
      </c>
      <c r="BZ169" s="102">
        <v>2016</v>
      </c>
      <c r="CA169" s="98"/>
      <c r="CB169" s="98"/>
      <c r="CC169" s="103">
        <f t="shared" si="27"/>
        <v>114</v>
      </c>
      <c r="CD169" s="98"/>
      <c r="CE169" s="98"/>
      <c r="CF169" s="98"/>
      <c r="CG169" s="105">
        <v>1</v>
      </c>
      <c r="CH169" s="105" t="str">
        <f>IF(CK169=0,"",IF(V169="Persistent",5,IF(V169="Once",1,IF(V169="One-off",1,"manual overwrite"))))</f>
        <v/>
      </c>
      <c r="CI169" s="105"/>
      <c r="CJ169" s="98">
        <f t="shared" si="22"/>
        <v>0</v>
      </c>
      <c r="CK169" s="98">
        <f>IF(CA169="C",0,IF(P169="Het",0,IF(SUM(AG169,AO169)=0,0,1)))</f>
        <v>0</v>
      </c>
      <c r="CL169" s="106" t="e">
        <f>IF(G169="AUS",VLOOKUP(H169,$CU$5:$CW$23,2),IF(G169="NZ",VLOOKUP(H169,$CU$5:$CW$23,3),"error"))*AU169</f>
        <v>#N/A</v>
      </c>
      <c r="CM169" s="107" t="e">
        <f>IF(G169="AUS",VLOOKUP(H169,$CU$5:$CW$23,2),IF(G169="NZ",VLOOKUP(H169,$CU$5:$CW$23,3),"error"))*AX169</f>
        <v>#N/A</v>
      </c>
      <c r="CN169" s="106" t="e">
        <f>IF(G169="AUS",VLOOKUP(H169,$CU$5:$CW$23,2),IF(G169="NZ",VLOOKUP(H169,$CU$5:$CW$23,3),"error"))*BK169</f>
        <v>#N/A</v>
      </c>
    </row>
    <row r="170" spans="1:92" s="108" customFormat="1" ht="244.5" hidden="1">
      <c r="A170" s="83" t="str">
        <f t="shared" si="21"/>
        <v>Tobacco</v>
      </c>
      <c r="B170" s="84" t="s">
        <v>170</v>
      </c>
      <c r="C170" s="85"/>
      <c r="D170" s="86"/>
      <c r="E170" s="85" t="s">
        <v>172</v>
      </c>
      <c r="F170" s="85" t="str">
        <f t="shared" si="24"/>
        <v xml:space="preserve">Tobacco; ; Prevention ; </v>
      </c>
      <c r="G170" s="85" t="s">
        <v>205</v>
      </c>
      <c r="H170" s="85">
        <v>2011</v>
      </c>
      <c r="I170" s="85" t="str">
        <f>CONCATENATE(A170,", ",G170,": ",J170)</f>
        <v>Tobacco, NZ: Substantive tobacco retail  outlet reduction strategy (reducing the total number of outlets until 18 left in 2025)</v>
      </c>
      <c r="J170" s="87" t="s">
        <v>379</v>
      </c>
      <c r="K170" s="87"/>
      <c r="L170" s="87"/>
      <c r="M170" s="87"/>
      <c r="N170" s="87"/>
      <c r="O170" s="87"/>
      <c r="P170" s="85" t="s">
        <v>215</v>
      </c>
      <c r="Q170" s="85" t="str">
        <f>IF($P170="Main",J170,BX170)</f>
        <v>in men age 65+ yrs</v>
      </c>
      <c r="R170" s="85" t="str">
        <f>IF($P170="Main",CONCATENATE(J170,": ",G170),BY170)</f>
        <v>in men age 65+ yrs</v>
      </c>
      <c r="S170" s="85"/>
      <c r="T170" s="85"/>
      <c r="U170" s="85"/>
      <c r="V170" s="88"/>
      <c r="W170" s="88"/>
      <c r="X170" s="88"/>
      <c r="Y170" s="85"/>
      <c r="Z170" s="85"/>
      <c r="AA170" s="85"/>
      <c r="AB170" s="85"/>
      <c r="AC170" s="89">
        <v>0.03</v>
      </c>
      <c r="AD170" s="122"/>
      <c r="AE170" s="83"/>
      <c r="AF170" s="83"/>
      <c r="AG170" s="90">
        <v>100</v>
      </c>
      <c r="AH170" s="90"/>
      <c r="AI170" s="90"/>
      <c r="AJ170" s="91">
        <v>268310</v>
      </c>
      <c r="AK170" s="92">
        <f t="shared" si="25"/>
        <v>0.37270321642875776</v>
      </c>
      <c r="AL170" s="92"/>
      <c r="AM170" s="92"/>
      <c r="AN170" s="93"/>
      <c r="AO170" s="94"/>
      <c r="AP170" s="94"/>
      <c r="AQ170" s="94"/>
      <c r="AR170" s="95">
        <v>-850000</v>
      </c>
      <c r="AS170" s="95"/>
      <c r="AT170" s="95"/>
      <c r="AU170" s="95">
        <f t="shared" si="23"/>
        <v>-3167.9773396444411</v>
      </c>
      <c r="AV170" s="95"/>
      <c r="AW170" s="95"/>
      <c r="AX170" s="95"/>
      <c r="AY170" s="95"/>
      <c r="AZ170" s="95"/>
      <c r="BA170" s="96"/>
      <c r="BB170" s="96"/>
      <c r="BC170" s="96"/>
      <c r="BD170" s="95"/>
      <c r="BE170" s="95"/>
      <c r="BF170" s="96"/>
      <c r="BG170" s="95"/>
      <c r="BH170" s="95"/>
      <c r="BI170" s="96"/>
      <c r="BJ170" s="97" t="s">
        <v>182</v>
      </c>
      <c r="BK170" s="98" t="str">
        <f t="shared" si="26"/>
        <v>Cost-saving</v>
      </c>
      <c r="BL170" s="98">
        <f t="shared" si="26"/>
        <v>0</v>
      </c>
      <c r="BM170" s="98">
        <f t="shared" si="26"/>
        <v>0</v>
      </c>
      <c r="BN170" s="99" t="s">
        <v>183</v>
      </c>
      <c r="BO170" s="100"/>
      <c r="BP170" s="100"/>
      <c r="BQ170" s="99" t="s">
        <v>183</v>
      </c>
      <c r="BR170" s="100"/>
      <c r="BS170" s="100"/>
      <c r="BT170" s="99" t="s">
        <v>183</v>
      </c>
      <c r="BU170" s="100"/>
      <c r="BV170" s="100"/>
      <c r="BW170" s="85"/>
      <c r="BX170" s="85" t="s">
        <v>331</v>
      </c>
      <c r="BY170" s="83" t="s">
        <v>331</v>
      </c>
      <c r="BZ170" s="102">
        <v>2016</v>
      </c>
      <c r="CA170" s="98"/>
      <c r="CB170" s="98"/>
      <c r="CC170" s="103">
        <f t="shared" si="27"/>
        <v>114</v>
      </c>
      <c r="CD170" s="98"/>
      <c r="CE170" s="98"/>
      <c r="CF170" s="98"/>
      <c r="CG170" s="105">
        <v>1</v>
      </c>
      <c r="CH170" s="105" t="str">
        <f>IF(CK170=0,"",IF(V170="Persistent",5,IF(V170="Once",1,IF(V170="One-off",1,"manual overwrite"))))</f>
        <v/>
      </c>
      <c r="CI170" s="105"/>
      <c r="CJ170" s="98">
        <f t="shared" si="22"/>
        <v>0</v>
      </c>
      <c r="CK170" s="98">
        <f>IF(CA170="C",0,IF(P170="Het",0,IF(SUM(AG170,AO170)=0,0,1)))</f>
        <v>0</v>
      </c>
      <c r="CL170" s="106" t="e">
        <f>IF(G170="AUS",VLOOKUP(H170,$CU$5:$CW$23,2),IF(G170="NZ",VLOOKUP(H170,$CU$5:$CW$23,3),"error"))*AU170</f>
        <v>#N/A</v>
      </c>
      <c r="CM170" s="107" t="e">
        <f>IF(G170="AUS",VLOOKUP(H170,$CU$5:$CW$23,2),IF(G170="NZ",VLOOKUP(H170,$CU$5:$CW$23,3),"error"))*AX170</f>
        <v>#N/A</v>
      </c>
      <c r="CN170" s="106" t="e">
        <f>IF(G170="AUS",VLOOKUP(H170,$CU$5:$CW$23,2),IF(G170="NZ",VLOOKUP(H170,$CU$5:$CW$23,3),"error"))*BK170</f>
        <v>#N/A</v>
      </c>
    </row>
    <row r="171" spans="1:92" s="108" customFormat="1" ht="244.5" hidden="1">
      <c r="A171" s="83" t="str">
        <f t="shared" si="21"/>
        <v>Tobacco</v>
      </c>
      <c r="B171" s="84" t="s">
        <v>170</v>
      </c>
      <c r="C171" s="85"/>
      <c r="D171" s="86"/>
      <c r="E171" s="85" t="s">
        <v>172</v>
      </c>
      <c r="F171" s="85" t="str">
        <f t="shared" si="24"/>
        <v xml:space="preserve">Tobacco; ; Prevention ; </v>
      </c>
      <c r="G171" s="85" t="s">
        <v>205</v>
      </c>
      <c r="H171" s="85">
        <v>2011</v>
      </c>
      <c r="I171" s="85" t="str">
        <f>CONCATENATE(A171,", ",G171,": ",J171)</f>
        <v>Tobacco, NZ: Substantive tobacco retail  outlet reduction strategy (reducing the total number of outlets until 18 left in 2025)</v>
      </c>
      <c r="J171" s="87" t="s">
        <v>379</v>
      </c>
      <c r="K171" s="87"/>
      <c r="L171" s="87"/>
      <c r="M171" s="87"/>
      <c r="N171" s="87"/>
      <c r="O171" s="87"/>
      <c r="P171" s="85" t="s">
        <v>215</v>
      </c>
      <c r="Q171" s="85" t="str">
        <f>IF($P171="Main",J171,BX171)</f>
        <v xml:space="preserve">in women </v>
      </c>
      <c r="R171" s="85" t="str">
        <f>IF($P171="Main",CONCATENATE(J171,": ",G171),BY171)</f>
        <v xml:space="preserve">in women </v>
      </c>
      <c r="S171" s="85"/>
      <c r="T171" s="85"/>
      <c r="U171" s="85"/>
      <c r="V171" s="88"/>
      <c r="W171" s="88"/>
      <c r="X171" s="88"/>
      <c r="Y171" s="85"/>
      <c r="Z171" s="85"/>
      <c r="AA171" s="85"/>
      <c r="AB171" s="85"/>
      <c r="AC171" s="89">
        <v>0.03</v>
      </c>
      <c r="AD171" s="122"/>
      <c r="AE171" s="83"/>
      <c r="AF171" s="83"/>
      <c r="AG171" s="90">
        <v>14900</v>
      </c>
      <c r="AH171" s="90"/>
      <c r="AI171" s="90"/>
      <c r="AJ171" s="91">
        <v>2240660</v>
      </c>
      <c r="AK171" s="92">
        <f t="shared" si="25"/>
        <v>6.6498263904385313</v>
      </c>
      <c r="AL171" s="92"/>
      <c r="AM171" s="92"/>
      <c r="AN171" s="93"/>
      <c r="AO171" s="94"/>
      <c r="AP171" s="94"/>
      <c r="AQ171" s="94"/>
      <c r="AR171" s="95">
        <v>-246000000</v>
      </c>
      <c r="AS171" s="95"/>
      <c r="AT171" s="95"/>
      <c r="AU171" s="95">
        <f t="shared" si="23"/>
        <v>-109789.08000321334</v>
      </c>
      <c r="AV171" s="95"/>
      <c r="AW171" s="95"/>
      <c r="AX171" s="95"/>
      <c r="AY171" s="95"/>
      <c r="AZ171" s="95"/>
      <c r="BA171" s="96"/>
      <c r="BB171" s="96"/>
      <c r="BC171" s="96"/>
      <c r="BD171" s="95"/>
      <c r="BE171" s="95"/>
      <c r="BF171" s="96"/>
      <c r="BG171" s="95"/>
      <c r="BH171" s="95"/>
      <c r="BI171" s="96"/>
      <c r="BJ171" s="97" t="s">
        <v>182</v>
      </c>
      <c r="BK171" s="98" t="str">
        <f t="shared" ref="BK171:BM202" si="28">IF($BJ171="Y",IF(BN171="",IF(BQ171="",BT171,BQ171),BN171),"")</f>
        <v>Cost-saving</v>
      </c>
      <c r="BL171" s="98">
        <f t="shared" si="28"/>
        <v>0</v>
      </c>
      <c r="BM171" s="98">
        <f t="shared" si="28"/>
        <v>0</v>
      </c>
      <c r="BN171" s="99" t="s">
        <v>183</v>
      </c>
      <c r="BO171" s="100"/>
      <c r="BP171" s="100"/>
      <c r="BQ171" s="99" t="s">
        <v>183</v>
      </c>
      <c r="BR171" s="100"/>
      <c r="BS171" s="100"/>
      <c r="BT171" s="99" t="s">
        <v>183</v>
      </c>
      <c r="BU171" s="100"/>
      <c r="BV171" s="100"/>
      <c r="BW171" s="85"/>
      <c r="BX171" s="85" t="s">
        <v>382</v>
      </c>
      <c r="BY171" s="83" t="s">
        <v>382</v>
      </c>
      <c r="BZ171" s="102">
        <v>2016</v>
      </c>
      <c r="CA171" s="98"/>
      <c r="CB171" s="98"/>
      <c r="CC171" s="103">
        <f t="shared" si="27"/>
        <v>114</v>
      </c>
      <c r="CD171" s="98"/>
      <c r="CE171" s="98"/>
      <c r="CF171" s="98"/>
      <c r="CG171" s="105">
        <v>1</v>
      </c>
      <c r="CH171" s="105" t="str">
        <f>IF(CK171=0,"",IF(V171="Persistent",5,IF(V171="Once",1,IF(V171="One-off",1,"manual overwrite"))))</f>
        <v/>
      </c>
      <c r="CI171" s="105"/>
      <c r="CJ171" s="98">
        <f t="shared" si="22"/>
        <v>0</v>
      </c>
      <c r="CK171" s="98">
        <f>IF(CA171="C",0,IF(P171="Het",0,IF(SUM(AG171,AO171)=0,0,1)))</f>
        <v>0</v>
      </c>
      <c r="CL171" s="106" t="e">
        <f>IF(G171="AUS",VLOOKUP(H171,$CU$5:$CW$23,2),IF(G171="NZ",VLOOKUP(H171,$CU$5:$CW$23,3),"error"))*AU171</f>
        <v>#N/A</v>
      </c>
      <c r="CM171" s="107" t="e">
        <f>IF(G171="AUS",VLOOKUP(H171,$CU$5:$CW$23,2),IF(G171="NZ",VLOOKUP(H171,$CU$5:$CW$23,3),"error"))*AX171</f>
        <v>#N/A</v>
      </c>
      <c r="CN171" s="106" t="e">
        <f>IF(G171="AUS",VLOOKUP(H171,$CU$5:$CW$23,2),IF(G171="NZ",VLOOKUP(H171,$CU$5:$CW$23,3),"error"))*BK171</f>
        <v>#N/A</v>
      </c>
    </row>
    <row r="172" spans="1:92" s="108" customFormat="1" ht="244.5" hidden="1">
      <c r="A172" s="83" t="str">
        <f t="shared" si="21"/>
        <v>Tobacco</v>
      </c>
      <c r="B172" s="84" t="s">
        <v>170</v>
      </c>
      <c r="C172" s="85"/>
      <c r="D172" s="86"/>
      <c r="E172" s="85" t="s">
        <v>172</v>
      </c>
      <c r="F172" s="85" t="str">
        <f t="shared" si="24"/>
        <v xml:space="preserve">Tobacco; ; Prevention ; </v>
      </c>
      <c r="G172" s="85" t="s">
        <v>205</v>
      </c>
      <c r="H172" s="85">
        <v>2011</v>
      </c>
      <c r="I172" s="85" t="str">
        <f>CONCATENATE(A172,", ",G172,": ",J172)</f>
        <v>Tobacco, NZ: Substantive tobacco retail  outlet reduction strategy (reducing the total number of outlets until 18 left in 2025)</v>
      </c>
      <c r="J172" s="87" t="s">
        <v>379</v>
      </c>
      <c r="K172" s="87"/>
      <c r="L172" s="87"/>
      <c r="M172" s="87"/>
      <c r="N172" s="87"/>
      <c r="O172" s="87"/>
      <c r="P172" s="85" t="s">
        <v>215</v>
      </c>
      <c r="Q172" s="85" t="str">
        <f>IF($P172="Main",J172,BX172)</f>
        <v>in women age 0-14 yrs</v>
      </c>
      <c r="R172" s="85" t="str">
        <f>IF($P172="Main",CONCATENATE(J172,": ",G172),BY172)</f>
        <v>in women age 0-14 yrs</v>
      </c>
      <c r="S172" s="85"/>
      <c r="T172" s="85"/>
      <c r="U172" s="85"/>
      <c r="V172" s="88"/>
      <c r="W172" s="88"/>
      <c r="X172" s="88"/>
      <c r="Y172" s="85"/>
      <c r="Z172" s="85"/>
      <c r="AA172" s="85"/>
      <c r="AB172" s="85"/>
      <c r="AC172" s="89">
        <v>0.03</v>
      </c>
      <c r="AD172" s="122"/>
      <c r="AE172" s="83"/>
      <c r="AF172" s="83"/>
      <c r="AG172" s="90">
        <v>5500</v>
      </c>
      <c r="AH172" s="90"/>
      <c r="AI172" s="90"/>
      <c r="AJ172" s="91">
        <v>436380</v>
      </c>
      <c r="AK172" s="92">
        <f t="shared" si="25"/>
        <v>12.603694028140612</v>
      </c>
      <c r="AL172" s="92"/>
      <c r="AM172" s="92"/>
      <c r="AN172" s="93"/>
      <c r="AO172" s="94"/>
      <c r="AP172" s="94"/>
      <c r="AQ172" s="94"/>
      <c r="AR172" s="95">
        <v>-100000000</v>
      </c>
      <c r="AS172" s="95"/>
      <c r="AT172" s="95"/>
      <c r="AU172" s="95">
        <f t="shared" si="23"/>
        <v>-229158.07323892022</v>
      </c>
      <c r="AV172" s="95"/>
      <c r="AW172" s="95"/>
      <c r="AX172" s="95"/>
      <c r="AY172" s="95"/>
      <c r="AZ172" s="95"/>
      <c r="BA172" s="96"/>
      <c r="BB172" s="96"/>
      <c r="BC172" s="96"/>
      <c r="BD172" s="95"/>
      <c r="BE172" s="95"/>
      <c r="BF172" s="96"/>
      <c r="BG172" s="95"/>
      <c r="BH172" s="95"/>
      <c r="BI172" s="96"/>
      <c r="BJ172" s="97" t="s">
        <v>182</v>
      </c>
      <c r="BK172" s="98" t="str">
        <f t="shared" si="28"/>
        <v>Cost-saving</v>
      </c>
      <c r="BL172" s="98">
        <f t="shared" si="28"/>
        <v>0</v>
      </c>
      <c r="BM172" s="98">
        <f t="shared" si="28"/>
        <v>0</v>
      </c>
      <c r="BN172" s="99" t="s">
        <v>183</v>
      </c>
      <c r="BO172" s="100"/>
      <c r="BP172" s="100"/>
      <c r="BQ172" s="99" t="s">
        <v>183</v>
      </c>
      <c r="BR172" s="100"/>
      <c r="BS172" s="100"/>
      <c r="BT172" s="99" t="s">
        <v>183</v>
      </c>
      <c r="BU172" s="100"/>
      <c r="BV172" s="100"/>
      <c r="BW172" s="85"/>
      <c r="BX172" s="85" t="s">
        <v>223</v>
      </c>
      <c r="BY172" s="83" t="s">
        <v>223</v>
      </c>
      <c r="BZ172" s="102">
        <v>2016</v>
      </c>
      <c r="CA172" s="98"/>
      <c r="CB172" s="98"/>
      <c r="CC172" s="103">
        <f t="shared" si="27"/>
        <v>114</v>
      </c>
      <c r="CD172" s="98"/>
      <c r="CE172" s="98"/>
      <c r="CF172" s="98"/>
      <c r="CG172" s="105">
        <v>1</v>
      </c>
      <c r="CH172" s="105" t="str">
        <f>IF(CK172=0,"",IF(V172="Persistent",5,IF(V172="Once",1,IF(V172="One-off",1,"manual overwrite"))))</f>
        <v/>
      </c>
      <c r="CI172" s="105"/>
      <c r="CJ172" s="98">
        <f t="shared" si="22"/>
        <v>0</v>
      </c>
      <c r="CK172" s="98">
        <f>IF(CA172="C",0,IF(P172="Het",0,IF(SUM(AG172,AO172)=0,0,1)))</f>
        <v>0</v>
      </c>
      <c r="CL172" s="106" t="e">
        <f>IF(G172="AUS",VLOOKUP(H172,$CU$5:$CW$23,2),IF(G172="NZ",VLOOKUP(H172,$CU$5:$CW$23,3),"error"))*AU172</f>
        <v>#N/A</v>
      </c>
      <c r="CM172" s="107" t="e">
        <f>IF(G172="AUS",VLOOKUP(H172,$CU$5:$CW$23,2),IF(G172="NZ",VLOOKUP(H172,$CU$5:$CW$23,3),"error"))*AX172</f>
        <v>#N/A</v>
      </c>
      <c r="CN172" s="106" t="e">
        <f>IF(G172="AUS",VLOOKUP(H172,$CU$5:$CW$23,2),IF(G172="NZ",VLOOKUP(H172,$CU$5:$CW$23,3),"error"))*BK172</f>
        <v>#N/A</v>
      </c>
    </row>
    <row r="173" spans="1:92" s="108" customFormat="1" ht="244.5" hidden="1">
      <c r="A173" s="83" t="str">
        <f t="shared" si="21"/>
        <v>Tobacco</v>
      </c>
      <c r="B173" s="84" t="s">
        <v>170</v>
      </c>
      <c r="C173" s="85"/>
      <c r="D173" s="86"/>
      <c r="E173" s="85" t="s">
        <v>172</v>
      </c>
      <c r="F173" s="85" t="str">
        <f t="shared" si="24"/>
        <v xml:space="preserve">Tobacco; ; Prevention ; </v>
      </c>
      <c r="G173" s="85" t="s">
        <v>205</v>
      </c>
      <c r="H173" s="85">
        <v>2011</v>
      </c>
      <c r="I173" s="85" t="str">
        <f>CONCATENATE(A173,", ",G173,": ",J173)</f>
        <v>Tobacco, NZ: Substantive tobacco retail  outlet reduction strategy (reducing the total number of outlets until 18 left in 2025)</v>
      </c>
      <c r="J173" s="87" t="s">
        <v>379</v>
      </c>
      <c r="K173" s="87"/>
      <c r="L173" s="87"/>
      <c r="M173" s="87"/>
      <c r="N173" s="87"/>
      <c r="O173" s="87"/>
      <c r="P173" s="85" t="s">
        <v>215</v>
      </c>
      <c r="Q173" s="85" t="str">
        <f>IF($P173="Main",J173,BX173)</f>
        <v>in women age 15-24 yrs</v>
      </c>
      <c r="R173" s="85" t="str">
        <f>IF($P173="Main",CONCATENATE(J173,": ",G173),BY173)</f>
        <v>in women age 15-24 yrs</v>
      </c>
      <c r="S173" s="85"/>
      <c r="T173" s="85"/>
      <c r="U173" s="85"/>
      <c r="V173" s="88"/>
      <c r="W173" s="88"/>
      <c r="X173" s="88"/>
      <c r="Y173" s="85"/>
      <c r="Z173" s="85"/>
      <c r="AA173" s="85"/>
      <c r="AB173" s="85"/>
      <c r="AC173" s="89">
        <v>0.03</v>
      </c>
      <c r="AD173" s="122"/>
      <c r="AE173" s="83"/>
      <c r="AF173" s="83"/>
      <c r="AG173" s="90">
        <v>3450</v>
      </c>
      <c r="AH173" s="90"/>
      <c r="AI173" s="90"/>
      <c r="AJ173" s="91">
        <v>311500</v>
      </c>
      <c r="AK173" s="92">
        <f t="shared" si="25"/>
        <v>11.075441412520064</v>
      </c>
      <c r="AL173" s="92"/>
      <c r="AM173" s="92"/>
      <c r="AN173" s="93"/>
      <c r="AO173" s="94"/>
      <c r="AP173" s="94"/>
      <c r="AQ173" s="94"/>
      <c r="AR173" s="95">
        <v>-62000000</v>
      </c>
      <c r="AS173" s="95"/>
      <c r="AT173" s="95"/>
      <c r="AU173" s="95">
        <f t="shared" si="23"/>
        <v>-199036.91813804174</v>
      </c>
      <c r="AV173" s="95"/>
      <c r="AW173" s="95"/>
      <c r="AX173" s="95"/>
      <c r="AY173" s="95"/>
      <c r="AZ173" s="95"/>
      <c r="BA173" s="96"/>
      <c r="BB173" s="96"/>
      <c r="BC173" s="96"/>
      <c r="BD173" s="95"/>
      <c r="BE173" s="95"/>
      <c r="BF173" s="96"/>
      <c r="BG173" s="95"/>
      <c r="BH173" s="95"/>
      <c r="BI173" s="96"/>
      <c r="BJ173" s="97" t="s">
        <v>182</v>
      </c>
      <c r="BK173" s="98" t="str">
        <f t="shared" si="28"/>
        <v>Cost-saving</v>
      </c>
      <c r="BL173" s="98">
        <f t="shared" si="28"/>
        <v>0</v>
      </c>
      <c r="BM173" s="98">
        <f t="shared" si="28"/>
        <v>0</v>
      </c>
      <c r="BN173" s="99" t="s">
        <v>183</v>
      </c>
      <c r="BO173" s="100"/>
      <c r="BP173" s="100"/>
      <c r="BQ173" s="99" t="s">
        <v>183</v>
      </c>
      <c r="BR173" s="100"/>
      <c r="BS173" s="100"/>
      <c r="BT173" s="99" t="s">
        <v>183</v>
      </c>
      <c r="BU173" s="100"/>
      <c r="BV173" s="100"/>
      <c r="BW173" s="85"/>
      <c r="BX173" s="85" t="s">
        <v>332</v>
      </c>
      <c r="BY173" s="83" t="s">
        <v>332</v>
      </c>
      <c r="BZ173" s="102">
        <v>2016</v>
      </c>
      <c r="CA173" s="98"/>
      <c r="CB173" s="98"/>
      <c r="CC173" s="103">
        <f t="shared" si="27"/>
        <v>114</v>
      </c>
      <c r="CD173" s="98"/>
      <c r="CE173" s="98"/>
      <c r="CF173" s="98"/>
      <c r="CG173" s="105">
        <v>1</v>
      </c>
      <c r="CH173" s="105" t="str">
        <f>IF(CK173=0,"",IF(V173="Persistent",5,IF(V173="Once",1,IF(V173="One-off",1,"manual overwrite"))))</f>
        <v/>
      </c>
      <c r="CI173" s="105"/>
      <c r="CJ173" s="98">
        <f t="shared" si="22"/>
        <v>0</v>
      </c>
      <c r="CK173" s="98">
        <f>IF(CA173="C",0,IF(P173="Het",0,IF(SUM(AG173,AO173)=0,0,1)))</f>
        <v>0</v>
      </c>
      <c r="CL173" s="106" t="e">
        <f>IF(G173="AUS",VLOOKUP(H173,$CU$5:$CW$23,2),IF(G173="NZ",VLOOKUP(H173,$CU$5:$CW$23,3),"error"))*AU173</f>
        <v>#N/A</v>
      </c>
      <c r="CM173" s="107" t="e">
        <f>IF(G173="AUS",VLOOKUP(H173,$CU$5:$CW$23,2),IF(G173="NZ",VLOOKUP(H173,$CU$5:$CW$23,3),"error"))*AX173</f>
        <v>#N/A</v>
      </c>
      <c r="CN173" s="106" t="e">
        <f>IF(G173="AUS",VLOOKUP(H173,$CU$5:$CW$23,2),IF(G173="NZ",VLOOKUP(H173,$CU$5:$CW$23,3),"error"))*BK173</f>
        <v>#N/A</v>
      </c>
    </row>
    <row r="174" spans="1:92" s="108" customFormat="1" ht="244.5" hidden="1">
      <c r="A174" s="83" t="str">
        <f t="shared" si="21"/>
        <v>Tobacco</v>
      </c>
      <c r="B174" s="84" t="s">
        <v>170</v>
      </c>
      <c r="C174" s="85"/>
      <c r="D174" s="86"/>
      <c r="E174" s="85" t="s">
        <v>172</v>
      </c>
      <c r="F174" s="85" t="str">
        <f t="shared" si="24"/>
        <v xml:space="preserve">Tobacco; ; Prevention ; </v>
      </c>
      <c r="G174" s="85" t="s">
        <v>205</v>
      </c>
      <c r="H174" s="85">
        <v>2011</v>
      </c>
      <c r="I174" s="85" t="str">
        <f>CONCATENATE(A174,", ",G174,": ",J174)</f>
        <v>Tobacco, NZ: Substantive tobacco retail  outlet reduction strategy (reducing the total number of outlets until 18 left in 2025)</v>
      </c>
      <c r="J174" s="87" t="s">
        <v>379</v>
      </c>
      <c r="K174" s="87"/>
      <c r="L174" s="87"/>
      <c r="M174" s="87"/>
      <c r="N174" s="87"/>
      <c r="O174" s="87"/>
      <c r="P174" s="85" t="s">
        <v>215</v>
      </c>
      <c r="Q174" s="85" t="str">
        <f>IF($P174="Main",J174,BX174)</f>
        <v>in women age 25-44 yrs</v>
      </c>
      <c r="R174" s="85" t="str">
        <f>IF($P174="Main",CONCATENATE(J174,": ",G174),BY174)</f>
        <v>in women age 25-44 yrs</v>
      </c>
      <c r="S174" s="85"/>
      <c r="T174" s="85"/>
      <c r="U174" s="85"/>
      <c r="V174" s="88"/>
      <c r="W174" s="88"/>
      <c r="X174" s="88"/>
      <c r="Y174" s="85"/>
      <c r="Z174" s="85"/>
      <c r="AA174" s="85"/>
      <c r="AB174" s="85"/>
      <c r="AC174" s="89">
        <v>0.03</v>
      </c>
      <c r="AD174" s="122"/>
      <c r="AE174" s="83"/>
      <c r="AF174" s="83"/>
      <c r="AG174" s="90">
        <v>4050</v>
      </c>
      <c r="AH174" s="90"/>
      <c r="AI174" s="90"/>
      <c r="AJ174" s="91">
        <v>604390</v>
      </c>
      <c r="AK174" s="92">
        <f t="shared" si="25"/>
        <v>6.7009712271877424</v>
      </c>
      <c r="AL174" s="92"/>
      <c r="AM174" s="92"/>
      <c r="AN174" s="93"/>
      <c r="AO174" s="94"/>
      <c r="AP174" s="94"/>
      <c r="AQ174" s="94"/>
      <c r="AR174" s="95">
        <v>-64000000</v>
      </c>
      <c r="AS174" s="95"/>
      <c r="AT174" s="95"/>
      <c r="AU174" s="95">
        <f t="shared" si="23"/>
        <v>-105891.89099753471</v>
      </c>
      <c r="AV174" s="95"/>
      <c r="AW174" s="95"/>
      <c r="AX174" s="95"/>
      <c r="AY174" s="95"/>
      <c r="AZ174" s="95"/>
      <c r="BA174" s="96"/>
      <c r="BB174" s="96"/>
      <c r="BC174" s="96"/>
      <c r="BD174" s="95"/>
      <c r="BE174" s="95"/>
      <c r="BF174" s="96"/>
      <c r="BG174" s="95"/>
      <c r="BH174" s="95"/>
      <c r="BI174" s="96"/>
      <c r="BJ174" s="97" t="s">
        <v>182</v>
      </c>
      <c r="BK174" s="98" t="str">
        <f t="shared" si="28"/>
        <v>Cost-saving</v>
      </c>
      <c r="BL174" s="98">
        <f t="shared" si="28"/>
        <v>0</v>
      </c>
      <c r="BM174" s="98">
        <f t="shared" si="28"/>
        <v>0</v>
      </c>
      <c r="BN174" s="99" t="s">
        <v>183</v>
      </c>
      <c r="BO174" s="100"/>
      <c r="BP174" s="100"/>
      <c r="BQ174" s="99" t="s">
        <v>183</v>
      </c>
      <c r="BR174" s="100"/>
      <c r="BS174" s="100"/>
      <c r="BT174" s="99" t="s">
        <v>183</v>
      </c>
      <c r="BU174" s="100"/>
      <c r="BV174" s="100"/>
      <c r="BW174" s="85"/>
      <c r="BX174" s="85" t="s">
        <v>225</v>
      </c>
      <c r="BY174" s="83" t="s">
        <v>225</v>
      </c>
      <c r="BZ174" s="102">
        <v>2016</v>
      </c>
      <c r="CA174" s="98"/>
      <c r="CB174" s="98"/>
      <c r="CC174" s="103">
        <f t="shared" si="27"/>
        <v>114</v>
      </c>
      <c r="CD174" s="98"/>
      <c r="CE174" s="98"/>
      <c r="CF174" s="98"/>
      <c r="CG174" s="105">
        <v>1</v>
      </c>
      <c r="CH174" s="105" t="str">
        <f>IF(CK174=0,"",IF(V174="Persistent",5,IF(V174="Once",1,IF(V174="One-off",1,"manual overwrite"))))</f>
        <v/>
      </c>
      <c r="CI174" s="105"/>
      <c r="CJ174" s="98">
        <f t="shared" si="22"/>
        <v>0</v>
      </c>
      <c r="CK174" s="98">
        <f>IF(CA174="C",0,IF(P174="Het",0,IF(SUM(AG174,AO174)=0,0,1)))</f>
        <v>0</v>
      </c>
      <c r="CL174" s="106" t="e">
        <f>IF(G174="AUS",VLOOKUP(H174,$CU$5:$CW$23,2),IF(G174="NZ",VLOOKUP(H174,$CU$5:$CW$23,3),"error"))*AU174</f>
        <v>#N/A</v>
      </c>
      <c r="CM174" s="107" t="e">
        <f>IF(G174="AUS",VLOOKUP(H174,$CU$5:$CW$23,2),IF(G174="NZ",VLOOKUP(H174,$CU$5:$CW$23,3),"error"))*AX174</f>
        <v>#N/A</v>
      </c>
      <c r="CN174" s="106" t="e">
        <f>IF(G174="AUS",VLOOKUP(H174,$CU$5:$CW$23,2),IF(G174="NZ",VLOOKUP(H174,$CU$5:$CW$23,3),"error"))*BK174</f>
        <v>#N/A</v>
      </c>
    </row>
    <row r="175" spans="1:92" s="108" customFormat="1" ht="244.5" hidden="1">
      <c r="A175" s="83" t="str">
        <f t="shared" si="21"/>
        <v>Tobacco</v>
      </c>
      <c r="B175" s="84" t="s">
        <v>170</v>
      </c>
      <c r="C175" s="85"/>
      <c r="D175" s="86"/>
      <c r="E175" s="85" t="s">
        <v>172</v>
      </c>
      <c r="F175" s="85" t="str">
        <f t="shared" si="24"/>
        <v xml:space="preserve">Tobacco; ; Prevention ; </v>
      </c>
      <c r="G175" s="85" t="s">
        <v>205</v>
      </c>
      <c r="H175" s="85">
        <v>2011</v>
      </c>
      <c r="I175" s="85" t="str">
        <f>CONCATENATE(A175,", ",G175,": ",J175)</f>
        <v>Tobacco, NZ: Substantive tobacco retail  outlet reduction strategy (reducing the total number of outlets until 18 left in 2025)</v>
      </c>
      <c r="J175" s="87" t="s">
        <v>379</v>
      </c>
      <c r="K175" s="87"/>
      <c r="L175" s="87"/>
      <c r="M175" s="87"/>
      <c r="N175" s="87"/>
      <c r="O175" s="87"/>
      <c r="P175" s="85" t="s">
        <v>215</v>
      </c>
      <c r="Q175" s="85" t="str">
        <f>IF($P175="Main",J175,BX175)</f>
        <v>in women 45-64 yrs</v>
      </c>
      <c r="R175" s="85" t="str">
        <f>IF($P175="Main",CONCATENATE(J175,": ",G175),BY175)</f>
        <v>in women 45-64 yrs</v>
      </c>
      <c r="S175" s="85"/>
      <c r="T175" s="85"/>
      <c r="U175" s="85"/>
      <c r="V175" s="88"/>
      <c r="W175" s="88"/>
      <c r="X175" s="88"/>
      <c r="Y175" s="85"/>
      <c r="Z175" s="85"/>
      <c r="AA175" s="85"/>
      <c r="AB175" s="85"/>
      <c r="AC175" s="89">
        <v>0.03</v>
      </c>
      <c r="AD175" s="122"/>
      <c r="AE175" s="83"/>
      <c r="AF175" s="83"/>
      <c r="AG175" s="90">
        <v>1730</v>
      </c>
      <c r="AH175" s="90"/>
      <c r="AI175" s="90"/>
      <c r="AJ175" s="91">
        <v>569720</v>
      </c>
      <c r="AK175" s="92">
        <f t="shared" si="25"/>
        <v>3.0365793723232466</v>
      </c>
      <c r="AL175" s="92"/>
      <c r="AM175" s="92"/>
      <c r="AN175" s="93"/>
      <c r="AO175" s="94"/>
      <c r="AP175" s="94"/>
      <c r="AQ175" s="94"/>
      <c r="AR175" s="95">
        <v>-20000000</v>
      </c>
      <c r="AS175" s="95"/>
      <c r="AT175" s="95"/>
      <c r="AU175" s="95">
        <f t="shared" si="23"/>
        <v>-35104.963841887242</v>
      </c>
      <c r="AV175" s="95"/>
      <c r="AW175" s="95"/>
      <c r="AX175" s="95"/>
      <c r="AY175" s="95"/>
      <c r="AZ175" s="95"/>
      <c r="BA175" s="96"/>
      <c r="BB175" s="96"/>
      <c r="BC175" s="96"/>
      <c r="BD175" s="95"/>
      <c r="BE175" s="95"/>
      <c r="BF175" s="96"/>
      <c r="BG175" s="95"/>
      <c r="BH175" s="95"/>
      <c r="BI175" s="96"/>
      <c r="BJ175" s="97" t="s">
        <v>182</v>
      </c>
      <c r="BK175" s="98" t="str">
        <f t="shared" si="28"/>
        <v>Cost-saving</v>
      </c>
      <c r="BL175" s="98">
        <f t="shared" si="28"/>
        <v>0</v>
      </c>
      <c r="BM175" s="98">
        <f t="shared" si="28"/>
        <v>0</v>
      </c>
      <c r="BN175" s="99" t="s">
        <v>183</v>
      </c>
      <c r="BO175" s="100"/>
      <c r="BP175" s="100"/>
      <c r="BQ175" s="99" t="s">
        <v>183</v>
      </c>
      <c r="BR175" s="100"/>
      <c r="BS175" s="100"/>
      <c r="BT175" s="99" t="s">
        <v>183</v>
      </c>
      <c r="BU175" s="100"/>
      <c r="BV175" s="100"/>
      <c r="BW175" s="85"/>
      <c r="BX175" s="85" t="s">
        <v>383</v>
      </c>
      <c r="BY175" s="83" t="s">
        <v>383</v>
      </c>
      <c r="BZ175" s="102">
        <v>2016</v>
      </c>
      <c r="CA175" s="98"/>
      <c r="CB175" s="98"/>
      <c r="CC175" s="103">
        <f t="shared" si="27"/>
        <v>114</v>
      </c>
      <c r="CD175" s="98"/>
      <c r="CE175" s="98"/>
      <c r="CF175" s="98"/>
      <c r="CG175" s="105">
        <v>1</v>
      </c>
      <c r="CH175" s="105" t="str">
        <f>IF(CK175=0,"",IF(V175="Persistent",5,IF(V175="Once",1,IF(V175="One-off",1,"manual overwrite"))))</f>
        <v/>
      </c>
      <c r="CI175" s="105"/>
      <c r="CJ175" s="98">
        <f t="shared" si="22"/>
        <v>0</v>
      </c>
      <c r="CK175" s="98">
        <f>IF(CA175="C",0,IF(P175="Het",0,IF(SUM(AG175,AO175)=0,0,1)))</f>
        <v>0</v>
      </c>
      <c r="CL175" s="106" t="e">
        <f>IF(G175="AUS",VLOOKUP(H175,$CU$5:$CW$23,2),IF(G175="NZ",VLOOKUP(H175,$CU$5:$CW$23,3),"error"))*AU175</f>
        <v>#N/A</v>
      </c>
      <c r="CM175" s="107" t="e">
        <f>IF(G175="AUS",VLOOKUP(H175,$CU$5:$CW$23,2),IF(G175="NZ",VLOOKUP(H175,$CU$5:$CW$23,3),"error"))*AX175</f>
        <v>#N/A</v>
      </c>
      <c r="CN175" s="106" t="e">
        <f>IF(G175="AUS",VLOOKUP(H175,$CU$5:$CW$23,2),IF(G175="NZ",VLOOKUP(H175,$CU$5:$CW$23,3),"error"))*BK175</f>
        <v>#N/A</v>
      </c>
    </row>
    <row r="176" spans="1:92" s="108" customFormat="1" ht="244.5" hidden="1">
      <c r="A176" s="83" t="str">
        <f t="shared" si="21"/>
        <v>Tobacco</v>
      </c>
      <c r="B176" s="84" t="s">
        <v>170</v>
      </c>
      <c r="C176" s="85"/>
      <c r="D176" s="86"/>
      <c r="E176" s="85" t="s">
        <v>172</v>
      </c>
      <c r="F176" s="85" t="str">
        <f t="shared" si="24"/>
        <v xml:space="preserve">Tobacco; ; Prevention ; </v>
      </c>
      <c r="G176" s="85" t="s">
        <v>205</v>
      </c>
      <c r="H176" s="85">
        <v>2011</v>
      </c>
      <c r="I176" s="85" t="str">
        <f>CONCATENATE(A176,", ",G176,": ",J176)</f>
        <v>Tobacco, NZ: Substantive tobacco retail  outlet reduction strategy (reducing the total number of outlets until 18 left in 2025)</v>
      </c>
      <c r="J176" s="87" t="s">
        <v>379</v>
      </c>
      <c r="K176" s="87"/>
      <c r="L176" s="87"/>
      <c r="M176" s="87"/>
      <c r="N176" s="87"/>
      <c r="O176" s="87"/>
      <c r="P176" s="85" t="s">
        <v>215</v>
      </c>
      <c r="Q176" s="85" t="str">
        <f>IF($P176="Main",J176,BX176)</f>
        <v xml:space="preserve">in women age 65+ yrs </v>
      </c>
      <c r="R176" s="85" t="str">
        <f>IF($P176="Main",CONCATENATE(J176,": ",G176),BY176)</f>
        <v xml:space="preserve">in women age 65+ yrs </v>
      </c>
      <c r="S176" s="85"/>
      <c r="T176" s="85"/>
      <c r="U176" s="85"/>
      <c r="V176" s="88"/>
      <c r="W176" s="88"/>
      <c r="X176" s="88"/>
      <c r="Y176" s="85"/>
      <c r="Z176" s="85"/>
      <c r="AA176" s="85"/>
      <c r="AB176" s="85"/>
      <c r="AC176" s="89">
        <v>0.03</v>
      </c>
      <c r="AD176" s="122"/>
      <c r="AE176" s="83"/>
      <c r="AF176" s="83"/>
      <c r="AG176" s="90">
        <v>122</v>
      </c>
      <c r="AH176" s="90"/>
      <c r="AI176" s="90"/>
      <c r="AJ176" s="91">
        <v>318670</v>
      </c>
      <c r="AK176" s="92">
        <f t="shared" si="25"/>
        <v>0.38284118366962688</v>
      </c>
      <c r="AL176" s="92"/>
      <c r="AM176" s="92"/>
      <c r="AN176" s="93"/>
      <c r="AO176" s="94"/>
      <c r="AP176" s="94"/>
      <c r="AQ176" s="94"/>
      <c r="AR176" s="95">
        <v>-680000</v>
      </c>
      <c r="AS176" s="95"/>
      <c r="AT176" s="95"/>
      <c r="AU176" s="95">
        <f t="shared" si="23"/>
        <v>-2133.8688925848055</v>
      </c>
      <c r="AV176" s="95"/>
      <c r="AW176" s="95"/>
      <c r="AX176" s="95"/>
      <c r="AY176" s="95"/>
      <c r="AZ176" s="95"/>
      <c r="BA176" s="96"/>
      <c r="BB176" s="96"/>
      <c r="BC176" s="96"/>
      <c r="BD176" s="95"/>
      <c r="BE176" s="95"/>
      <c r="BF176" s="96"/>
      <c r="BG176" s="95"/>
      <c r="BH176" s="95"/>
      <c r="BI176" s="96"/>
      <c r="BJ176" s="97" t="s">
        <v>182</v>
      </c>
      <c r="BK176" s="98" t="str">
        <f t="shared" si="28"/>
        <v>Cost-saving</v>
      </c>
      <c r="BL176" s="98">
        <f t="shared" si="28"/>
        <v>0</v>
      </c>
      <c r="BM176" s="98">
        <f t="shared" si="28"/>
        <v>0</v>
      </c>
      <c r="BN176" s="99" t="s">
        <v>183</v>
      </c>
      <c r="BO176" s="100"/>
      <c r="BP176" s="100"/>
      <c r="BQ176" s="99" t="s">
        <v>183</v>
      </c>
      <c r="BR176" s="100"/>
      <c r="BS176" s="100"/>
      <c r="BT176" s="99" t="s">
        <v>183</v>
      </c>
      <c r="BU176" s="100"/>
      <c r="BV176" s="100"/>
      <c r="BW176" s="85"/>
      <c r="BX176" s="85" t="s">
        <v>227</v>
      </c>
      <c r="BY176" s="83" t="s">
        <v>227</v>
      </c>
      <c r="BZ176" s="102">
        <v>2016</v>
      </c>
      <c r="CA176" s="98"/>
      <c r="CB176" s="98"/>
      <c r="CC176" s="103">
        <f t="shared" si="27"/>
        <v>114</v>
      </c>
      <c r="CD176" s="98"/>
      <c r="CE176" s="98"/>
      <c r="CF176" s="98"/>
      <c r="CG176" s="105">
        <v>1</v>
      </c>
      <c r="CH176" s="105" t="str">
        <f>IF(CK176=0,"",IF(V176="Persistent",5,IF(V176="Once",1,IF(V176="One-off",1,"manual overwrite"))))</f>
        <v/>
      </c>
      <c r="CI176" s="105"/>
      <c r="CJ176" s="98">
        <f t="shared" si="22"/>
        <v>0</v>
      </c>
      <c r="CK176" s="98">
        <f>IF(CA176="C",0,IF(P176="Het",0,IF(SUM(AG176,AO176)=0,0,1)))</f>
        <v>0</v>
      </c>
      <c r="CL176" s="106" t="e">
        <f>IF(G176="AUS",VLOOKUP(H176,$CU$5:$CW$23,2),IF(G176="NZ",VLOOKUP(H176,$CU$5:$CW$23,3),"error"))*AU176</f>
        <v>#N/A</v>
      </c>
      <c r="CM176" s="107" t="e">
        <f>IF(G176="AUS",VLOOKUP(H176,$CU$5:$CW$23,2),IF(G176="NZ",VLOOKUP(H176,$CU$5:$CW$23,3),"error"))*AX176</f>
        <v>#N/A</v>
      </c>
      <c r="CN176" s="106" t="e">
        <f>IF(G176="AUS",VLOOKUP(H176,$CU$5:$CW$23,2),IF(G176="NZ",VLOOKUP(H176,$CU$5:$CW$23,3),"error"))*BK176</f>
        <v>#N/A</v>
      </c>
    </row>
    <row r="177" spans="1:92" s="108" customFormat="1" ht="244.5" hidden="1">
      <c r="A177" s="83" t="str">
        <f t="shared" si="21"/>
        <v>Tobacco</v>
      </c>
      <c r="B177" s="84" t="s">
        <v>170</v>
      </c>
      <c r="C177" s="85"/>
      <c r="D177" s="86"/>
      <c r="E177" s="85" t="s">
        <v>172</v>
      </c>
      <c r="F177" s="85" t="str">
        <f t="shared" si="24"/>
        <v xml:space="preserve">Tobacco; ; Prevention ; </v>
      </c>
      <c r="G177" s="85" t="s">
        <v>205</v>
      </c>
      <c r="H177" s="85">
        <v>2011</v>
      </c>
      <c r="I177" s="85" t="str">
        <f>CONCATENATE(A177,", ",G177,": ",J177)</f>
        <v>Tobacco, NZ: Substantive tobacco retail  outlet reduction strategy (reducing the total number of outlets until 18 left in 2025)</v>
      </c>
      <c r="J177" s="87" t="s">
        <v>379</v>
      </c>
      <c r="K177" s="87"/>
      <c r="L177" s="87"/>
      <c r="M177" s="87"/>
      <c r="N177" s="87"/>
      <c r="O177" s="87"/>
      <c r="P177" s="85" t="s">
        <v>215</v>
      </c>
      <c r="Q177" s="85" t="str">
        <f>IF($P177="Main",J177,BX177)</f>
        <v>in non-Māori</v>
      </c>
      <c r="R177" s="85" t="str">
        <f>IF($P177="Main",CONCATENATE(J177,": ",G177),BY177)</f>
        <v>in non-Māori</v>
      </c>
      <c r="S177" s="85"/>
      <c r="T177" s="85"/>
      <c r="U177" s="85"/>
      <c r="V177" s="88"/>
      <c r="W177" s="88"/>
      <c r="X177" s="88"/>
      <c r="Y177" s="85"/>
      <c r="Z177" s="85"/>
      <c r="AA177" s="85"/>
      <c r="AB177" s="85"/>
      <c r="AC177" s="89">
        <v>0.03</v>
      </c>
      <c r="AD177" s="122"/>
      <c r="AE177" s="83"/>
      <c r="AF177" s="83"/>
      <c r="AG177" s="90">
        <v>15700</v>
      </c>
      <c r="AH177" s="90">
        <v>8640</v>
      </c>
      <c r="AI177" s="90">
        <v>26500</v>
      </c>
      <c r="AJ177" s="91">
        <v>3731070</v>
      </c>
      <c r="AK177" s="92">
        <f t="shared" si="25"/>
        <v>4.2079081871956303</v>
      </c>
      <c r="AL177" s="92">
        <f>AH177/$AJ177*1000</f>
        <v>2.315689601106385</v>
      </c>
      <c r="AM177" s="92">
        <f>AI177/$AJ177*1000</f>
        <v>7.1025201885786116</v>
      </c>
      <c r="AN177" s="93"/>
      <c r="AO177" s="94">
        <v>4.2000000000000006E-3</v>
      </c>
      <c r="AP177" s="94"/>
      <c r="AQ177" s="94"/>
      <c r="AR177" s="95">
        <v>-376000000</v>
      </c>
      <c r="AS177" s="95">
        <v>-208000000</v>
      </c>
      <c r="AT177" s="95">
        <v>-641000000</v>
      </c>
      <c r="AU177" s="95">
        <f t="shared" si="23"/>
        <v>-100775.38078888897</v>
      </c>
      <c r="AV177" s="95">
        <f>1000*AS177/$AJ177</f>
        <v>-55748.082989598159</v>
      </c>
      <c r="AW177" s="95">
        <f>1000*AT177/$AJ177</f>
        <v>-171800.5826746751</v>
      </c>
      <c r="AX177" s="95">
        <v>-101</v>
      </c>
      <c r="AY177" s="95"/>
      <c r="AZ177" s="95"/>
      <c r="BA177" s="96"/>
      <c r="BB177" s="96"/>
      <c r="BC177" s="96"/>
      <c r="BD177" s="95"/>
      <c r="BE177" s="95"/>
      <c r="BF177" s="96"/>
      <c r="BG177" s="95"/>
      <c r="BH177" s="95"/>
      <c r="BI177" s="96"/>
      <c r="BJ177" s="97" t="s">
        <v>182</v>
      </c>
      <c r="BK177" s="98" t="str">
        <f t="shared" si="28"/>
        <v>Cost-saving</v>
      </c>
      <c r="BL177" s="98">
        <f t="shared" si="28"/>
        <v>0</v>
      </c>
      <c r="BM177" s="98">
        <f t="shared" si="28"/>
        <v>0</v>
      </c>
      <c r="BN177" s="99" t="s">
        <v>183</v>
      </c>
      <c r="BO177" s="100"/>
      <c r="BP177" s="100"/>
      <c r="BQ177" s="99" t="s">
        <v>183</v>
      </c>
      <c r="BR177" s="100"/>
      <c r="BS177" s="100"/>
      <c r="BT177" s="99" t="s">
        <v>183</v>
      </c>
      <c r="BU177" s="100"/>
      <c r="BV177" s="100"/>
      <c r="BW177" s="85"/>
      <c r="BX177" s="85" t="s">
        <v>228</v>
      </c>
      <c r="BY177" s="83" t="s">
        <v>228</v>
      </c>
      <c r="BZ177" s="102">
        <v>2016</v>
      </c>
      <c r="CA177" s="98"/>
      <c r="CB177" s="98"/>
      <c r="CC177" s="103">
        <f t="shared" si="27"/>
        <v>114</v>
      </c>
      <c r="CD177" s="98"/>
      <c r="CE177" s="98"/>
      <c r="CF177" s="98"/>
      <c r="CG177" s="105">
        <v>1</v>
      </c>
      <c r="CH177" s="105" t="str">
        <f>IF(CK177=0,"",IF(V177="Persistent",5,IF(V177="Once",1,IF(V177="One-off",1,"manual overwrite"))))</f>
        <v/>
      </c>
      <c r="CI177" s="105"/>
      <c r="CJ177" s="98">
        <f t="shared" si="22"/>
        <v>0</v>
      </c>
      <c r="CK177" s="98">
        <f>IF(CA177="C",0,IF(P177="Het",0,IF(SUM(AG177,AO177)=0,0,1)))</f>
        <v>0</v>
      </c>
      <c r="CL177" s="106" t="e">
        <f>IF(G177="AUS",VLOOKUP(H177,$CU$5:$CW$23,2),IF(G177="NZ",VLOOKUP(H177,$CU$5:$CW$23,3),"error"))*AU177</f>
        <v>#N/A</v>
      </c>
      <c r="CM177" s="107" t="e">
        <f>IF(G177="AUS",VLOOKUP(H177,$CU$5:$CW$23,2),IF(G177="NZ",VLOOKUP(H177,$CU$5:$CW$23,3),"error"))*AX177</f>
        <v>#N/A</v>
      </c>
      <c r="CN177" s="106" t="e">
        <f>IF(G177="AUS",VLOOKUP(H177,$CU$5:$CW$23,2),IF(G177="NZ",VLOOKUP(H177,$CU$5:$CW$23,3),"error"))*BK177</f>
        <v>#N/A</v>
      </c>
    </row>
    <row r="178" spans="1:92" s="108" customFormat="1" ht="244.5" hidden="1">
      <c r="A178" s="83" t="str">
        <f t="shared" si="21"/>
        <v>Tobacco</v>
      </c>
      <c r="B178" s="84" t="s">
        <v>170</v>
      </c>
      <c r="C178" s="85"/>
      <c r="D178" s="86"/>
      <c r="E178" s="85" t="s">
        <v>172</v>
      </c>
      <c r="F178" s="85" t="str">
        <f t="shared" si="24"/>
        <v xml:space="preserve">Tobacco; ; Prevention ; </v>
      </c>
      <c r="G178" s="85" t="s">
        <v>205</v>
      </c>
      <c r="H178" s="85">
        <v>2011</v>
      </c>
      <c r="I178" s="85" t="str">
        <f>CONCATENATE(A178,", ",G178,": ",J178)</f>
        <v>Tobacco, NZ: Substantive tobacco retail  outlet reduction strategy (reducing the total number of outlets until 18 left in 2025)</v>
      </c>
      <c r="J178" s="87" t="s">
        <v>379</v>
      </c>
      <c r="K178" s="87"/>
      <c r="L178" s="87"/>
      <c r="M178" s="87"/>
      <c r="N178" s="87"/>
      <c r="O178" s="87"/>
      <c r="P178" s="85" t="s">
        <v>215</v>
      </c>
      <c r="Q178" s="85" t="str">
        <f>IF($P178="Main",J178,BX178)</f>
        <v xml:space="preserve">in non-Māori men </v>
      </c>
      <c r="R178" s="85" t="str">
        <f>IF($P178="Main",CONCATENATE(J178,": ",G178),BY178)</f>
        <v xml:space="preserve">in non-Māori men </v>
      </c>
      <c r="S178" s="85"/>
      <c r="T178" s="85"/>
      <c r="U178" s="85"/>
      <c r="V178" s="88"/>
      <c r="W178" s="88"/>
      <c r="X178" s="88"/>
      <c r="Y178" s="85"/>
      <c r="Z178" s="85"/>
      <c r="AA178" s="85"/>
      <c r="AB178" s="85"/>
      <c r="AC178" s="89">
        <v>0.03</v>
      </c>
      <c r="AD178" s="122"/>
      <c r="AE178" s="83"/>
      <c r="AF178" s="83"/>
      <c r="AG178" s="90">
        <v>8630</v>
      </c>
      <c r="AH178" s="90"/>
      <c r="AI178" s="90"/>
      <c r="AJ178" s="91">
        <v>1833710</v>
      </c>
      <c r="AK178" s="92">
        <f t="shared" si="25"/>
        <v>4.7063057953547727</v>
      </c>
      <c r="AL178" s="92"/>
      <c r="AM178" s="92"/>
      <c r="AN178" s="93"/>
      <c r="AO178" s="94"/>
      <c r="AP178" s="94"/>
      <c r="AQ178" s="94"/>
      <c r="AR178" s="95">
        <v>-222000000</v>
      </c>
      <c r="AS178" s="95"/>
      <c r="AT178" s="95"/>
      <c r="AU178" s="95">
        <f t="shared" si="23"/>
        <v>-121066.0355236106</v>
      </c>
      <c r="AV178" s="95"/>
      <c r="AW178" s="95"/>
      <c r="AX178" s="95"/>
      <c r="AY178" s="95"/>
      <c r="AZ178" s="95"/>
      <c r="BA178" s="96"/>
      <c r="BB178" s="96"/>
      <c r="BC178" s="96"/>
      <c r="BD178" s="95"/>
      <c r="BE178" s="95"/>
      <c r="BF178" s="96"/>
      <c r="BG178" s="95"/>
      <c r="BH178" s="95"/>
      <c r="BI178" s="96"/>
      <c r="BJ178" s="97" t="s">
        <v>182</v>
      </c>
      <c r="BK178" s="98" t="str">
        <f t="shared" si="28"/>
        <v>Cost-saving</v>
      </c>
      <c r="BL178" s="98">
        <f t="shared" si="28"/>
        <v>0</v>
      </c>
      <c r="BM178" s="98">
        <f t="shared" si="28"/>
        <v>0</v>
      </c>
      <c r="BN178" s="99" t="s">
        <v>183</v>
      </c>
      <c r="BO178" s="100"/>
      <c r="BP178" s="100"/>
      <c r="BQ178" s="99" t="s">
        <v>183</v>
      </c>
      <c r="BR178" s="100"/>
      <c r="BS178" s="100"/>
      <c r="BT178" s="99" t="s">
        <v>183</v>
      </c>
      <c r="BU178" s="100"/>
      <c r="BV178" s="100"/>
      <c r="BW178" s="85"/>
      <c r="BX178" s="85" t="s">
        <v>229</v>
      </c>
      <c r="BY178" s="83" t="s">
        <v>229</v>
      </c>
      <c r="BZ178" s="102">
        <v>2016</v>
      </c>
      <c r="CA178" s="98"/>
      <c r="CB178" s="98"/>
      <c r="CC178" s="103">
        <f t="shared" si="27"/>
        <v>114</v>
      </c>
      <c r="CD178" s="98"/>
      <c r="CE178" s="98"/>
      <c r="CF178" s="98"/>
      <c r="CG178" s="105">
        <v>1</v>
      </c>
      <c r="CH178" s="105" t="str">
        <f>IF(CK178=0,"",IF(V178="Persistent",5,IF(V178="Once",1,IF(V178="One-off",1,"manual overwrite"))))</f>
        <v/>
      </c>
      <c r="CI178" s="105"/>
      <c r="CJ178" s="98">
        <f t="shared" si="22"/>
        <v>0</v>
      </c>
      <c r="CK178" s="98">
        <f>IF(CA178="C",0,IF(P178="Het",0,IF(SUM(AG178,AO178)=0,0,1)))</f>
        <v>0</v>
      </c>
      <c r="CL178" s="106" t="e">
        <f>IF(G178="AUS",VLOOKUP(H178,$CU$5:$CW$23,2),IF(G178="NZ",VLOOKUP(H178,$CU$5:$CW$23,3),"error"))*AU178</f>
        <v>#N/A</v>
      </c>
      <c r="CM178" s="107" t="e">
        <f>IF(G178="AUS",VLOOKUP(H178,$CU$5:$CW$23,2),IF(G178="NZ",VLOOKUP(H178,$CU$5:$CW$23,3),"error"))*AX178</f>
        <v>#N/A</v>
      </c>
      <c r="CN178" s="106" t="e">
        <f>IF(G178="AUS",VLOOKUP(H178,$CU$5:$CW$23,2),IF(G178="NZ",VLOOKUP(H178,$CU$5:$CW$23,3),"error"))*BK178</f>
        <v>#N/A</v>
      </c>
    </row>
    <row r="179" spans="1:92" s="108" customFormat="1" ht="244.5">
      <c r="A179" s="83" t="str">
        <f t="shared" si="21"/>
        <v>Tobacco</v>
      </c>
      <c r="B179" s="84" t="s">
        <v>170</v>
      </c>
      <c r="C179" s="85"/>
      <c r="D179" s="86"/>
      <c r="E179" s="85" t="s">
        <v>172</v>
      </c>
      <c r="F179" s="85" t="str">
        <f t="shared" si="24"/>
        <v xml:space="preserve">Tobacco; ; Prevention ; </v>
      </c>
      <c r="G179" s="85" t="s">
        <v>205</v>
      </c>
      <c r="H179" s="85">
        <v>2011</v>
      </c>
      <c r="I179" s="85" t="str">
        <f>CONCATENATE(A179,", ",G179,": ",J179)</f>
        <v>Tobacco, NZ: Substantive tobacco retail  outlet reduction strategy (reducing the total number of outlets until 18 left in 2025)</v>
      </c>
      <c r="J179" s="87" t="s">
        <v>379</v>
      </c>
      <c r="K179" s="87" t="s">
        <v>233</v>
      </c>
      <c r="L179" s="87" t="s">
        <v>384</v>
      </c>
      <c r="M179" s="87" t="s">
        <v>385</v>
      </c>
      <c r="N179" s="87" t="s">
        <v>233</v>
      </c>
      <c r="O179" s="87" t="s">
        <v>386</v>
      </c>
      <c r="P179" s="85" t="s">
        <v>215</v>
      </c>
      <c r="Q179" s="85" t="str">
        <f>IF($P179="Main",J179,BX179)</f>
        <v xml:space="preserve">in non-Māori men age 0-14 yrs </v>
      </c>
      <c r="R179" s="85" t="str">
        <f>IF($P179="Main",CONCATENATE(J179,": ",G179),BY179)</f>
        <v xml:space="preserve">in non-Māori men age 0-14 yrs </v>
      </c>
      <c r="S179" s="85" t="s">
        <v>234</v>
      </c>
      <c r="T179" s="85" t="s">
        <v>235</v>
      </c>
      <c r="U179" s="85" t="s">
        <v>236</v>
      </c>
      <c r="V179" s="88"/>
      <c r="W179" s="88" t="s">
        <v>368</v>
      </c>
      <c r="X179" s="88" t="s">
        <v>199</v>
      </c>
      <c r="Y179" s="85"/>
      <c r="Z179" s="85"/>
      <c r="AA179" s="85"/>
      <c r="AB179" s="85"/>
      <c r="AC179" s="89">
        <v>0.03</v>
      </c>
      <c r="AD179" s="122"/>
      <c r="AE179" s="83"/>
      <c r="AF179" s="83"/>
      <c r="AG179" s="90">
        <v>2430</v>
      </c>
      <c r="AH179" s="90"/>
      <c r="AI179" s="90"/>
      <c r="AJ179" s="117">
        <v>340140</v>
      </c>
      <c r="AK179" s="92">
        <f t="shared" si="25"/>
        <v>7.1441171282413123</v>
      </c>
      <c r="AL179" s="92"/>
      <c r="AM179" s="92"/>
      <c r="AN179" s="93"/>
      <c r="AO179" s="94"/>
      <c r="AP179" s="94"/>
      <c r="AQ179" s="94"/>
      <c r="AR179" s="95">
        <v>-77000000</v>
      </c>
      <c r="AS179" s="95"/>
      <c r="AT179" s="95"/>
      <c r="AU179" s="95">
        <f t="shared" si="23"/>
        <v>-226377.37402246133</v>
      </c>
      <c r="AV179" s="95"/>
      <c r="AW179" s="95"/>
      <c r="AX179" s="95"/>
      <c r="AY179" s="95"/>
      <c r="AZ179" s="95"/>
      <c r="BA179" s="96"/>
      <c r="BB179" s="96"/>
      <c r="BC179" s="96"/>
      <c r="BD179" s="95"/>
      <c r="BE179" s="95"/>
      <c r="BF179" s="96"/>
      <c r="BG179" s="95"/>
      <c r="BH179" s="95"/>
      <c r="BI179" s="96"/>
      <c r="BJ179" s="97" t="s">
        <v>182</v>
      </c>
      <c r="BK179" s="98" t="str">
        <f t="shared" si="28"/>
        <v>Cost-saving</v>
      </c>
      <c r="BL179" s="98">
        <f t="shared" si="28"/>
        <v>0</v>
      </c>
      <c r="BM179" s="98">
        <f t="shared" si="28"/>
        <v>0</v>
      </c>
      <c r="BN179" s="99" t="s">
        <v>183</v>
      </c>
      <c r="BO179" s="100"/>
      <c r="BP179" s="100"/>
      <c r="BQ179" s="99" t="s">
        <v>183</v>
      </c>
      <c r="BR179" s="100"/>
      <c r="BS179" s="100"/>
      <c r="BT179" s="99" t="s">
        <v>183</v>
      </c>
      <c r="BU179" s="100"/>
      <c r="BV179" s="100"/>
      <c r="BW179" s="85"/>
      <c r="BX179" s="85" t="s">
        <v>387</v>
      </c>
      <c r="BY179" s="83" t="s">
        <v>387</v>
      </c>
      <c r="BZ179" s="102">
        <v>2016</v>
      </c>
      <c r="CA179" s="98"/>
      <c r="CB179" s="98"/>
      <c r="CC179" s="103">
        <f t="shared" si="27"/>
        <v>114</v>
      </c>
      <c r="CD179" s="98"/>
      <c r="CE179" s="98"/>
      <c r="CF179" s="98"/>
      <c r="CG179" s="105">
        <v>1</v>
      </c>
      <c r="CH179" s="105" t="str">
        <f>IF(CK179=0,"",IF(V179="Persistent",5,IF(V179="Once",1,IF(V179="One-off",1,"manual overwrite"))))</f>
        <v/>
      </c>
      <c r="CI179" s="105"/>
      <c r="CJ179" s="98">
        <f t="shared" si="22"/>
        <v>0</v>
      </c>
      <c r="CK179" s="98">
        <f>IF(CA179="C",0,IF(P179="Het",0,IF(SUM(AG179,AO179)=0,0,1)))</f>
        <v>0</v>
      </c>
      <c r="CL179" s="106" t="e">
        <f>IF(G179="AUS",VLOOKUP(H179,$CU$5:$CW$23,2),IF(G179="NZ",VLOOKUP(H179,$CU$5:$CW$23,3),"error"))*AU179</f>
        <v>#N/A</v>
      </c>
      <c r="CM179" s="107" t="e">
        <f>IF(G179="AUS",VLOOKUP(H179,$CU$5:$CW$23,2),IF(G179="NZ",VLOOKUP(H179,$CU$5:$CW$23,3),"error"))*AX179</f>
        <v>#N/A</v>
      </c>
      <c r="CN179" s="106" t="e">
        <f>IF(G179="AUS",VLOOKUP(H179,$CU$5:$CW$23,2),IF(G179="NZ",VLOOKUP(H179,$CU$5:$CW$23,3),"error"))*BK179</f>
        <v>#N/A</v>
      </c>
    </row>
    <row r="180" spans="1:92" s="108" customFormat="1" ht="244.5">
      <c r="A180" s="83" t="str">
        <f t="shared" si="21"/>
        <v>Tobacco</v>
      </c>
      <c r="B180" s="84" t="s">
        <v>170</v>
      </c>
      <c r="C180" s="85"/>
      <c r="D180" s="86"/>
      <c r="E180" s="85" t="s">
        <v>172</v>
      </c>
      <c r="F180" s="85" t="str">
        <f t="shared" si="24"/>
        <v xml:space="preserve">Tobacco; ; Prevention ; </v>
      </c>
      <c r="G180" s="85" t="s">
        <v>205</v>
      </c>
      <c r="H180" s="85">
        <v>2011</v>
      </c>
      <c r="I180" s="85" t="str">
        <f>CONCATENATE(A180,", ",G180,": ",J180)</f>
        <v>Tobacco, NZ: Substantive tobacco retail  outlet reduction strategy (reducing the total number of outlets until 18 left in 2025)</v>
      </c>
      <c r="J180" s="87" t="s">
        <v>379</v>
      </c>
      <c r="K180" s="87" t="s">
        <v>233</v>
      </c>
      <c r="L180" s="87" t="s">
        <v>384</v>
      </c>
      <c r="M180" s="87" t="s">
        <v>385</v>
      </c>
      <c r="N180" s="87" t="s">
        <v>233</v>
      </c>
      <c r="O180" s="87" t="s">
        <v>386</v>
      </c>
      <c r="P180" s="85" t="s">
        <v>215</v>
      </c>
      <c r="Q180" s="85" t="str">
        <f>IF($P180="Main",J180,BX180)</f>
        <v>in non-Māori men age 15-24 yrs</v>
      </c>
      <c r="R180" s="85" t="str">
        <f>IF($P180="Main",CONCATENATE(J180,": ",G180),BY180)</f>
        <v>in non-Māori men age 15-24 yrs</v>
      </c>
      <c r="S180" s="85" t="s">
        <v>239</v>
      </c>
      <c r="T180" s="85" t="s">
        <v>235</v>
      </c>
      <c r="U180" s="85" t="s">
        <v>236</v>
      </c>
      <c r="V180" s="88"/>
      <c r="W180" s="88" t="s">
        <v>368</v>
      </c>
      <c r="X180" s="88" t="s">
        <v>199</v>
      </c>
      <c r="Y180" s="85"/>
      <c r="Z180" s="85"/>
      <c r="AA180" s="85"/>
      <c r="AB180" s="85"/>
      <c r="AC180" s="89">
        <v>0.03</v>
      </c>
      <c r="AD180" s="122"/>
      <c r="AE180" s="83"/>
      <c r="AF180" s="83"/>
      <c r="AG180" s="90">
        <v>2020</v>
      </c>
      <c r="AH180" s="90"/>
      <c r="AI180" s="90"/>
      <c r="AJ180" s="117">
        <v>266130</v>
      </c>
      <c r="AK180" s="92">
        <f t="shared" si="25"/>
        <v>7.5902754293014691</v>
      </c>
      <c r="AL180" s="92"/>
      <c r="AM180" s="92"/>
      <c r="AN180" s="93"/>
      <c r="AO180" s="94"/>
      <c r="AP180" s="94"/>
      <c r="AQ180" s="94"/>
      <c r="AR180" s="95">
        <v>-59000000</v>
      </c>
      <c r="AS180" s="95"/>
      <c r="AT180" s="95"/>
      <c r="AU180" s="95">
        <f t="shared" si="23"/>
        <v>-221696.16352910231</v>
      </c>
      <c r="AV180" s="95"/>
      <c r="AW180" s="95"/>
      <c r="AX180" s="95"/>
      <c r="AY180" s="95"/>
      <c r="AZ180" s="95"/>
      <c r="BA180" s="96"/>
      <c r="BB180" s="96"/>
      <c r="BC180" s="96"/>
      <c r="BD180" s="95"/>
      <c r="BE180" s="95"/>
      <c r="BF180" s="96"/>
      <c r="BG180" s="95"/>
      <c r="BH180" s="95"/>
      <c r="BI180" s="96"/>
      <c r="BJ180" s="97" t="s">
        <v>182</v>
      </c>
      <c r="BK180" s="98" t="str">
        <f t="shared" si="28"/>
        <v>Cost-saving</v>
      </c>
      <c r="BL180" s="98">
        <f t="shared" si="28"/>
        <v>0</v>
      </c>
      <c r="BM180" s="98">
        <f t="shared" si="28"/>
        <v>0</v>
      </c>
      <c r="BN180" s="99" t="s">
        <v>183</v>
      </c>
      <c r="BO180" s="100"/>
      <c r="BP180" s="100"/>
      <c r="BQ180" s="99" t="s">
        <v>183</v>
      </c>
      <c r="BR180" s="100"/>
      <c r="BS180" s="100"/>
      <c r="BT180" s="99" t="s">
        <v>183</v>
      </c>
      <c r="BU180" s="100"/>
      <c r="BV180" s="100"/>
      <c r="BW180" s="85"/>
      <c r="BX180" s="85" t="s">
        <v>240</v>
      </c>
      <c r="BY180" s="83" t="s">
        <v>240</v>
      </c>
      <c r="BZ180" s="102">
        <v>2016</v>
      </c>
      <c r="CA180" s="98"/>
      <c r="CB180" s="98"/>
      <c r="CC180" s="103">
        <f t="shared" si="27"/>
        <v>114</v>
      </c>
      <c r="CD180" s="98"/>
      <c r="CE180" s="98"/>
      <c r="CF180" s="98"/>
      <c r="CG180" s="105">
        <v>1</v>
      </c>
      <c r="CH180" s="105" t="str">
        <f>IF(CK180=0,"",IF(V180="Persistent",5,IF(V180="Once",1,IF(V180="One-off",1,"manual overwrite"))))</f>
        <v/>
      </c>
      <c r="CI180" s="105"/>
      <c r="CJ180" s="98">
        <f t="shared" si="22"/>
        <v>0</v>
      </c>
      <c r="CK180" s="98">
        <f>IF(CA180="C",0,IF(P180="Het",0,IF(SUM(AG180,AO180)=0,0,1)))</f>
        <v>0</v>
      </c>
      <c r="CL180" s="106" t="e">
        <f>IF(G180="AUS",VLOOKUP(H180,$CU$5:$CW$23,2),IF(G180="NZ",VLOOKUP(H180,$CU$5:$CW$23,3),"error"))*AU180</f>
        <v>#N/A</v>
      </c>
      <c r="CM180" s="107" t="e">
        <f>IF(G180="AUS",VLOOKUP(H180,$CU$5:$CW$23,2),IF(G180="NZ",VLOOKUP(H180,$CU$5:$CW$23,3),"error"))*AX180</f>
        <v>#N/A</v>
      </c>
      <c r="CN180" s="106" t="e">
        <f>IF(G180="AUS",VLOOKUP(H180,$CU$5:$CW$23,2),IF(G180="NZ",VLOOKUP(H180,$CU$5:$CW$23,3),"error"))*BK180</f>
        <v>#N/A</v>
      </c>
    </row>
    <row r="181" spans="1:92" s="108" customFormat="1" ht="244.5">
      <c r="A181" s="83" t="str">
        <f t="shared" si="21"/>
        <v>Tobacco</v>
      </c>
      <c r="B181" s="84" t="s">
        <v>170</v>
      </c>
      <c r="C181" s="85"/>
      <c r="D181" s="86"/>
      <c r="E181" s="85" t="s">
        <v>172</v>
      </c>
      <c r="F181" s="85" t="str">
        <f t="shared" si="24"/>
        <v xml:space="preserve">Tobacco; ; Prevention ; </v>
      </c>
      <c r="G181" s="85" t="s">
        <v>205</v>
      </c>
      <c r="H181" s="85">
        <v>2011</v>
      </c>
      <c r="I181" s="85" t="str">
        <f>CONCATENATE(A181,", ",G181,": ",J181)</f>
        <v>Tobacco, NZ: Substantive tobacco retail  outlet reduction strategy (reducing the total number of outlets until 18 left in 2025)</v>
      </c>
      <c r="J181" s="87" t="s">
        <v>379</v>
      </c>
      <c r="K181" s="87" t="s">
        <v>233</v>
      </c>
      <c r="L181" s="87" t="s">
        <v>384</v>
      </c>
      <c r="M181" s="87" t="s">
        <v>385</v>
      </c>
      <c r="N181" s="87" t="s">
        <v>233</v>
      </c>
      <c r="O181" s="87" t="s">
        <v>386</v>
      </c>
      <c r="P181" s="85" t="s">
        <v>215</v>
      </c>
      <c r="Q181" s="85" t="str">
        <f>IF($P181="Main",J181,BX181)</f>
        <v>in non-Māori men age 25-44 yrs</v>
      </c>
      <c r="R181" s="85" t="str">
        <f>IF($P181="Main",CONCATENATE(J181,": ",G181),BY181)</f>
        <v>in non-Māori men age 25-44 yrs</v>
      </c>
      <c r="S181" s="85" t="s">
        <v>241</v>
      </c>
      <c r="T181" s="85" t="s">
        <v>235</v>
      </c>
      <c r="U181" s="85" t="s">
        <v>236</v>
      </c>
      <c r="V181" s="88"/>
      <c r="W181" s="88" t="s">
        <v>368</v>
      </c>
      <c r="X181" s="88" t="s">
        <v>199</v>
      </c>
      <c r="Y181" s="85"/>
      <c r="Z181" s="85"/>
      <c r="AA181" s="85"/>
      <c r="AB181" s="85"/>
      <c r="AC181" s="89">
        <v>0.03</v>
      </c>
      <c r="AD181" s="122"/>
      <c r="AE181" s="83"/>
      <c r="AF181" s="83"/>
      <c r="AG181" s="90">
        <v>2760</v>
      </c>
      <c r="AH181" s="90"/>
      <c r="AI181" s="90"/>
      <c r="AJ181" s="117">
        <v>486350</v>
      </c>
      <c r="AK181" s="92">
        <f t="shared" si="25"/>
        <v>5.6749254651999594</v>
      </c>
      <c r="AL181" s="92"/>
      <c r="AM181" s="92"/>
      <c r="AN181" s="93"/>
      <c r="AO181" s="94"/>
      <c r="AP181" s="94"/>
      <c r="AQ181" s="94"/>
      <c r="AR181" s="95">
        <v>-64000000</v>
      </c>
      <c r="AS181" s="95"/>
      <c r="AT181" s="95"/>
      <c r="AU181" s="95">
        <f t="shared" si="23"/>
        <v>-131592.47455536138</v>
      </c>
      <c r="AV181" s="95"/>
      <c r="AW181" s="95"/>
      <c r="AX181" s="95"/>
      <c r="AY181" s="95"/>
      <c r="AZ181" s="95"/>
      <c r="BA181" s="96"/>
      <c r="BB181" s="96"/>
      <c r="BC181" s="96"/>
      <c r="BD181" s="95"/>
      <c r="BE181" s="95"/>
      <c r="BF181" s="96"/>
      <c r="BG181" s="95"/>
      <c r="BH181" s="95"/>
      <c r="BI181" s="96"/>
      <c r="BJ181" s="97" t="s">
        <v>182</v>
      </c>
      <c r="BK181" s="98" t="str">
        <f t="shared" si="28"/>
        <v>Cost-saving</v>
      </c>
      <c r="BL181" s="98">
        <f t="shared" si="28"/>
        <v>0</v>
      </c>
      <c r="BM181" s="98">
        <f t="shared" si="28"/>
        <v>0</v>
      </c>
      <c r="BN181" s="99" t="s">
        <v>183</v>
      </c>
      <c r="BO181" s="100"/>
      <c r="BP181" s="100"/>
      <c r="BQ181" s="99" t="s">
        <v>183</v>
      </c>
      <c r="BR181" s="100"/>
      <c r="BS181" s="100"/>
      <c r="BT181" s="99" t="s">
        <v>183</v>
      </c>
      <c r="BU181" s="100"/>
      <c r="BV181" s="100"/>
      <c r="BW181" s="85"/>
      <c r="BX181" s="85" t="s">
        <v>242</v>
      </c>
      <c r="BY181" s="83" t="s">
        <v>242</v>
      </c>
      <c r="BZ181" s="102">
        <v>2016</v>
      </c>
      <c r="CA181" s="98"/>
      <c r="CB181" s="98"/>
      <c r="CC181" s="103">
        <f t="shared" si="27"/>
        <v>114</v>
      </c>
      <c r="CD181" s="98"/>
      <c r="CE181" s="98"/>
      <c r="CF181" s="98"/>
      <c r="CG181" s="105">
        <v>1</v>
      </c>
      <c r="CH181" s="105" t="str">
        <f>IF(CK181=0,"",IF(V181="Persistent",5,IF(V181="Once",1,IF(V181="One-off",1,"manual overwrite"))))</f>
        <v/>
      </c>
      <c r="CI181" s="105"/>
      <c r="CJ181" s="98">
        <f t="shared" si="22"/>
        <v>0</v>
      </c>
      <c r="CK181" s="98">
        <f>IF(CA181="C",0,IF(P181="Het",0,IF(SUM(AG181,AO181)=0,0,1)))</f>
        <v>0</v>
      </c>
      <c r="CL181" s="106" t="e">
        <f>IF(G181="AUS",VLOOKUP(H181,$CU$5:$CW$23,2),IF(G181="NZ",VLOOKUP(H181,$CU$5:$CW$23,3),"error"))*AU181</f>
        <v>#N/A</v>
      </c>
      <c r="CM181" s="107" t="e">
        <f>IF(G181="AUS",VLOOKUP(H181,$CU$5:$CW$23,2),IF(G181="NZ",VLOOKUP(H181,$CU$5:$CW$23,3),"error"))*AX181</f>
        <v>#N/A</v>
      </c>
      <c r="CN181" s="106" t="e">
        <f>IF(G181="AUS",VLOOKUP(H181,$CU$5:$CW$23,2),IF(G181="NZ",VLOOKUP(H181,$CU$5:$CW$23,3),"error"))*BK181</f>
        <v>#N/A</v>
      </c>
    </row>
    <row r="182" spans="1:92" s="108" customFormat="1" ht="244.5">
      <c r="A182" s="83" t="str">
        <f t="shared" si="21"/>
        <v>Tobacco</v>
      </c>
      <c r="B182" s="84" t="s">
        <v>170</v>
      </c>
      <c r="C182" s="85"/>
      <c r="D182" s="86"/>
      <c r="E182" s="85" t="s">
        <v>172</v>
      </c>
      <c r="F182" s="85" t="str">
        <f t="shared" si="24"/>
        <v xml:space="preserve">Tobacco; ; Prevention ; </v>
      </c>
      <c r="G182" s="85" t="s">
        <v>205</v>
      </c>
      <c r="H182" s="85">
        <v>2011</v>
      </c>
      <c r="I182" s="85" t="str">
        <f>CONCATENATE(A182,", ",G182,": ",J182)</f>
        <v>Tobacco, NZ: Substantive tobacco retail  outlet reduction strategy (reducing the total number of outlets until 18 left in 2025)</v>
      </c>
      <c r="J182" s="87" t="s">
        <v>379</v>
      </c>
      <c r="K182" s="87" t="s">
        <v>233</v>
      </c>
      <c r="L182" s="87" t="s">
        <v>384</v>
      </c>
      <c r="M182" s="87" t="s">
        <v>385</v>
      </c>
      <c r="N182" s="87" t="s">
        <v>233</v>
      </c>
      <c r="O182" s="87" t="s">
        <v>386</v>
      </c>
      <c r="P182" s="85" t="s">
        <v>215</v>
      </c>
      <c r="Q182" s="85" t="str">
        <f>IF($P182="Main",J182,BX182)</f>
        <v>in non-Māori men age 45-64 yrs</v>
      </c>
      <c r="R182" s="85" t="str">
        <f>IF($P182="Main",CONCATENATE(J182,": ",G182),BY182)</f>
        <v>in non-Māori men age 45-64 yrs</v>
      </c>
      <c r="S182" s="85" t="s">
        <v>244</v>
      </c>
      <c r="T182" s="85" t="s">
        <v>235</v>
      </c>
      <c r="U182" s="85" t="s">
        <v>236</v>
      </c>
      <c r="V182" s="88"/>
      <c r="W182" s="88" t="s">
        <v>368</v>
      </c>
      <c r="X182" s="88" t="s">
        <v>199</v>
      </c>
      <c r="Y182" s="85"/>
      <c r="Z182" s="85"/>
      <c r="AA182" s="85"/>
      <c r="AB182" s="85"/>
      <c r="AC182" s="89">
        <v>0.03</v>
      </c>
      <c r="AD182" s="122"/>
      <c r="AE182" s="83"/>
      <c r="AF182" s="83"/>
      <c r="AG182" s="90">
        <v>1330</v>
      </c>
      <c r="AH182" s="90"/>
      <c r="AI182" s="90"/>
      <c r="AJ182" s="117">
        <v>487380</v>
      </c>
      <c r="AK182" s="92">
        <f t="shared" si="25"/>
        <v>2.7288768517378639</v>
      </c>
      <c r="AL182" s="92"/>
      <c r="AM182" s="92"/>
      <c r="AN182" s="93"/>
      <c r="AO182" s="94"/>
      <c r="AP182" s="94"/>
      <c r="AQ182" s="94"/>
      <c r="AR182" s="95">
        <v>-21000000</v>
      </c>
      <c r="AS182" s="95"/>
      <c r="AT182" s="95"/>
      <c r="AU182" s="95">
        <f t="shared" si="23"/>
        <v>-43087.529237966271</v>
      </c>
      <c r="AV182" s="95"/>
      <c r="AW182" s="95"/>
      <c r="AX182" s="95"/>
      <c r="AY182" s="95"/>
      <c r="AZ182" s="95"/>
      <c r="BA182" s="96"/>
      <c r="BB182" s="96"/>
      <c r="BC182" s="96"/>
      <c r="BD182" s="95"/>
      <c r="BE182" s="95"/>
      <c r="BF182" s="96"/>
      <c r="BG182" s="95"/>
      <c r="BH182" s="95"/>
      <c r="BI182" s="96"/>
      <c r="BJ182" s="97" t="s">
        <v>182</v>
      </c>
      <c r="BK182" s="98" t="str">
        <f t="shared" si="28"/>
        <v>Cost-saving</v>
      </c>
      <c r="BL182" s="98">
        <f t="shared" si="28"/>
        <v>0</v>
      </c>
      <c r="BM182" s="98">
        <f t="shared" si="28"/>
        <v>0</v>
      </c>
      <c r="BN182" s="99" t="s">
        <v>183</v>
      </c>
      <c r="BO182" s="100"/>
      <c r="BP182" s="100"/>
      <c r="BQ182" s="99" t="s">
        <v>183</v>
      </c>
      <c r="BR182" s="100"/>
      <c r="BS182" s="100"/>
      <c r="BT182" s="99" t="s">
        <v>183</v>
      </c>
      <c r="BU182" s="100"/>
      <c r="BV182" s="100"/>
      <c r="BW182" s="85"/>
      <c r="BX182" s="85" t="s">
        <v>245</v>
      </c>
      <c r="BY182" s="83" t="s">
        <v>245</v>
      </c>
      <c r="BZ182" s="102">
        <v>2016</v>
      </c>
      <c r="CA182" s="98"/>
      <c r="CB182" s="98"/>
      <c r="CC182" s="103">
        <f t="shared" si="27"/>
        <v>114</v>
      </c>
      <c r="CD182" s="98"/>
      <c r="CE182" s="98"/>
      <c r="CF182" s="98"/>
      <c r="CG182" s="105">
        <v>1</v>
      </c>
      <c r="CH182" s="105" t="str">
        <f>IF(CK182=0,"",IF(V182="Persistent",5,IF(V182="Once",1,IF(V182="One-off",1,"manual overwrite"))))</f>
        <v/>
      </c>
      <c r="CI182" s="105"/>
      <c r="CJ182" s="98">
        <f t="shared" si="22"/>
        <v>0</v>
      </c>
      <c r="CK182" s="98">
        <f>IF(CA182="C",0,IF(P182="Het",0,IF(SUM(AG182,AO182)=0,0,1)))</f>
        <v>0</v>
      </c>
      <c r="CL182" s="106" t="e">
        <f>IF(G182="AUS",VLOOKUP(H182,$CU$5:$CW$23,2),IF(G182="NZ",VLOOKUP(H182,$CU$5:$CW$23,3),"error"))*AU182</f>
        <v>#N/A</v>
      </c>
      <c r="CM182" s="107" t="e">
        <f>IF(G182="AUS",VLOOKUP(H182,$CU$5:$CW$23,2),IF(G182="NZ",VLOOKUP(H182,$CU$5:$CW$23,3),"error"))*AX182</f>
        <v>#N/A</v>
      </c>
      <c r="CN182" s="106" t="e">
        <f>IF(G182="AUS",VLOOKUP(H182,$CU$5:$CW$23,2),IF(G182="NZ",VLOOKUP(H182,$CU$5:$CW$23,3),"error"))*BK182</f>
        <v>#N/A</v>
      </c>
    </row>
    <row r="183" spans="1:92" s="108" customFormat="1" ht="244.5">
      <c r="A183" s="83" t="str">
        <f t="shared" si="21"/>
        <v>Tobacco</v>
      </c>
      <c r="B183" s="84" t="s">
        <v>170</v>
      </c>
      <c r="C183" s="85"/>
      <c r="D183" s="86"/>
      <c r="E183" s="85" t="s">
        <v>172</v>
      </c>
      <c r="F183" s="85" t="str">
        <f t="shared" si="24"/>
        <v xml:space="preserve">Tobacco; ; Prevention ; </v>
      </c>
      <c r="G183" s="85" t="s">
        <v>205</v>
      </c>
      <c r="H183" s="85">
        <v>2011</v>
      </c>
      <c r="I183" s="85" t="str">
        <f>CONCATENATE(A183,", ",G183,": ",J183)</f>
        <v>Tobacco, NZ: Substantive tobacco retail  outlet reduction strategy (reducing the total number of outlets until 18 left in 2025)</v>
      </c>
      <c r="J183" s="87" t="s">
        <v>379</v>
      </c>
      <c r="K183" s="87" t="s">
        <v>233</v>
      </c>
      <c r="L183" s="87" t="s">
        <v>384</v>
      </c>
      <c r="M183" s="87" t="s">
        <v>385</v>
      </c>
      <c r="N183" s="87" t="s">
        <v>233</v>
      </c>
      <c r="O183" s="87" t="s">
        <v>386</v>
      </c>
      <c r="P183" s="85" t="s">
        <v>215</v>
      </c>
      <c r="Q183" s="85" t="str">
        <f>IF($P183="Main",J183,BX183)</f>
        <v xml:space="preserve">in non-Māori men age 65+ yrs </v>
      </c>
      <c r="R183" s="85" t="str">
        <f>IF($P183="Main",CONCATENATE(J183,": ",G183),BY183)</f>
        <v xml:space="preserve">in non-Māori men age 65+ yrs </v>
      </c>
      <c r="S183" s="85" t="s">
        <v>247</v>
      </c>
      <c r="T183" s="85" t="s">
        <v>235</v>
      </c>
      <c r="U183" s="85" t="s">
        <v>236</v>
      </c>
      <c r="V183" s="88"/>
      <c r="W183" s="88" t="s">
        <v>368</v>
      </c>
      <c r="X183" s="88" t="s">
        <v>199</v>
      </c>
      <c r="Y183" s="85"/>
      <c r="Z183" s="85"/>
      <c r="AA183" s="85"/>
      <c r="AB183" s="85"/>
      <c r="AC183" s="89">
        <v>0.03</v>
      </c>
      <c r="AD183" s="122"/>
      <c r="AE183" s="83"/>
      <c r="AF183" s="83"/>
      <c r="AG183" s="90">
        <v>93</v>
      </c>
      <c r="AH183" s="90"/>
      <c r="AI183" s="90"/>
      <c r="AJ183" s="117">
        <v>253710</v>
      </c>
      <c r="AK183" s="92">
        <f t="shared" si="25"/>
        <v>0.36656024595010051</v>
      </c>
      <c r="AL183" s="92"/>
      <c r="AM183" s="92"/>
      <c r="AN183" s="93"/>
      <c r="AO183" s="94"/>
      <c r="AP183" s="94"/>
      <c r="AQ183" s="94"/>
      <c r="AR183" s="95">
        <v>-780000</v>
      </c>
      <c r="AS183" s="95"/>
      <c r="AT183" s="95"/>
      <c r="AU183" s="95">
        <f t="shared" si="23"/>
        <v>-3074.3762563556816</v>
      </c>
      <c r="AV183" s="95"/>
      <c r="AW183" s="95"/>
      <c r="AX183" s="95"/>
      <c r="AY183" s="95"/>
      <c r="AZ183" s="95"/>
      <c r="BA183" s="96"/>
      <c r="BB183" s="96"/>
      <c r="BC183" s="96"/>
      <c r="BD183" s="95"/>
      <c r="BE183" s="95"/>
      <c r="BF183" s="96"/>
      <c r="BG183" s="95"/>
      <c r="BH183" s="95"/>
      <c r="BI183" s="96"/>
      <c r="BJ183" s="97" t="s">
        <v>182</v>
      </c>
      <c r="BK183" s="98" t="str">
        <f t="shared" si="28"/>
        <v>Cost-saving</v>
      </c>
      <c r="BL183" s="98">
        <f t="shared" si="28"/>
        <v>0</v>
      </c>
      <c r="BM183" s="98">
        <f t="shared" si="28"/>
        <v>0</v>
      </c>
      <c r="BN183" s="99" t="s">
        <v>183</v>
      </c>
      <c r="BO183" s="100"/>
      <c r="BP183" s="100"/>
      <c r="BQ183" s="99" t="s">
        <v>183</v>
      </c>
      <c r="BR183" s="100"/>
      <c r="BS183" s="100"/>
      <c r="BT183" s="99" t="s">
        <v>183</v>
      </c>
      <c r="BU183" s="100"/>
      <c r="BV183" s="100"/>
      <c r="BW183" s="85"/>
      <c r="BX183" s="85" t="s">
        <v>248</v>
      </c>
      <c r="BY183" s="83" t="s">
        <v>248</v>
      </c>
      <c r="BZ183" s="102">
        <v>2016</v>
      </c>
      <c r="CA183" s="98"/>
      <c r="CB183" s="98"/>
      <c r="CC183" s="103">
        <f t="shared" si="27"/>
        <v>114</v>
      </c>
      <c r="CD183" s="98"/>
      <c r="CE183" s="98"/>
      <c r="CF183" s="98"/>
      <c r="CG183" s="105">
        <v>1</v>
      </c>
      <c r="CH183" s="105" t="str">
        <f>IF(CK183=0,"",IF(V183="Persistent",5,IF(V183="Once",1,IF(V183="One-off",1,"manual overwrite"))))</f>
        <v/>
      </c>
      <c r="CI183" s="105"/>
      <c r="CJ183" s="98">
        <f t="shared" si="22"/>
        <v>0</v>
      </c>
      <c r="CK183" s="98">
        <f>IF(CA183="C",0,IF(P183="Het",0,IF(SUM(AG183,AO183)=0,0,1)))</f>
        <v>0</v>
      </c>
      <c r="CL183" s="106" t="e">
        <f>IF(G183="AUS",VLOOKUP(H183,$CU$5:$CW$23,2),IF(G183="NZ",VLOOKUP(H183,$CU$5:$CW$23,3),"error"))*AU183</f>
        <v>#N/A</v>
      </c>
      <c r="CM183" s="107" t="e">
        <f>IF(G183="AUS",VLOOKUP(H183,$CU$5:$CW$23,2),IF(G183="NZ",VLOOKUP(H183,$CU$5:$CW$23,3),"error"))*AX183</f>
        <v>#N/A</v>
      </c>
      <c r="CN183" s="106" t="e">
        <f>IF(G183="AUS",VLOOKUP(H183,$CU$5:$CW$23,2),IF(G183="NZ",VLOOKUP(H183,$CU$5:$CW$23,3),"error"))*BK183</f>
        <v>#N/A</v>
      </c>
    </row>
    <row r="184" spans="1:92" s="108" customFormat="1" ht="244.5" hidden="1">
      <c r="A184" s="83" t="str">
        <f t="shared" si="21"/>
        <v>Tobacco</v>
      </c>
      <c r="B184" s="84" t="s">
        <v>170</v>
      </c>
      <c r="C184" s="85"/>
      <c r="D184" s="86"/>
      <c r="E184" s="85" t="s">
        <v>172</v>
      </c>
      <c r="F184" s="85" t="str">
        <f t="shared" si="24"/>
        <v xml:space="preserve">Tobacco; ; Prevention ; </v>
      </c>
      <c r="G184" s="85" t="s">
        <v>205</v>
      </c>
      <c r="H184" s="85">
        <v>2011</v>
      </c>
      <c r="I184" s="85" t="str">
        <f>CONCATENATE(A184,", ",G184,": ",J184)</f>
        <v>Tobacco, NZ: Substantive tobacco retail  outlet reduction strategy (reducing the total number of outlets until 18 left in 2025)</v>
      </c>
      <c r="J184" s="87" t="s">
        <v>379</v>
      </c>
      <c r="K184" s="87" t="s">
        <v>233</v>
      </c>
      <c r="L184" s="87" t="s">
        <v>384</v>
      </c>
      <c r="M184" s="87"/>
      <c r="N184" s="87" t="s">
        <v>233</v>
      </c>
      <c r="O184" s="87"/>
      <c r="P184" s="85" t="s">
        <v>215</v>
      </c>
      <c r="Q184" s="85" t="str">
        <f>IF($P184="Main",J184,BX184)</f>
        <v xml:space="preserve">in non-Māori women </v>
      </c>
      <c r="R184" s="85" t="str">
        <f>IF($P184="Main",CONCATENATE(J184,": ",G184),BY184)</f>
        <v xml:space="preserve">in non-Māori women </v>
      </c>
      <c r="S184" s="85"/>
      <c r="T184" s="85"/>
      <c r="U184" s="85"/>
      <c r="V184" s="88"/>
      <c r="W184" s="88"/>
      <c r="X184" s="88"/>
      <c r="Y184" s="85"/>
      <c r="Z184" s="85"/>
      <c r="AA184" s="85"/>
      <c r="AB184" s="85"/>
      <c r="AC184" s="89">
        <v>0.03</v>
      </c>
      <c r="AD184" s="122"/>
      <c r="AE184" s="83"/>
      <c r="AF184" s="83"/>
      <c r="AG184" s="90">
        <v>7030</v>
      </c>
      <c r="AH184" s="90"/>
      <c r="AI184" s="90"/>
      <c r="AJ184" s="91">
        <v>1897360</v>
      </c>
      <c r="AK184" s="92">
        <f t="shared" si="25"/>
        <v>3.7051482059282375</v>
      </c>
      <c r="AL184" s="92"/>
      <c r="AM184" s="92"/>
      <c r="AN184" s="93"/>
      <c r="AO184" s="94"/>
      <c r="AP184" s="94"/>
      <c r="AQ184" s="94"/>
      <c r="AR184" s="95">
        <v>-154000000</v>
      </c>
      <c r="AS184" s="95"/>
      <c r="AT184" s="95"/>
      <c r="AU184" s="95">
        <f t="shared" si="23"/>
        <v>-81165.408778513302</v>
      </c>
      <c r="AV184" s="95"/>
      <c r="AW184" s="95"/>
      <c r="AX184" s="95"/>
      <c r="AY184" s="95"/>
      <c r="AZ184" s="95"/>
      <c r="BA184" s="96"/>
      <c r="BB184" s="96"/>
      <c r="BC184" s="96"/>
      <c r="BD184" s="95"/>
      <c r="BE184" s="95"/>
      <c r="BF184" s="96"/>
      <c r="BG184" s="95"/>
      <c r="BH184" s="95"/>
      <c r="BI184" s="96"/>
      <c r="BJ184" s="97" t="s">
        <v>182</v>
      </c>
      <c r="BK184" s="98" t="str">
        <f t="shared" si="28"/>
        <v>Cost-saving</v>
      </c>
      <c r="BL184" s="98">
        <f t="shared" si="28"/>
        <v>0</v>
      </c>
      <c r="BM184" s="98">
        <f t="shared" si="28"/>
        <v>0</v>
      </c>
      <c r="BN184" s="99" t="s">
        <v>183</v>
      </c>
      <c r="BO184" s="100"/>
      <c r="BP184" s="100"/>
      <c r="BQ184" s="99" t="s">
        <v>183</v>
      </c>
      <c r="BR184" s="100"/>
      <c r="BS184" s="100"/>
      <c r="BT184" s="99" t="s">
        <v>183</v>
      </c>
      <c r="BU184" s="100"/>
      <c r="BV184" s="100"/>
      <c r="BW184" s="85"/>
      <c r="BX184" s="85" t="s">
        <v>320</v>
      </c>
      <c r="BY184" s="83" t="s">
        <v>320</v>
      </c>
      <c r="BZ184" s="102">
        <v>2016</v>
      </c>
      <c r="CA184" s="98"/>
      <c r="CB184" s="98"/>
      <c r="CC184" s="103">
        <f t="shared" si="27"/>
        <v>114</v>
      </c>
      <c r="CD184" s="98"/>
      <c r="CE184" s="98"/>
      <c r="CF184" s="98"/>
      <c r="CG184" s="105">
        <v>1</v>
      </c>
      <c r="CH184" s="105" t="str">
        <f>IF(CK184=0,"",IF(V184="Persistent",5,IF(V184="Once",1,IF(V184="One-off",1,"manual overwrite"))))</f>
        <v/>
      </c>
      <c r="CI184" s="105"/>
      <c r="CJ184" s="98">
        <f t="shared" si="22"/>
        <v>0</v>
      </c>
      <c r="CK184" s="98">
        <f>IF(CA184="C",0,IF(P184="Het",0,IF(SUM(AG184,AO184)=0,0,1)))</f>
        <v>0</v>
      </c>
      <c r="CL184" s="106" t="e">
        <f>IF(G184="AUS",VLOOKUP(H184,$CU$5:$CW$23,2),IF(G184="NZ",VLOOKUP(H184,$CU$5:$CW$23,3),"error"))*AU184</f>
        <v>#N/A</v>
      </c>
      <c r="CM184" s="107" t="e">
        <f>IF(G184="AUS",VLOOKUP(H184,$CU$5:$CW$23,2),IF(G184="NZ",VLOOKUP(H184,$CU$5:$CW$23,3),"error"))*AX184</f>
        <v>#N/A</v>
      </c>
      <c r="CN184" s="106" t="e">
        <f>IF(G184="AUS",VLOOKUP(H184,$CU$5:$CW$23,2),IF(G184="NZ",VLOOKUP(H184,$CU$5:$CW$23,3),"error"))*BK184</f>
        <v>#N/A</v>
      </c>
    </row>
    <row r="185" spans="1:92" s="108" customFormat="1" ht="244.5">
      <c r="A185" s="83" t="str">
        <f t="shared" si="21"/>
        <v>Tobacco</v>
      </c>
      <c r="B185" s="84" t="s">
        <v>170</v>
      </c>
      <c r="C185" s="85"/>
      <c r="D185" s="86"/>
      <c r="E185" s="85" t="s">
        <v>172</v>
      </c>
      <c r="F185" s="85" t="str">
        <f t="shared" si="24"/>
        <v xml:space="preserve">Tobacco; ; Prevention ; </v>
      </c>
      <c r="G185" s="85" t="s">
        <v>205</v>
      </c>
      <c r="H185" s="85">
        <v>2011</v>
      </c>
      <c r="I185" s="85" t="str">
        <f>CONCATENATE(A185,", ",G185,": ",J185)</f>
        <v>Tobacco, NZ: Substantive tobacco retail  outlet reduction strategy (reducing the total number of outlets until 18 left in 2025)</v>
      </c>
      <c r="J185" s="87" t="s">
        <v>379</v>
      </c>
      <c r="K185" s="87" t="s">
        <v>233</v>
      </c>
      <c r="L185" s="87" t="s">
        <v>384</v>
      </c>
      <c r="M185" s="87" t="s">
        <v>385</v>
      </c>
      <c r="N185" s="87" t="s">
        <v>233</v>
      </c>
      <c r="O185" s="87" t="s">
        <v>388</v>
      </c>
      <c r="P185" s="85" t="s">
        <v>215</v>
      </c>
      <c r="Q185" s="85" t="str">
        <f>IF($P185="Main",J185,BX185)</f>
        <v xml:space="preserve">in non-Māori women age 0-14 yrs </v>
      </c>
      <c r="R185" s="85" t="str">
        <f>IF($P185="Main",CONCATENATE(J185,": ",G185),BY185)</f>
        <v xml:space="preserve">in non-Māori women age 0-14 yrs </v>
      </c>
      <c r="S185" s="85" t="s">
        <v>234</v>
      </c>
      <c r="T185" s="85" t="s">
        <v>250</v>
      </c>
      <c r="U185" s="85" t="s">
        <v>236</v>
      </c>
      <c r="V185" s="88"/>
      <c r="W185" s="88" t="s">
        <v>368</v>
      </c>
      <c r="X185" s="88" t="s">
        <v>199</v>
      </c>
      <c r="Y185" s="85"/>
      <c r="Z185" s="85"/>
      <c r="AA185" s="85"/>
      <c r="AB185" s="85"/>
      <c r="AC185" s="89">
        <v>0.03</v>
      </c>
      <c r="AD185" s="122"/>
      <c r="AE185" s="83"/>
      <c r="AF185" s="83"/>
      <c r="AG185" s="90">
        <v>2040</v>
      </c>
      <c r="AH185" s="90"/>
      <c r="AI185" s="90"/>
      <c r="AJ185" s="91">
        <v>323780</v>
      </c>
      <c r="AK185" s="92">
        <f t="shared" si="25"/>
        <v>6.3005744641423194</v>
      </c>
      <c r="AL185" s="92"/>
      <c r="AM185" s="92"/>
      <c r="AN185" s="93"/>
      <c r="AO185" s="94"/>
      <c r="AP185" s="94"/>
      <c r="AQ185" s="94"/>
      <c r="AR185" s="95">
        <v>-54000000</v>
      </c>
      <c r="AS185" s="95"/>
      <c r="AT185" s="95"/>
      <c r="AU185" s="95">
        <f t="shared" si="23"/>
        <v>-166779.9122861202</v>
      </c>
      <c r="AV185" s="95"/>
      <c r="AW185" s="95"/>
      <c r="AX185" s="95"/>
      <c r="AY185" s="95"/>
      <c r="AZ185" s="95"/>
      <c r="BA185" s="96"/>
      <c r="BB185" s="96"/>
      <c r="BC185" s="96"/>
      <c r="BD185" s="95"/>
      <c r="BE185" s="95"/>
      <c r="BF185" s="96"/>
      <c r="BG185" s="95"/>
      <c r="BH185" s="95"/>
      <c r="BI185" s="96"/>
      <c r="BJ185" s="97" t="s">
        <v>182</v>
      </c>
      <c r="BK185" s="98" t="str">
        <f t="shared" si="28"/>
        <v>Cost-saving</v>
      </c>
      <c r="BL185" s="98">
        <f t="shared" si="28"/>
        <v>0</v>
      </c>
      <c r="BM185" s="98">
        <f t="shared" si="28"/>
        <v>0</v>
      </c>
      <c r="BN185" s="99" t="s">
        <v>183</v>
      </c>
      <c r="BO185" s="100"/>
      <c r="BP185" s="100"/>
      <c r="BQ185" s="99" t="s">
        <v>183</v>
      </c>
      <c r="BR185" s="100"/>
      <c r="BS185" s="100"/>
      <c r="BT185" s="99" t="s">
        <v>183</v>
      </c>
      <c r="BU185" s="100"/>
      <c r="BV185" s="100"/>
      <c r="BW185" s="85"/>
      <c r="BX185" s="85" t="s">
        <v>389</v>
      </c>
      <c r="BY185" s="83" t="s">
        <v>389</v>
      </c>
      <c r="BZ185" s="102">
        <v>2016</v>
      </c>
      <c r="CA185" s="98"/>
      <c r="CB185" s="98"/>
      <c r="CC185" s="103">
        <f t="shared" si="27"/>
        <v>114</v>
      </c>
      <c r="CD185" s="98"/>
      <c r="CE185" s="98"/>
      <c r="CF185" s="98"/>
      <c r="CG185" s="105">
        <v>1</v>
      </c>
      <c r="CH185" s="105" t="str">
        <f>IF(CK185=0,"",IF(V185="Persistent",5,IF(V185="Once",1,IF(V185="One-off",1,"manual overwrite"))))</f>
        <v/>
      </c>
      <c r="CI185" s="105"/>
      <c r="CJ185" s="98">
        <f t="shared" si="22"/>
        <v>0</v>
      </c>
      <c r="CK185" s="98">
        <f>IF(CA185="C",0,IF(P185="Het",0,IF(SUM(AG185,AO185)=0,0,1)))</f>
        <v>0</v>
      </c>
      <c r="CL185" s="106" t="e">
        <f>IF(G185="AUS",VLOOKUP(H185,$CU$5:$CW$23,2),IF(G185="NZ",VLOOKUP(H185,$CU$5:$CW$23,3),"error"))*AU185</f>
        <v>#N/A</v>
      </c>
      <c r="CM185" s="107" t="e">
        <f>IF(G185="AUS",VLOOKUP(H185,$CU$5:$CW$23,2),IF(G185="NZ",VLOOKUP(H185,$CU$5:$CW$23,3),"error"))*AX185</f>
        <v>#N/A</v>
      </c>
      <c r="CN185" s="106" t="e">
        <f>IF(G185="AUS",VLOOKUP(H185,$CU$5:$CW$23,2),IF(G185="NZ",VLOOKUP(H185,$CU$5:$CW$23,3),"error"))*BK185</f>
        <v>#N/A</v>
      </c>
    </row>
    <row r="186" spans="1:92" s="108" customFormat="1" ht="244.5">
      <c r="A186" s="83" t="str">
        <f t="shared" si="21"/>
        <v>Tobacco</v>
      </c>
      <c r="B186" s="84" t="s">
        <v>170</v>
      </c>
      <c r="C186" s="85"/>
      <c r="D186" s="86"/>
      <c r="E186" s="85" t="s">
        <v>172</v>
      </c>
      <c r="F186" s="85" t="str">
        <f t="shared" si="24"/>
        <v xml:space="preserve">Tobacco; ; Prevention ; </v>
      </c>
      <c r="G186" s="85" t="s">
        <v>205</v>
      </c>
      <c r="H186" s="85">
        <v>2011</v>
      </c>
      <c r="I186" s="85" t="str">
        <f>CONCATENATE(A186,", ",G186,": ",J186)</f>
        <v>Tobacco, NZ: Substantive tobacco retail  outlet reduction strategy (reducing the total number of outlets until 18 left in 2025)</v>
      </c>
      <c r="J186" s="87" t="s">
        <v>379</v>
      </c>
      <c r="K186" s="87" t="s">
        <v>233</v>
      </c>
      <c r="L186" s="87" t="s">
        <v>384</v>
      </c>
      <c r="M186" s="87" t="s">
        <v>385</v>
      </c>
      <c r="N186" s="87" t="s">
        <v>233</v>
      </c>
      <c r="O186" s="87" t="s">
        <v>388</v>
      </c>
      <c r="P186" s="85" t="s">
        <v>215</v>
      </c>
      <c r="Q186" s="85" t="str">
        <f>IF($P186="Main",J186,BX186)</f>
        <v xml:space="preserve">in non-Māori women age 15-24 yrs </v>
      </c>
      <c r="R186" s="85" t="str">
        <f>IF($P186="Main",CONCATENATE(J186,": ",G186),BY186)</f>
        <v xml:space="preserve">in non-Māori women age 15-24 yrs </v>
      </c>
      <c r="S186" s="85" t="s">
        <v>239</v>
      </c>
      <c r="T186" s="85" t="s">
        <v>250</v>
      </c>
      <c r="U186" s="85" t="s">
        <v>236</v>
      </c>
      <c r="V186" s="88"/>
      <c r="W186" s="88" t="s">
        <v>368</v>
      </c>
      <c r="X186" s="88" t="s">
        <v>199</v>
      </c>
      <c r="Y186" s="85"/>
      <c r="Z186" s="85"/>
      <c r="AA186" s="85"/>
      <c r="AB186" s="85"/>
      <c r="AC186" s="89">
        <v>0.03</v>
      </c>
      <c r="AD186" s="122"/>
      <c r="AE186" s="83"/>
      <c r="AF186" s="83"/>
      <c r="AG186" s="90">
        <v>1510</v>
      </c>
      <c r="AH186" s="90"/>
      <c r="AI186" s="90"/>
      <c r="AJ186" s="91">
        <v>248800</v>
      </c>
      <c r="AK186" s="92">
        <f t="shared" si="25"/>
        <v>6.069131832797428</v>
      </c>
      <c r="AL186" s="92"/>
      <c r="AM186" s="92"/>
      <c r="AN186" s="93"/>
      <c r="AO186" s="94"/>
      <c r="AP186" s="94"/>
      <c r="AQ186" s="94"/>
      <c r="AR186" s="95">
        <v>-38000000</v>
      </c>
      <c r="AS186" s="95"/>
      <c r="AT186" s="95"/>
      <c r="AU186" s="95">
        <f t="shared" si="23"/>
        <v>-152733.11897106111</v>
      </c>
      <c r="AV186" s="95"/>
      <c r="AW186" s="95"/>
      <c r="AX186" s="95"/>
      <c r="AY186" s="95"/>
      <c r="AZ186" s="95"/>
      <c r="BA186" s="96"/>
      <c r="BB186" s="96"/>
      <c r="BC186" s="96"/>
      <c r="BD186" s="95"/>
      <c r="BE186" s="95"/>
      <c r="BF186" s="96"/>
      <c r="BG186" s="95"/>
      <c r="BH186" s="95"/>
      <c r="BI186" s="96"/>
      <c r="BJ186" s="97" t="s">
        <v>182</v>
      </c>
      <c r="BK186" s="98" t="str">
        <f t="shared" si="28"/>
        <v>Cost-saving</v>
      </c>
      <c r="BL186" s="98">
        <f t="shared" si="28"/>
        <v>0</v>
      </c>
      <c r="BM186" s="98">
        <f t="shared" si="28"/>
        <v>0</v>
      </c>
      <c r="BN186" s="99" t="s">
        <v>183</v>
      </c>
      <c r="BO186" s="100"/>
      <c r="BP186" s="100"/>
      <c r="BQ186" s="99" t="s">
        <v>183</v>
      </c>
      <c r="BR186" s="100"/>
      <c r="BS186" s="100"/>
      <c r="BT186" s="99" t="s">
        <v>183</v>
      </c>
      <c r="BU186" s="100"/>
      <c r="BV186" s="100"/>
      <c r="BW186" s="85"/>
      <c r="BX186" s="85" t="s">
        <v>390</v>
      </c>
      <c r="BY186" s="83" t="s">
        <v>390</v>
      </c>
      <c r="BZ186" s="102">
        <v>2016</v>
      </c>
      <c r="CA186" s="98"/>
      <c r="CB186" s="98"/>
      <c r="CC186" s="103">
        <f t="shared" si="27"/>
        <v>114</v>
      </c>
      <c r="CD186" s="98"/>
      <c r="CE186" s="98"/>
      <c r="CF186" s="98"/>
      <c r="CG186" s="105">
        <v>1</v>
      </c>
      <c r="CH186" s="105" t="str">
        <f>IF(CK186=0,"",IF(V186="Persistent",5,IF(V186="Once",1,IF(V186="One-off",1,"manual overwrite"))))</f>
        <v/>
      </c>
      <c r="CI186" s="105"/>
      <c r="CJ186" s="98">
        <f t="shared" si="22"/>
        <v>0</v>
      </c>
      <c r="CK186" s="98">
        <f>IF(CA186="C",0,IF(P186="Het",0,IF(SUM(AG186,AO186)=0,0,1)))</f>
        <v>0</v>
      </c>
      <c r="CL186" s="106" t="e">
        <f>IF(G186="AUS",VLOOKUP(H186,$CU$5:$CW$23,2),IF(G186="NZ",VLOOKUP(H186,$CU$5:$CW$23,3),"error"))*AU186</f>
        <v>#N/A</v>
      </c>
      <c r="CM186" s="107" t="e">
        <f>IF(G186="AUS",VLOOKUP(H186,$CU$5:$CW$23,2),IF(G186="NZ",VLOOKUP(H186,$CU$5:$CW$23,3),"error"))*AX186</f>
        <v>#N/A</v>
      </c>
      <c r="CN186" s="106" t="e">
        <f>IF(G186="AUS",VLOOKUP(H186,$CU$5:$CW$23,2),IF(G186="NZ",VLOOKUP(H186,$CU$5:$CW$23,3),"error"))*BK186</f>
        <v>#N/A</v>
      </c>
    </row>
    <row r="187" spans="1:92" s="108" customFormat="1" ht="244.5">
      <c r="A187" s="83" t="str">
        <f t="shared" si="21"/>
        <v>Tobacco</v>
      </c>
      <c r="B187" s="84" t="s">
        <v>170</v>
      </c>
      <c r="C187" s="85"/>
      <c r="D187" s="86"/>
      <c r="E187" s="85" t="s">
        <v>172</v>
      </c>
      <c r="F187" s="85" t="str">
        <f t="shared" si="24"/>
        <v xml:space="preserve">Tobacco; ; Prevention ; </v>
      </c>
      <c r="G187" s="85" t="s">
        <v>205</v>
      </c>
      <c r="H187" s="85">
        <v>2011</v>
      </c>
      <c r="I187" s="85" t="str">
        <f>CONCATENATE(A187,", ",G187,": ",J187)</f>
        <v>Tobacco, NZ: Substantive tobacco retail  outlet reduction strategy (reducing the total number of outlets until 18 left in 2025)</v>
      </c>
      <c r="J187" s="87" t="s">
        <v>379</v>
      </c>
      <c r="K187" s="87" t="s">
        <v>233</v>
      </c>
      <c r="L187" s="87" t="s">
        <v>384</v>
      </c>
      <c r="M187" s="87" t="s">
        <v>385</v>
      </c>
      <c r="N187" s="87" t="s">
        <v>233</v>
      </c>
      <c r="O187" s="87" t="s">
        <v>388</v>
      </c>
      <c r="P187" s="85" t="s">
        <v>215</v>
      </c>
      <c r="Q187" s="85" t="str">
        <f>IF($P187="Main",J187,BX187)</f>
        <v xml:space="preserve">in non-Māori women age 25-44 yrs </v>
      </c>
      <c r="R187" s="85" t="str">
        <f>IF($P187="Main",CONCATENATE(J187,": ",G187),BY187)</f>
        <v xml:space="preserve">in non-Māori women age 25-44 yrs </v>
      </c>
      <c r="S187" s="85" t="s">
        <v>241</v>
      </c>
      <c r="T187" s="85" t="s">
        <v>250</v>
      </c>
      <c r="U187" s="85" t="s">
        <v>236</v>
      </c>
      <c r="V187" s="88"/>
      <c r="W187" s="88" t="s">
        <v>368</v>
      </c>
      <c r="X187" s="88" t="s">
        <v>199</v>
      </c>
      <c r="Y187" s="85"/>
      <c r="Z187" s="85"/>
      <c r="AA187" s="85"/>
      <c r="AB187" s="85"/>
      <c r="AC187" s="89">
        <v>0.03</v>
      </c>
      <c r="AD187" s="122"/>
      <c r="AE187" s="83"/>
      <c r="AF187" s="83"/>
      <c r="AG187" s="90">
        <v>2200</v>
      </c>
      <c r="AH187" s="90"/>
      <c r="AI187" s="90"/>
      <c r="AJ187" s="91">
        <v>515290</v>
      </c>
      <c r="AK187" s="92">
        <f t="shared" si="25"/>
        <v>4.269440509227814</v>
      </c>
      <c r="AL187" s="92"/>
      <c r="AM187" s="92"/>
      <c r="AN187" s="93"/>
      <c r="AO187" s="94"/>
      <c r="AP187" s="94"/>
      <c r="AQ187" s="94"/>
      <c r="AR187" s="95">
        <v>-46000000</v>
      </c>
      <c r="AS187" s="95"/>
      <c r="AT187" s="95"/>
      <c r="AU187" s="95">
        <f t="shared" si="23"/>
        <v>-89270.119738399735</v>
      </c>
      <c r="AV187" s="95"/>
      <c r="AW187" s="95"/>
      <c r="AX187" s="95"/>
      <c r="AY187" s="95"/>
      <c r="AZ187" s="95"/>
      <c r="BA187" s="96"/>
      <c r="BB187" s="96"/>
      <c r="BC187" s="96"/>
      <c r="BD187" s="95"/>
      <c r="BE187" s="95"/>
      <c r="BF187" s="96"/>
      <c r="BG187" s="95"/>
      <c r="BH187" s="95"/>
      <c r="BI187" s="96"/>
      <c r="BJ187" s="97" t="s">
        <v>182</v>
      </c>
      <c r="BK187" s="98" t="str">
        <f t="shared" si="28"/>
        <v>Cost-saving</v>
      </c>
      <c r="BL187" s="98">
        <f t="shared" si="28"/>
        <v>0</v>
      </c>
      <c r="BM187" s="98">
        <f t="shared" si="28"/>
        <v>0</v>
      </c>
      <c r="BN187" s="99" t="s">
        <v>183</v>
      </c>
      <c r="BO187" s="100"/>
      <c r="BP187" s="100"/>
      <c r="BQ187" s="99" t="s">
        <v>183</v>
      </c>
      <c r="BR187" s="100"/>
      <c r="BS187" s="100"/>
      <c r="BT187" s="99" t="s">
        <v>183</v>
      </c>
      <c r="BU187" s="100"/>
      <c r="BV187" s="100"/>
      <c r="BW187" s="85"/>
      <c r="BX187" s="85" t="s">
        <v>253</v>
      </c>
      <c r="BY187" s="83" t="s">
        <v>253</v>
      </c>
      <c r="BZ187" s="102">
        <v>2016</v>
      </c>
      <c r="CA187" s="98"/>
      <c r="CB187" s="98"/>
      <c r="CC187" s="103">
        <f t="shared" si="27"/>
        <v>114</v>
      </c>
      <c r="CD187" s="98"/>
      <c r="CE187" s="98"/>
      <c r="CF187" s="98"/>
      <c r="CG187" s="105">
        <v>1</v>
      </c>
      <c r="CH187" s="105" t="str">
        <f>IF(CK187=0,"",IF(V187="Persistent",5,IF(V187="Once",1,IF(V187="One-off",1,"manual overwrite"))))</f>
        <v/>
      </c>
      <c r="CI187" s="105"/>
      <c r="CJ187" s="98">
        <f t="shared" si="22"/>
        <v>0</v>
      </c>
      <c r="CK187" s="98">
        <f>IF(CA187="C",0,IF(P187="Het",0,IF(SUM(AG187,AO187)=0,0,1)))</f>
        <v>0</v>
      </c>
      <c r="CL187" s="106" t="e">
        <f>IF(G187="AUS",VLOOKUP(H187,$CU$5:$CW$23,2),IF(G187="NZ",VLOOKUP(H187,$CU$5:$CW$23,3),"error"))*AU187</f>
        <v>#N/A</v>
      </c>
      <c r="CM187" s="107" t="e">
        <f>IF(G187="AUS",VLOOKUP(H187,$CU$5:$CW$23,2),IF(G187="NZ",VLOOKUP(H187,$CU$5:$CW$23,3),"error"))*AX187</f>
        <v>#N/A</v>
      </c>
      <c r="CN187" s="106" t="e">
        <f>IF(G187="AUS",VLOOKUP(H187,$CU$5:$CW$23,2),IF(G187="NZ",VLOOKUP(H187,$CU$5:$CW$23,3),"error"))*BK187</f>
        <v>#N/A</v>
      </c>
    </row>
    <row r="188" spans="1:92" s="108" customFormat="1" ht="244.5">
      <c r="A188" s="83" t="str">
        <f t="shared" si="21"/>
        <v>Tobacco</v>
      </c>
      <c r="B188" s="84" t="s">
        <v>170</v>
      </c>
      <c r="C188" s="85"/>
      <c r="D188" s="86"/>
      <c r="E188" s="85" t="s">
        <v>172</v>
      </c>
      <c r="F188" s="85" t="str">
        <f t="shared" si="24"/>
        <v xml:space="preserve">Tobacco; ; Prevention ; </v>
      </c>
      <c r="G188" s="85" t="s">
        <v>205</v>
      </c>
      <c r="H188" s="85">
        <v>2011</v>
      </c>
      <c r="I188" s="85" t="str">
        <f>CONCATENATE(A188,", ",G188,": ",J188)</f>
        <v>Tobacco, NZ: Substantive tobacco retail  outlet reduction strategy (reducing the total number of outlets until 18 left in 2025)</v>
      </c>
      <c r="J188" s="87" t="s">
        <v>379</v>
      </c>
      <c r="K188" s="87" t="s">
        <v>233</v>
      </c>
      <c r="L188" s="87" t="s">
        <v>384</v>
      </c>
      <c r="M188" s="87" t="s">
        <v>385</v>
      </c>
      <c r="N188" s="87" t="s">
        <v>233</v>
      </c>
      <c r="O188" s="87" t="s">
        <v>388</v>
      </c>
      <c r="P188" s="85" t="s">
        <v>215</v>
      </c>
      <c r="Q188" s="85" t="str">
        <f>IF($P188="Main",J188,BX188)</f>
        <v xml:space="preserve">in non-Māori women age 45-64 yrs </v>
      </c>
      <c r="R188" s="85" t="str">
        <f>IF($P188="Main",CONCATENATE(J188,": ",G188),BY188)</f>
        <v xml:space="preserve">in non-Māori women age 45-64 yrs </v>
      </c>
      <c r="S188" s="85" t="s">
        <v>244</v>
      </c>
      <c r="T188" s="85" t="s">
        <v>250</v>
      </c>
      <c r="U188" s="85" t="s">
        <v>236</v>
      </c>
      <c r="V188" s="88"/>
      <c r="W188" s="88" t="s">
        <v>368</v>
      </c>
      <c r="X188" s="88" t="s">
        <v>199</v>
      </c>
      <c r="Y188" s="85"/>
      <c r="Z188" s="85"/>
      <c r="AA188" s="85"/>
      <c r="AB188" s="85"/>
      <c r="AC188" s="89">
        <v>0.03</v>
      </c>
      <c r="AD188" s="122"/>
      <c r="AE188" s="83"/>
      <c r="AF188" s="83"/>
      <c r="AG188" s="90">
        <v>1170</v>
      </c>
      <c r="AH188" s="90"/>
      <c r="AI188" s="90"/>
      <c r="AJ188" s="91">
        <v>508320</v>
      </c>
      <c r="AK188" s="92">
        <f t="shared" si="25"/>
        <v>2.3016997167138808</v>
      </c>
      <c r="AL188" s="92"/>
      <c r="AM188" s="92"/>
      <c r="AN188" s="93"/>
      <c r="AO188" s="94"/>
      <c r="AP188" s="94"/>
      <c r="AQ188" s="94"/>
      <c r="AR188" s="95">
        <v>-16000000</v>
      </c>
      <c r="AS188" s="95"/>
      <c r="AT188" s="95"/>
      <c r="AU188" s="95">
        <f t="shared" si="23"/>
        <v>-31476.235442241108</v>
      </c>
      <c r="AV188" s="95"/>
      <c r="AW188" s="95"/>
      <c r="AX188" s="95"/>
      <c r="AY188" s="95"/>
      <c r="AZ188" s="95"/>
      <c r="BA188" s="96"/>
      <c r="BB188" s="96"/>
      <c r="BC188" s="96"/>
      <c r="BD188" s="95"/>
      <c r="BE188" s="95"/>
      <c r="BF188" s="96"/>
      <c r="BG188" s="95"/>
      <c r="BH188" s="95"/>
      <c r="BI188" s="96"/>
      <c r="BJ188" s="97" t="s">
        <v>182</v>
      </c>
      <c r="BK188" s="98" t="str">
        <f t="shared" si="28"/>
        <v>Cost-saving</v>
      </c>
      <c r="BL188" s="98">
        <f t="shared" si="28"/>
        <v>0</v>
      </c>
      <c r="BM188" s="98">
        <f t="shared" si="28"/>
        <v>0</v>
      </c>
      <c r="BN188" s="99" t="s">
        <v>183</v>
      </c>
      <c r="BO188" s="100"/>
      <c r="BP188" s="100"/>
      <c r="BQ188" s="99" t="s">
        <v>183</v>
      </c>
      <c r="BR188" s="100"/>
      <c r="BS188" s="100"/>
      <c r="BT188" s="99" t="s">
        <v>183</v>
      </c>
      <c r="BU188" s="100"/>
      <c r="BV188" s="100"/>
      <c r="BW188" s="85"/>
      <c r="BX188" s="85" t="s">
        <v>391</v>
      </c>
      <c r="BY188" s="83" t="s">
        <v>391</v>
      </c>
      <c r="BZ188" s="102">
        <v>2016</v>
      </c>
      <c r="CA188" s="98"/>
      <c r="CB188" s="98"/>
      <c r="CC188" s="103">
        <f t="shared" si="27"/>
        <v>114</v>
      </c>
      <c r="CD188" s="98"/>
      <c r="CE188" s="98"/>
      <c r="CF188" s="98"/>
      <c r="CG188" s="105">
        <v>1</v>
      </c>
      <c r="CH188" s="105" t="str">
        <f>IF(CK188=0,"",IF(V188="Persistent",5,IF(V188="Once",1,IF(V188="One-off",1,"manual overwrite"))))</f>
        <v/>
      </c>
      <c r="CI188" s="105"/>
      <c r="CJ188" s="98">
        <f t="shared" si="22"/>
        <v>0</v>
      </c>
      <c r="CK188" s="98">
        <f>IF(CA188="C",0,IF(P188="Het",0,IF(SUM(AG188,AO188)=0,0,1)))</f>
        <v>0</v>
      </c>
      <c r="CL188" s="106" t="e">
        <f>IF(G188="AUS",VLOOKUP(H188,$CU$5:$CW$23,2),IF(G188="NZ",VLOOKUP(H188,$CU$5:$CW$23,3),"error"))*AU188</f>
        <v>#N/A</v>
      </c>
      <c r="CM188" s="107" t="e">
        <f>IF(G188="AUS",VLOOKUP(H188,$CU$5:$CW$23,2),IF(G188="NZ",VLOOKUP(H188,$CU$5:$CW$23,3),"error"))*AX188</f>
        <v>#N/A</v>
      </c>
      <c r="CN188" s="106" t="e">
        <f>IF(G188="AUS",VLOOKUP(H188,$CU$5:$CW$23,2),IF(G188="NZ",VLOOKUP(H188,$CU$5:$CW$23,3),"error"))*BK188</f>
        <v>#N/A</v>
      </c>
    </row>
    <row r="189" spans="1:92" s="108" customFormat="1" ht="244.5">
      <c r="A189" s="83" t="str">
        <f t="shared" ref="A189:A252" si="29">B189</f>
        <v>Tobacco</v>
      </c>
      <c r="B189" s="84" t="s">
        <v>170</v>
      </c>
      <c r="C189" s="85"/>
      <c r="D189" s="86"/>
      <c r="E189" s="85" t="s">
        <v>172</v>
      </c>
      <c r="F189" s="85" t="str">
        <f t="shared" si="24"/>
        <v xml:space="preserve">Tobacco; ; Prevention ; </v>
      </c>
      <c r="G189" s="85" t="s">
        <v>205</v>
      </c>
      <c r="H189" s="85">
        <v>2011</v>
      </c>
      <c r="I189" s="85" t="str">
        <f>CONCATENATE(A189,", ",G189,": ",J189)</f>
        <v>Tobacco, NZ: Substantive tobacco retail  outlet reduction strategy (reducing the total number of outlets until 18 left in 2025)</v>
      </c>
      <c r="J189" s="87" t="s">
        <v>379</v>
      </c>
      <c r="K189" s="87" t="s">
        <v>233</v>
      </c>
      <c r="L189" s="87" t="s">
        <v>384</v>
      </c>
      <c r="M189" s="87" t="s">
        <v>385</v>
      </c>
      <c r="N189" s="87" t="s">
        <v>233</v>
      </c>
      <c r="O189" s="87" t="s">
        <v>388</v>
      </c>
      <c r="P189" s="85" t="s">
        <v>215</v>
      </c>
      <c r="Q189" s="85" t="str">
        <f>IF($P189="Main",J189,BX189)</f>
        <v xml:space="preserve">in non-Māori women age 65+ yrs </v>
      </c>
      <c r="R189" s="85" t="str">
        <f>IF($P189="Main",CONCATENATE(J189,": ",G189),BY189)</f>
        <v xml:space="preserve">in non-Māori women age 65+ yrs </v>
      </c>
      <c r="S189" s="85" t="s">
        <v>247</v>
      </c>
      <c r="T189" s="85" t="s">
        <v>250</v>
      </c>
      <c r="U189" s="85" t="s">
        <v>236</v>
      </c>
      <c r="V189" s="88"/>
      <c r="W189" s="88" t="s">
        <v>368</v>
      </c>
      <c r="X189" s="88" t="s">
        <v>199</v>
      </c>
      <c r="Y189" s="85"/>
      <c r="Z189" s="85"/>
      <c r="AA189" s="85"/>
      <c r="AB189" s="85"/>
      <c r="AC189" s="89">
        <v>0.03</v>
      </c>
      <c r="AD189" s="122"/>
      <c r="AE189" s="83"/>
      <c r="AF189" s="83"/>
      <c r="AG189" s="90">
        <v>103</v>
      </c>
      <c r="AH189" s="90"/>
      <c r="AI189" s="90"/>
      <c r="AJ189" s="91">
        <v>301170</v>
      </c>
      <c r="AK189" s="92">
        <f t="shared" si="25"/>
        <v>0.34199953514626291</v>
      </c>
      <c r="AL189" s="92"/>
      <c r="AM189" s="92"/>
      <c r="AN189" s="93"/>
      <c r="AO189" s="94"/>
      <c r="AP189" s="94"/>
      <c r="AQ189" s="94"/>
      <c r="AR189" s="95">
        <v>-600000</v>
      </c>
      <c r="AS189" s="95"/>
      <c r="AT189" s="95"/>
      <c r="AU189" s="95">
        <f t="shared" si="23"/>
        <v>-1992.2303018228906</v>
      </c>
      <c r="AV189" s="95"/>
      <c r="AW189" s="95"/>
      <c r="AX189" s="95"/>
      <c r="AY189" s="95"/>
      <c r="AZ189" s="95"/>
      <c r="BA189" s="96"/>
      <c r="BB189" s="96"/>
      <c r="BC189" s="96"/>
      <c r="BD189" s="95"/>
      <c r="BE189" s="95"/>
      <c r="BF189" s="96"/>
      <c r="BG189" s="95"/>
      <c r="BH189" s="95"/>
      <c r="BI189" s="96"/>
      <c r="BJ189" s="97" t="s">
        <v>182</v>
      </c>
      <c r="BK189" s="98" t="str">
        <f t="shared" si="28"/>
        <v>Cost-saving</v>
      </c>
      <c r="BL189" s="98">
        <f t="shared" si="28"/>
        <v>0</v>
      </c>
      <c r="BM189" s="98">
        <f t="shared" si="28"/>
        <v>0</v>
      </c>
      <c r="BN189" s="99" t="s">
        <v>183</v>
      </c>
      <c r="BO189" s="100"/>
      <c r="BP189" s="100"/>
      <c r="BQ189" s="99" t="s">
        <v>183</v>
      </c>
      <c r="BR189" s="100"/>
      <c r="BS189" s="100"/>
      <c r="BT189" s="99" t="s">
        <v>183</v>
      </c>
      <c r="BU189" s="100"/>
      <c r="BV189" s="100"/>
      <c r="BW189" s="85"/>
      <c r="BX189" s="85" t="s">
        <v>255</v>
      </c>
      <c r="BY189" s="83" t="s">
        <v>255</v>
      </c>
      <c r="BZ189" s="102">
        <v>2016</v>
      </c>
      <c r="CA189" s="98"/>
      <c r="CB189" s="98"/>
      <c r="CC189" s="103">
        <f t="shared" si="27"/>
        <v>114</v>
      </c>
      <c r="CD189" s="98"/>
      <c r="CE189" s="98"/>
      <c r="CF189" s="98"/>
      <c r="CG189" s="105">
        <v>1</v>
      </c>
      <c r="CH189" s="105" t="str">
        <f>IF(CK189=0,"",IF(V189="Persistent",5,IF(V189="Once",1,IF(V189="One-off",1,"manual overwrite"))))</f>
        <v/>
      </c>
      <c r="CI189" s="105"/>
      <c r="CJ189" s="98">
        <f t="shared" ref="CJ189:CJ252" si="30">IF(CD189="Vos, Carter, Barendregt, Mihalopoulos, Veerman, Magnus, Cobiac, Bertram, Wallace &amp; ACE-Prevention Team",1,0)</f>
        <v>0</v>
      </c>
      <c r="CK189" s="98">
        <f>IF(CA189="C",0,IF(P189="Het",0,IF(SUM(AG189,AO189)=0,0,1)))</f>
        <v>0</v>
      </c>
      <c r="CL189" s="106" t="e">
        <f>IF(G189="AUS",VLOOKUP(H189,$CU$5:$CW$23,2),IF(G189="NZ",VLOOKUP(H189,$CU$5:$CW$23,3),"error"))*AU189</f>
        <v>#N/A</v>
      </c>
      <c r="CM189" s="107" t="e">
        <f>IF(G189="AUS",VLOOKUP(H189,$CU$5:$CW$23,2),IF(G189="NZ",VLOOKUP(H189,$CU$5:$CW$23,3),"error"))*AX189</f>
        <v>#N/A</v>
      </c>
      <c r="CN189" s="106" t="e">
        <f>IF(G189="AUS",VLOOKUP(H189,$CU$5:$CW$23,2),IF(G189="NZ",VLOOKUP(H189,$CU$5:$CW$23,3),"error"))*BK189</f>
        <v>#N/A</v>
      </c>
    </row>
    <row r="190" spans="1:92" s="108" customFormat="1" ht="244.5" hidden="1">
      <c r="A190" s="83" t="str">
        <f t="shared" si="29"/>
        <v>Tobacco</v>
      </c>
      <c r="B190" s="84" t="s">
        <v>170</v>
      </c>
      <c r="C190" s="85"/>
      <c r="D190" s="86"/>
      <c r="E190" s="85" t="s">
        <v>172</v>
      </c>
      <c r="F190" s="85" t="str">
        <f t="shared" si="24"/>
        <v xml:space="preserve">Tobacco; ; Prevention ; </v>
      </c>
      <c r="G190" s="85" t="s">
        <v>205</v>
      </c>
      <c r="H190" s="85">
        <v>2011</v>
      </c>
      <c r="I190" s="85" t="str">
        <f>CONCATENATE(A190,", ",G190,": ",J190)</f>
        <v>Tobacco, NZ: Substantive tobacco retail  outlet reduction strategy (reducing the total number of outlets until 18 left in 2025)</v>
      </c>
      <c r="J190" s="87" t="s">
        <v>379</v>
      </c>
      <c r="K190" s="87" t="s">
        <v>233</v>
      </c>
      <c r="L190" s="87" t="s">
        <v>384</v>
      </c>
      <c r="M190" s="87"/>
      <c r="N190" s="87" t="s">
        <v>233</v>
      </c>
      <c r="O190" s="87"/>
      <c r="P190" s="85" t="s">
        <v>215</v>
      </c>
      <c r="Q190" s="85" t="str">
        <f>IF($P190="Main",J190,BX190)</f>
        <v>in Māori</v>
      </c>
      <c r="R190" s="85" t="str">
        <f>IF($P190="Main",CONCATENATE(J190,": ",G190),BY190)</f>
        <v>in Māori</v>
      </c>
      <c r="S190" s="85"/>
      <c r="T190" s="85"/>
      <c r="U190" s="85"/>
      <c r="V190" s="88"/>
      <c r="W190" s="88"/>
      <c r="X190" s="88"/>
      <c r="Y190" s="85"/>
      <c r="Z190" s="85"/>
      <c r="AA190" s="85"/>
      <c r="AB190" s="85"/>
      <c r="AC190" s="89">
        <v>0.03</v>
      </c>
      <c r="AD190" s="122"/>
      <c r="AE190" s="83"/>
      <c r="AF190" s="83"/>
      <c r="AG190" s="90">
        <v>13200</v>
      </c>
      <c r="AH190" s="90">
        <v>7520</v>
      </c>
      <c r="AI190" s="90">
        <v>22400</v>
      </c>
      <c r="AJ190" s="91">
        <v>674200</v>
      </c>
      <c r="AK190" s="92">
        <f t="shared" si="25"/>
        <v>19.578760011865914</v>
      </c>
      <c r="AL190" s="92">
        <f>AH190/$AJ190*1000</f>
        <v>11.153960249184218</v>
      </c>
      <c r="AM190" s="92">
        <f>AI190/$AJ190*1000</f>
        <v>33.22456244437852</v>
      </c>
      <c r="AN190" s="93"/>
      <c r="AO190" s="94">
        <v>1.9600000000000003E-2</v>
      </c>
      <c r="AP190" s="94"/>
      <c r="AQ190" s="94"/>
      <c r="AR190" s="95">
        <v>-212000000</v>
      </c>
      <c r="AS190" s="95">
        <v>-117000000</v>
      </c>
      <c r="AT190" s="95">
        <v>-356000000</v>
      </c>
      <c r="AU190" s="95">
        <f t="shared" ref="AU190:AU195" si="31">1000*AR190/$AJ190</f>
        <v>-314446.75170572533</v>
      </c>
      <c r="AV190" s="95">
        <f>1000*AS190/$AJ190</f>
        <v>-173539.00919608425</v>
      </c>
      <c r="AW190" s="95">
        <f>1000*AT190/$AJ190</f>
        <v>-528033.22456244437</v>
      </c>
      <c r="AX190" s="95">
        <v>-314</v>
      </c>
      <c r="AY190" s="95"/>
      <c r="AZ190" s="95"/>
      <c r="BA190" s="96"/>
      <c r="BB190" s="96"/>
      <c r="BC190" s="96"/>
      <c r="BD190" s="95"/>
      <c r="BE190" s="95"/>
      <c r="BF190" s="96"/>
      <c r="BG190" s="95"/>
      <c r="BH190" s="95"/>
      <c r="BI190" s="96"/>
      <c r="BJ190" s="97" t="s">
        <v>182</v>
      </c>
      <c r="BK190" s="98" t="str">
        <f t="shared" si="28"/>
        <v>Cost-saving</v>
      </c>
      <c r="BL190" s="98">
        <f t="shared" si="28"/>
        <v>0</v>
      </c>
      <c r="BM190" s="98">
        <f t="shared" si="28"/>
        <v>0</v>
      </c>
      <c r="BN190" s="99" t="s">
        <v>183</v>
      </c>
      <c r="BO190" s="100"/>
      <c r="BP190" s="100"/>
      <c r="BQ190" s="99" t="s">
        <v>183</v>
      </c>
      <c r="BR190" s="100"/>
      <c r="BS190" s="100"/>
      <c r="BT190" s="99" t="s">
        <v>183</v>
      </c>
      <c r="BU190" s="100"/>
      <c r="BV190" s="100"/>
      <c r="BW190" s="85"/>
      <c r="BX190" s="85" t="s">
        <v>256</v>
      </c>
      <c r="BY190" s="83" t="s">
        <v>256</v>
      </c>
      <c r="BZ190" s="102">
        <v>2016</v>
      </c>
      <c r="CA190" s="98"/>
      <c r="CB190" s="98"/>
      <c r="CC190" s="103">
        <f t="shared" si="27"/>
        <v>114</v>
      </c>
      <c r="CD190" s="98"/>
      <c r="CE190" s="98"/>
      <c r="CF190" s="98"/>
      <c r="CG190" s="105">
        <v>1</v>
      </c>
      <c r="CH190" s="105" t="str">
        <f>IF(CK190=0,"",IF(V190="Persistent",5,IF(V190="Once",1,IF(V190="One-off",1,"manual overwrite"))))</f>
        <v/>
      </c>
      <c r="CI190" s="105"/>
      <c r="CJ190" s="98">
        <f t="shared" si="30"/>
        <v>0</v>
      </c>
      <c r="CK190" s="98">
        <f>IF(CA190="C",0,IF(P190="Het",0,IF(SUM(AG190,AO190)=0,0,1)))</f>
        <v>0</v>
      </c>
      <c r="CL190" s="106" t="e">
        <f>IF(G190="AUS",VLOOKUP(H190,$CU$5:$CW$23,2),IF(G190="NZ",VLOOKUP(H190,$CU$5:$CW$23,3),"error"))*AU190</f>
        <v>#N/A</v>
      </c>
      <c r="CM190" s="107" t="e">
        <f>IF(G190="AUS",VLOOKUP(H190,$CU$5:$CW$23,2),IF(G190="NZ",VLOOKUP(H190,$CU$5:$CW$23,3),"error"))*AX190</f>
        <v>#N/A</v>
      </c>
      <c r="CN190" s="106" t="e">
        <f>IF(G190="AUS",VLOOKUP(H190,$CU$5:$CW$23,2),IF(G190="NZ",VLOOKUP(H190,$CU$5:$CW$23,3),"error"))*BK190</f>
        <v>#N/A</v>
      </c>
    </row>
    <row r="191" spans="1:92" s="108" customFormat="1" ht="244.5" hidden="1">
      <c r="A191" s="83" t="str">
        <f t="shared" si="29"/>
        <v>Tobacco</v>
      </c>
      <c r="B191" s="84" t="s">
        <v>170</v>
      </c>
      <c r="C191" s="85"/>
      <c r="D191" s="86"/>
      <c r="E191" s="85" t="s">
        <v>172</v>
      </c>
      <c r="F191" s="85" t="str">
        <f t="shared" si="24"/>
        <v xml:space="preserve">Tobacco; ; Prevention ; </v>
      </c>
      <c r="G191" s="85" t="s">
        <v>205</v>
      </c>
      <c r="H191" s="85">
        <v>2011</v>
      </c>
      <c r="I191" s="85" t="str">
        <f>CONCATENATE(A191,", ",G191,": ",J191)</f>
        <v>Tobacco, NZ: Substantive tobacco retail  outlet reduction strategy (reducing the total number of outlets until 18 left in 2025)</v>
      </c>
      <c r="J191" s="87" t="s">
        <v>379</v>
      </c>
      <c r="K191" s="87" t="s">
        <v>233</v>
      </c>
      <c r="L191" s="87" t="s">
        <v>384</v>
      </c>
      <c r="M191" s="87"/>
      <c r="N191" s="87" t="s">
        <v>233</v>
      </c>
      <c r="O191" s="87"/>
      <c r="P191" s="85" t="s">
        <v>215</v>
      </c>
      <c r="Q191" s="85" t="str">
        <f>IF($P191="Main",J191,BX191)</f>
        <v xml:space="preserve">in Māori men </v>
      </c>
      <c r="R191" s="85" t="str">
        <f>IF($P191="Main",CONCATENATE(J191,": ",G191),BY191)</f>
        <v xml:space="preserve">in Māori men </v>
      </c>
      <c r="S191" s="85"/>
      <c r="T191" s="85"/>
      <c r="U191" s="85"/>
      <c r="V191" s="88"/>
      <c r="W191" s="88"/>
      <c r="X191" s="88"/>
      <c r="Y191" s="85"/>
      <c r="Z191" s="85"/>
      <c r="AA191" s="85"/>
      <c r="AB191" s="85"/>
      <c r="AC191" s="89">
        <v>0.03</v>
      </c>
      <c r="AD191" s="122"/>
      <c r="AE191" s="83"/>
      <c r="AF191" s="83"/>
      <c r="AG191" s="90">
        <v>5400</v>
      </c>
      <c r="AH191" s="90"/>
      <c r="AI191" s="90"/>
      <c r="AJ191" s="91">
        <v>330900</v>
      </c>
      <c r="AK191" s="92">
        <f t="shared" si="25"/>
        <v>16.319129646418858</v>
      </c>
      <c r="AL191" s="92"/>
      <c r="AM191" s="92"/>
      <c r="AN191" s="93"/>
      <c r="AO191" s="94"/>
      <c r="AP191" s="94"/>
      <c r="AQ191" s="94"/>
      <c r="AR191" s="95">
        <v>-119000000</v>
      </c>
      <c r="AS191" s="95"/>
      <c r="AT191" s="95"/>
      <c r="AU191" s="95">
        <f t="shared" si="31"/>
        <v>-359625.26443034149</v>
      </c>
      <c r="AV191" s="95"/>
      <c r="AW191" s="95"/>
      <c r="AX191" s="95"/>
      <c r="AY191" s="95"/>
      <c r="AZ191" s="95"/>
      <c r="BA191" s="96"/>
      <c r="BB191" s="96"/>
      <c r="BC191" s="96"/>
      <c r="BD191" s="95"/>
      <c r="BE191" s="95"/>
      <c r="BF191" s="96"/>
      <c r="BG191" s="95"/>
      <c r="BH191" s="95"/>
      <c r="BI191" s="96"/>
      <c r="BJ191" s="97" t="s">
        <v>182</v>
      </c>
      <c r="BK191" s="98" t="str">
        <f t="shared" si="28"/>
        <v>Cost-saving</v>
      </c>
      <c r="BL191" s="98">
        <f t="shared" si="28"/>
        <v>0</v>
      </c>
      <c r="BM191" s="98">
        <f t="shared" si="28"/>
        <v>0</v>
      </c>
      <c r="BN191" s="99" t="s">
        <v>183</v>
      </c>
      <c r="BO191" s="100"/>
      <c r="BP191" s="100"/>
      <c r="BQ191" s="99" t="s">
        <v>183</v>
      </c>
      <c r="BR191" s="100"/>
      <c r="BS191" s="100"/>
      <c r="BT191" s="99" t="s">
        <v>183</v>
      </c>
      <c r="BU191" s="100"/>
      <c r="BV191" s="100"/>
      <c r="BW191" s="85"/>
      <c r="BX191" s="85" t="s">
        <v>257</v>
      </c>
      <c r="BY191" s="83" t="s">
        <v>257</v>
      </c>
      <c r="BZ191" s="102">
        <v>2016</v>
      </c>
      <c r="CA191" s="98"/>
      <c r="CB191" s="98"/>
      <c r="CC191" s="103">
        <f t="shared" si="27"/>
        <v>114</v>
      </c>
      <c r="CD191" s="102"/>
      <c r="CE191" s="102"/>
      <c r="CF191" s="102"/>
      <c r="CG191" s="105">
        <v>1</v>
      </c>
      <c r="CH191" s="105" t="str">
        <f>IF(CK191=0,"",IF(V191="Persistent",5,IF(V191="Once",1,IF(V191="One-off",1,"manual overwrite"))))</f>
        <v/>
      </c>
      <c r="CI191" s="105"/>
      <c r="CJ191" s="98">
        <f t="shared" si="30"/>
        <v>0</v>
      </c>
      <c r="CK191" s="98">
        <f>IF(CA191="C",0,IF(P191="Het",0,IF(SUM(AG191,AO191)=0,0,1)))</f>
        <v>0</v>
      </c>
      <c r="CL191" s="106" t="e">
        <f>IF(G191="AUS",VLOOKUP(H191,$CU$5:$CW$23,2),IF(G191="NZ",VLOOKUP(H191,$CU$5:$CW$23,3),"error"))*AU191</f>
        <v>#N/A</v>
      </c>
      <c r="CM191" s="107" t="e">
        <f>IF(G191="AUS",VLOOKUP(H191,$CU$5:$CW$23,2),IF(G191="NZ",VLOOKUP(H191,$CU$5:$CW$23,3),"error"))*AX191</f>
        <v>#N/A</v>
      </c>
      <c r="CN191" s="106" t="e">
        <f>IF(G191="AUS",VLOOKUP(H191,$CU$5:$CW$23,2),IF(G191="NZ",VLOOKUP(H191,$CU$5:$CW$23,3),"error"))*BK191</f>
        <v>#N/A</v>
      </c>
    </row>
    <row r="192" spans="1:92" s="108" customFormat="1" ht="244.5">
      <c r="A192" s="83" t="str">
        <f t="shared" si="29"/>
        <v>Tobacco</v>
      </c>
      <c r="B192" s="84" t="s">
        <v>170</v>
      </c>
      <c r="C192" s="85"/>
      <c r="D192" s="86"/>
      <c r="E192" s="85" t="s">
        <v>172</v>
      </c>
      <c r="F192" s="85" t="str">
        <f t="shared" si="24"/>
        <v xml:space="preserve">Tobacco; ; Prevention ; </v>
      </c>
      <c r="G192" s="85" t="s">
        <v>205</v>
      </c>
      <c r="H192" s="85">
        <v>2011</v>
      </c>
      <c r="I192" s="85" t="str">
        <f>CONCATENATE(A192,", ",G192,": ",J192)</f>
        <v>Tobacco, NZ: Substantive tobacco retail  outlet reduction strategy (reducing the total number of outlets until 18 left in 2025)</v>
      </c>
      <c r="J192" s="87" t="s">
        <v>379</v>
      </c>
      <c r="K192" s="87" t="s">
        <v>233</v>
      </c>
      <c r="L192" s="87" t="s">
        <v>384</v>
      </c>
      <c r="M192" s="87" t="s">
        <v>392</v>
      </c>
      <c r="N192" s="87" t="s">
        <v>233</v>
      </c>
      <c r="O192" s="87" t="s">
        <v>393</v>
      </c>
      <c r="P192" s="85" t="s">
        <v>215</v>
      </c>
      <c r="Q192" s="85" t="str">
        <f>IF($P192="Main",J192,BX192)</f>
        <v>in Māori men age 0-14 yrs</v>
      </c>
      <c r="R192" s="85" t="str">
        <f>IF($P192="Main",CONCATENATE(J192,": ",G192),BY192)</f>
        <v>in Māori men age 0-14 yrs</v>
      </c>
      <c r="S192" s="85" t="s">
        <v>234</v>
      </c>
      <c r="T192" s="85" t="s">
        <v>235</v>
      </c>
      <c r="U192" s="85" t="s">
        <v>259</v>
      </c>
      <c r="V192" s="88"/>
      <c r="W192" s="88" t="s">
        <v>368</v>
      </c>
      <c r="X192" s="88" t="s">
        <v>199</v>
      </c>
      <c r="Y192" s="85"/>
      <c r="Z192" s="85"/>
      <c r="AA192" s="85"/>
      <c r="AB192" s="85"/>
      <c r="AC192" s="89">
        <v>0.03</v>
      </c>
      <c r="AD192" s="122"/>
      <c r="AE192" s="83"/>
      <c r="AF192" s="83"/>
      <c r="AG192" s="90">
        <v>2490</v>
      </c>
      <c r="AH192" s="90"/>
      <c r="AI192" s="90"/>
      <c r="AJ192" s="91">
        <v>118100</v>
      </c>
      <c r="AK192" s="92">
        <f t="shared" si="25"/>
        <v>21.083827265029637</v>
      </c>
      <c r="AL192" s="92"/>
      <c r="AM192" s="92"/>
      <c r="AN192" s="93"/>
      <c r="AO192" s="94"/>
      <c r="AP192" s="94"/>
      <c r="AQ192" s="94"/>
      <c r="AR192" s="95">
        <v>-61000000</v>
      </c>
      <c r="AS192" s="95"/>
      <c r="AT192" s="95"/>
      <c r="AU192" s="95">
        <f t="shared" si="31"/>
        <v>-516511.43099068588</v>
      </c>
      <c r="AV192" s="95"/>
      <c r="AW192" s="95"/>
      <c r="AX192" s="95"/>
      <c r="AY192" s="95"/>
      <c r="AZ192" s="95"/>
      <c r="BA192" s="96"/>
      <c r="BB192" s="96"/>
      <c r="BC192" s="96"/>
      <c r="BD192" s="95"/>
      <c r="BE192" s="95"/>
      <c r="BF192" s="96"/>
      <c r="BG192" s="95"/>
      <c r="BH192" s="95"/>
      <c r="BI192" s="96"/>
      <c r="BJ192" s="97" t="s">
        <v>182</v>
      </c>
      <c r="BK192" s="98" t="str">
        <f t="shared" si="28"/>
        <v>Cost-saving</v>
      </c>
      <c r="BL192" s="98">
        <f t="shared" si="28"/>
        <v>0</v>
      </c>
      <c r="BM192" s="98">
        <f t="shared" si="28"/>
        <v>0</v>
      </c>
      <c r="BN192" s="99" t="s">
        <v>183</v>
      </c>
      <c r="BO192" s="100"/>
      <c r="BP192" s="100"/>
      <c r="BQ192" s="99" t="s">
        <v>183</v>
      </c>
      <c r="BR192" s="100"/>
      <c r="BS192" s="100"/>
      <c r="BT192" s="99" t="s">
        <v>183</v>
      </c>
      <c r="BU192" s="100"/>
      <c r="BV192" s="100"/>
      <c r="BW192" s="85"/>
      <c r="BX192" s="85" t="s">
        <v>334</v>
      </c>
      <c r="BY192" s="83" t="s">
        <v>334</v>
      </c>
      <c r="BZ192" s="102">
        <v>2016</v>
      </c>
      <c r="CA192" s="98"/>
      <c r="CB192" s="98"/>
      <c r="CC192" s="103">
        <f t="shared" si="27"/>
        <v>114</v>
      </c>
      <c r="CD192" s="102"/>
      <c r="CE192" s="102"/>
      <c r="CF192" s="102"/>
      <c r="CG192" s="105">
        <v>1</v>
      </c>
      <c r="CH192" s="105" t="str">
        <f>IF(CK192=0,"",IF(V192="Persistent",5,IF(V192="Once",1,IF(V192="One-off",1,"manual overwrite"))))</f>
        <v/>
      </c>
      <c r="CI192" s="105"/>
      <c r="CJ192" s="98">
        <f t="shared" si="30"/>
        <v>0</v>
      </c>
      <c r="CK192" s="98">
        <f>IF(CA192="C",0,IF(P192="Het",0,IF(SUM(AG192,AO192)=0,0,1)))</f>
        <v>0</v>
      </c>
      <c r="CL192" s="106" t="e">
        <f>IF(G192="AUS",VLOOKUP(H192,$CU$5:$CW$23,2),IF(G192="NZ",VLOOKUP(H192,$CU$5:$CW$23,3),"error"))*AU192</f>
        <v>#N/A</v>
      </c>
      <c r="CM192" s="107" t="e">
        <f>IF(G192="AUS",VLOOKUP(H192,$CU$5:$CW$23,2),IF(G192="NZ",VLOOKUP(H192,$CU$5:$CW$23,3),"error"))*AX192</f>
        <v>#N/A</v>
      </c>
      <c r="CN192" s="106" t="e">
        <f>IF(G192="AUS",VLOOKUP(H192,$CU$5:$CW$23,2),IF(G192="NZ",VLOOKUP(H192,$CU$5:$CW$23,3),"error"))*BK192</f>
        <v>#N/A</v>
      </c>
    </row>
    <row r="193" spans="1:92" s="108" customFormat="1" ht="244.5" hidden="1">
      <c r="A193" s="83" t="str">
        <f t="shared" si="29"/>
        <v>Tobacco</v>
      </c>
      <c r="B193" s="84" t="s">
        <v>170</v>
      </c>
      <c r="C193" s="85"/>
      <c r="D193" s="86"/>
      <c r="E193" s="85" t="s">
        <v>172</v>
      </c>
      <c r="F193" s="85" t="str">
        <f t="shared" si="24"/>
        <v xml:space="preserve">Tobacco; ; Prevention ; </v>
      </c>
      <c r="G193" s="85" t="s">
        <v>205</v>
      </c>
      <c r="H193" s="85">
        <v>2011</v>
      </c>
      <c r="I193" s="85" t="str">
        <f>CONCATENATE(A193,", ",G193,": ",J193)</f>
        <v>Tobacco, NZ: Substantive tobacco retail  outlet reduction strategy (reducing the total number of outlets until 18 left in 2025)</v>
      </c>
      <c r="J193" s="87" t="s">
        <v>379</v>
      </c>
      <c r="K193" s="87"/>
      <c r="L193" s="87" t="s">
        <v>384</v>
      </c>
      <c r="M193" s="87"/>
      <c r="N193" s="87"/>
      <c r="O193" s="87"/>
      <c r="P193" s="85" t="s">
        <v>215</v>
      </c>
      <c r="Q193" s="85" t="str">
        <f>IF($P193="Main",J193,BX193)</f>
        <v xml:space="preserve">in Māori women </v>
      </c>
      <c r="R193" s="85" t="str">
        <f>IF($P193="Main",CONCATENATE(J193,": ",G193),BY193)</f>
        <v xml:space="preserve">in Māori women </v>
      </c>
      <c r="S193" s="85"/>
      <c r="T193" s="85"/>
      <c r="U193" s="85"/>
      <c r="V193" s="88"/>
      <c r="W193" s="88"/>
      <c r="X193" s="88"/>
      <c r="Y193" s="85"/>
      <c r="Z193" s="85"/>
      <c r="AA193" s="85"/>
      <c r="AB193" s="85"/>
      <c r="AC193" s="89">
        <v>0.03</v>
      </c>
      <c r="AD193" s="122"/>
      <c r="AE193" s="83"/>
      <c r="AF193" s="83"/>
      <c r="AG193" s="90">
        <v>7800</v>
      </c>
      <c r="AH193" s="90"/>
      <c r="AI193" s="90"/>
      <c r="AJ193" s="91">
        <v>343300</v>
      </c>
      <c r="AK193" s="92">
        <f t="shared" si="25"/>
        <v>22.720652490533062</v>
      </c>
      <c r="AL193" s="92"/>
      <c r="AM193" s="92"/>
      <c r="AN193" s="93"/>
      <c r="AO193" s="94"/>
      <c r="AP193" s="94"/>
      <c r="AQ193" s="94"/>
      <c r="AR193" s="95">
        <v>-92000000</v>
      </c>
      <c r="AS193" s="95"/>
      <c r="AT193" s="95"/>
      <c r="AU193" s="95">
        <f t="shared" si="31"/>
        <v>-267987.18322167202</v>
      </c>
      <c r="AV193" s="95"/>
      <c r="AW193" s="95"/>
      <c r="AX193" s="95"/>
      <c r="AY193" s="95"/>
      <c r="AZ193" s="95"/>
      <c r="BA193" s="96"/>
      <c r="BB193" s="96"/>
      <c r="BC193" s="96"/>
      <c r="BD193" s="95"/>
      <c r="BE193" s="95"/>
      <c r="BF193" s="96"/>
      <c r="BG193" s="95"/>
      <c r="BH193" s="95"/>
      <c r="BI193" s="96"/>
      <c r="BJ193" s="97" t="s">
        <v>182</v>
      </c>
      <c r="BK193" s="98" t="str">
        <f t="shared" si="28"/>
        <v>Cost-saving</v>
      </c>
      <c r="BL193" s="98">
        <f t="shared" si="28"/>
        <v>0</v>
      </c>
      <c r="BM193" s="98">
        <f t="shared" si="28"/>
        <v>0</v>
      </c>
      <c r="BN193" s="99" t="s">
        <v>183</v>
      </c>
      <c r="BO193" s="100"/>
      <c r="BP193" s="100"/>
      <c r="BQ193" s="99" t="s">
        <v>183</v>
      </c>
      <c r="BR193" s="100"/>
      <c r="BS193" s="100"/>
      <c r="BT193" s="99" t="s">
        <v>183</v>
      </c>
      <c r="BU193" s="100"/>
      <c r="BV193" s="100"/>
      <c r="BW193" s="85"/>
      <c r="BX193" s="85" t="s">
        <v>266</v>
      </c>
      <c r="BY193" s="83" t="s">
        <v>266</v>
      </c>
      <c r="BZ193" s="102">
        <v>2016</v>
      </c>
      <c r="CA193" s="98"/>
      <c r="CB193" s="98"/>
      <c r="CC193" s="103">
        <f t="shared" si="27"/>
        <v>114</v>
      </c>
      <c r="CD193" s="102"/>
      <c r="CE193" s="102"/>
      <c r="CF193" s="102"/>
      <c r="CG193" s="105">
        <v>1</v>
      </c>
      <c r="CH193" s="105" t="str">
        <f>IF(CK193=0,"",IF(V193="Persistent",5,IF(V193="Once",1,IF(V193="One-off",1,"manual overwrite"))))</f>
        <v/>
      </c>
      <c r="CI193" s="105"/>
      <c r="CJ193" s="98">
        <f t="shared" si="30"/>
        <v>0</v>
      </c>
      <c r="CK193" s="98">
        <f>IF(CA193="C",0,IF(P193="Het",0,IF(SUM(AG193,AO193)=0,0,1)))</f>
        <v>0</v>
      </c>
      <c r="CL193" s="106" t="e">
        <f>IF(G193="AUS",VLOOKUP(H193,$CU$5:$CW$23,2),IF(G193="NZ",VLOOKUP(H193,$CU$5:$CW$23,3),"error"))*AU193</f>
        <v>#N/A</v>
      </c>
      <c r="CM193" s="107" t="e">
        <f>IF(G193="AUS",VLOOKUP(H193,$CU$5:$CW$23,2),IF(G193="NZ",VLOOKUP(H193,$CU$5:$CW$23,3),"error"))*AX193</f>
        <v>#N/A</v>
      </c>
      <c r="CN193" s="106" t="e">
        <f>IF(G193="AUS",VLOOKUP(H193,$CU$5:$CW$23,2),IF(G193="NZ",VLOOKUP(H193,$CU$5:$CW$23,3),"error"))*BK193</f>
        <v>#N/A</v>
      </c>
    </row>
    <row r="194" spans="1:92" s="108" customFormat="1" ht="244.5">
      <c r="A194" s="83" t="str">
        <f t="shared" si="29"/>
        <v>Tobacco</v>
      </c>
      <c r="B194" s="84" t="s">
        <v>170</v>
      </c>
      <c r="C194" s="85"/>
      <c r="D194" s="86"/>
      <c r="E194" s="85" t="s">
        <v>172</v>
      </c>
      <c r="F194" s="85" t="str">
        <f t="shared" si="24"/>
        <v xml:space="preserve">Tobacco; ; Prevention ; </v>
      </c>
      <c r="G194" s="85" t="s">
        <v>205</v>
      </c>
      <c r="H194" s="85">
        <v>2011</v>
      </c>
      <c r="I194" s="85" t="str">
        <f>CONCATENATE(A194,", ",G194,": ",J194)</f>
        <v>Tobacco, NZ: Substantive tobacco retail  outlet reduction strategy (reducing the total number of outlets until 18 left in 2025)</v>
      </c>
      <c r="J194" s="87" t="s">
        <v>379</v>
      </c>
      <c r="K194" s="87" t="s">
        <v>233</v>
      </c>
      <c r="L194" s="87" t="s">
        <v>384</v>
      </c>
      <c r="M194" s="87" t="s">
        <v>392</v>
      </c>
      <c r="N194" s="87" t="s">
        <v>233</v>
      </c>
      <c r="O194" s="87" t="s">
        <v>394</v>
      </c>
      <c r="P194" s="85" t="s">
        <v>215</v>
      </c>
      <c r="Q194" s="85" t="str">
        <f>IF($P194="Main",J194,BX194)</f>
        <v xml:space="preserve">in Māori women age 0-14 yrs </v>
      </c>
      <c r="R194" s="85" t="str">
        <f>IF($P194="Main",CONCATENATE(J194,": ",G194),BY194)</f>
        <v xml:space="preserve">in Māori women age 0-14 yrs </v>
      </c>
      <c r="S194" s="85" t="s">
        <v>234</v>
      </c>
      <c r="T194" s="85" t="s">
        <v>250</v>
      </c>
      <c r="U194" s="85" t="s">
        <v>259</v>
      </c>
      <c r="V194" s="88"/>
      <c r="W194" s="88" t="s">
        <v>368</v>
      </c>
      <c r="X194" s="88" t="s">
        <v>199</v>
      </c>
      <c r="Y194" s="85"/>
      <c r="Z194" s="85"/>
      <c r="AA194" s="85"/>
      <c r="AB194" s="85"/>
      <c r="AC194" s="89">
        <v>0.03</v>
      </c>
      <c r="AD194" s="122"/>
      <c r="AE194" s="83"/>
      <c r="AF194" s="83"/>
      <c r="AG194" s="90">
        <v>3460</v>
      </c>
      <c r="AH194" s="90"/>
      <c r="AI194" s="90"/>
      <c r="AJ194" s="117">
        <v>112600</v>
      </c>
      <c r="AK194" s="92">
        <f t="shared" si="25"/>
        <v>30.728241563055061</v>
      </c>
      <c r="AL194" s="92"/>
      <c r="AM194" s="92"/>
      <c r="AN194" s="93"/>
      <c r="AO194" s="94"/>
      <c r="AP194" s="94"/>
      <c r="AQ194" s="94"/>
      <c r="AR194" s="95">
        <v>-46000000</v>
      </c>
      <c r="AS194" s="95"/>
      <c r="AT194" s="95"/>
      <c r="AU194" s="95">
        <f t="shared" si="31"/>
        <v>-408525.75488454709</v>
      </c>
      <c r="AV194" s="95"/>
      <c r="AW194" s="95"/>
      <c r="AX194" s="95"/>
      <c r="AY194" s="95"/>
      <c r="AZ194" s="95"/>
      <c r="BA194" s="96"/>
      <c r="BB194" s="96"/>
      <c r="BC194" s="96"/>
      <c r="BD194" s="95"/>
      <c r="BE194" s="95"/>
      <c r="BF194" s="96"/>
      <c r="BG194" s="95"/>
      <c r="BH194" s="95"/>
      <c r="BI194" s="96"/>
      <c r="BJ194" s="97" t="s">
        <v>182</v>
      </c>
      <c r="BK194" s="98" t="str">
        <f t="shared" si="28"/>
        <v>Cost-saving</v>
      </c>
      <c r="BL194" s="98">
        <f t="shared" si="28"/>
        <v>0</v>
      </c>
      <c r="BM194" s="98">
        <f t="shared" si="28"/>
        <v>0</v>
      </c>
      <c r="BN194" s="99" t="s">
        <v>183</v>
      </c>
      <c r="BO194" s="100"/>
      <c r="BP194" s="100"/>
      <c r="BQ194" s="99" t="s">
        <v>183</v>
      </c>
      <c r="BR194" s="100"/>
      <c r="BS194" s="100"/>
      <c r="BT194" s="99" t="s">
        <v>183</v>
      </c>
      <c r="BU194" s="100"/>
      <c r="BV194" s="100"/>
      <c r="BW194" s="85"/>
      <c r="BX194" s="85" t="s">
        <v>267</v>
      </c>
      <c r="BY194" s="83" t="s">
        <v>267</v>
      </c>
      <c r="BZ194" s="102">
        <v>2016</v>
      </c>
      <c r="CA194" s="98"/>
      <c r="CB194" s="98"/>
      <c r="CC194" s="103">
        <f t="shared" si="27"/>
        <v>114</v>
      </c>
      <c r="CD194" s="102"/>
      <c r="CE194" s="102"/>
      <c r="CF194" s="102"/>
      <c r="CG194" s="105">
        <v>1</v>
      </c>
      <c r="CH194" s="105" t="str">
        <f>IF(CK194=0,"",IF(V194="Persistent",5,IF(V194="Once",1,IF(V194="One-off",1,"manual overwrite"))))</f>
        <v/>
      </c>
      <c r="CI194" s="105"/>
      <c r="CJ194" s="98">
        <f t="shared" si="30"/>
        <v>0</v>
      </c>
      <c r="CK194" s="98">
        <f>IF(CA194="C",0,IF(P194="Het",0,IF(SUM(AG194,AO194)=0,0,1)))</f>
        <v>0</v>
      </c>
      <c r="CL194" s="106" t="e">
        <f>IF(G194="AUS",VLOOKUP(H194,$CU$5:$CW$23,2),IF(G194="NZ",VLOOKUP(H194,$CU$5:$CW$23,3),"error"))*AU194</f>
        <v>#N/A</v>
      </c>
      <c r="CM194" s="107" t="e">
        <f>IF(G194="AUS",VLOOKUP(H194,$CU$5:$CW$23,2),IF(G194="NZ",VLOOKUP(H194,$CU$5:$CW$23,3),"error"))*AX194</f>
        <v>#N/A</v>
      </c>
      <c r="CN194" s="106" t="e">
        <f>IF(G194="AUS",VLOOKUP(H194,$CU$5:$CW$23,2),IF(G194="NZ",VLOOKUP(H194,$CU$5:$CW$23,3),"error"))*BK194</f>
        <v>#N/A</v>
      </c>
    </row>
    <row r="195" spans="1:92" s="108" customFormat="1" ht="244.5">
      <c r="A195" s="83" t="str">
        <f t="shared" si="29"/>
        <v>Tobacco</v>
      </c>
      <c r="B195" s="84" t="s">
        <v>170</v>
      </c>
      <c r="C195" s="85"/>
      <c r="D195" s="86"/>
      <c r="E195" s="85" t="s">
        <v>172</v>
      </c>
      <c r="F195" s="85" t="str">
        <f t="shared" ref="F195:F253" si="32">CONCATENATE(B195,"; ",C195,"; ",E195,"; ",D195)</f>
        <v xml:space="preserve">Tobacco; ; Prevention ; </v>
      </c>
      <c r="G195" s="85" t="s">
        <v>205</v>
      </c>
      <c r="H195" s="85">
        <v>2011</v>
      </c>
      <c r="I195" s="85" t="str">
        <f>CONCATENATE(A195,", ",G195,": ",J195)</f>
        <v>Tobacco, NZ: Substantive tobacco retail  outlet reduction strategy (reducing the total number of outlets until 18 left in 2025)</v>
      </c>
      <c r="J195" s="87" t="s">
        <v>379</v>
      </c>
      <c r="K195" s="87" t="s">
        <v>233</v>
      </c>
      <c r="L195" s="87" t="s">
        <v>384</v>
      </c>
      <c r="M195" s="87" t="s">
        <v>392</v>
      </c>
      <c r="N195" s="87" t="s">
        <v>233</v>
      </c>
      <c r="O195" s="87" t="s">
        <v>394</v>
      </c>
      <c r="P195" s="85" t="s">
        <v>215</v>
      </c>
      <c r="Q195" s="85" t="str">
        <f>IF($P195="Main",J195,BX195)</f>
        <v xml:space="preserve">in Māori women age 15-24 yrs </v>
      </c>
      <c r="R195" s="85" t="str">
        <f>IF($P195="Main",CONCATENATE(J195,": ",G195),BY195)</f>
        <v xml:space="preserve">in Māori women age 15-24 yrs </v>
      </c>
      <c r="S195" s="85" t="s">
        <v>239</v>
      </c>
      <c r="T195" s="85" t="s">
        <v>250</v>
      </c>
      <c r="U195" s="85" t="s">
        <v>259</v>
      </c>
      <c r="V195" s="88"/>
      <c r="W195" s="88" t="s">
        <v>368</v>
      </c>
      <c r="X195" s="88" t="s">
        <v>199</v>
      </c>
      <c r="Y195" s="85"/>
      <c r="Z195" s="85"/>
      <c r="AA195" s="85"/>
      <c r="AB195" s="85"/>
      <c r="AC195" s="89">
        <v>0.03</v>
      </c>
      <c r="AD195" s="122"/>
      <c r="AE195" s="83"/>
      <c r="AF195" s="83"/>
      <c r="AG195" s="90">
        <v>19</v>
      </c>
      <c r="AH195" s="90"/>
      <c r="AI195" s="90"/>
      <c r="AJ195" s="117">
        <v>62700</v>
      </c>
      <c r="AK195" s="92">
        <f t="shared" ref="AK195:AM253" si="33">AG195/$AJ195*1000</f>
        <v>0.30303030303030304</v>
      </c>
      <c r="AL195" s="92"/>
      <c r="AM195" s="92"/>
      <c r="AN195" s="93"/>
      <c r="AO195" s="94"/>
      <c r="AP195" s="94"/>
      <c r="AQ195" s="94"/>
      <c r="AR195" s="95">
        <v>-80000</v>
      </c>
      <c r="AS195" s="95"/>
      <c r="AT195" s="95"/>
      <c r="AU195" s="95">
        <f t="shared" si="31"/>
        <v>-1275.9170653907497</v>
      </c>
      <c r="AV195" s="95"/>
      <c r="AW195" s="95"/>
      <c r="AX195" s="95"/>
      <c r="AY195" s="95"/>
      <c r="AZ195" s="95"/>
      <c r="BA195" s="96"/>
      <c r="BB195" s="96"/>
      <c r="BC195" s="96"/>
      <c r="BD195" s="95"/>
      <c r="BE195" s="95"/>
      <c r="BF195" s="96"/>
      <c r="BG195" s="95"/>
      <c r="BH195" s="95"/>
      <c r="BI195" s="96"/>
      <c r="BJ195" s="97" t="s">
        <v>182</v>
      </c>
      <c r="BK195" s="98" t="str">
        <f t="shared" si="28"/>
        <v>Cost-saving</v>
      </c>
      <c r="BL195" s="98">
        <f t="shared" si="28"/>
        <v>0</v>
      </c>
      <c r="BM195" s="98">
        <f t="shared" si="28"/>
        <v>0</v>
      </c>
      <c r="BN195" s="99" t="s">
        <v>183</v>
      </c>
      <c r="BO195" s="100"/>
      <c r="BP195" s="100"/>
      <c r="BQ195" s="99" t="s">
        <v>183</v>
      </c>
      <c r="BR195" s="100"/>
      <c r="BS195" s="100"/>
      <c r="BT195" s="99" t="s">
        <v>183</v>
      </c>
      <c r="BU195" s="100"/>
      <c r="BV195" s="100"/>
      <c r="BW195" s="85"/>
      <c r="BX195" s="85" t="s">
        <v>268</v>
      </c>
      <c r="BY195" s="83" t="s">
        <v>268</v>
      </c>
      <c r="BZ195" s="102">
        <v>2016</v>
      </c>
      <c r="CA195" s="98"/>
      <c r="CB195" s="98"/>
      <c r="CC195" s="103">
        <f t="shared" si="27"/>
        <v>114</v>
      </c>
      <c r="CD195" s="102"/>
      <c r="CE195" s="102"/>
      <c r="CF195" s="102"/>
      <c r="CG195" s="105">
        <v>1</v>
      </c>
      <c r="CH195" s="105" t="str">
        <f>IF(CK195=0,"",IF(V195="Persistent",5,IF(V195="Once",1,IF(V195="One-off",1,"manual overwrite"))))</f>
        <v/>
      </c>
      <c r="CI195" s="105"/>
      <c r="CJ195" s="98">
        <f t="shared" si="30"/>
        <v>0</v>
      </c>
      <c r="CK195" s="98">
        <f>IF(CA195="C",0,IF(P195="Het",0,IF(SUM(AG195,AO195)=0,0,1)))</f>
        <v>0</v>
      </c>
      <c r="CL195" s="106" t="e">
        <f>IF(G195="AUS",VLOOKUP(H195,$CU$5:$CW$23,2),IF(G195="NZ",VLOOKUP(H195,$CU$5:$CW$23,3),"error"))*AU195</f>
        <v>#N/A</v>
      </c>
      <c r="CM195" s="107" t="e">
        <f>IF(G195="AUS",VLOOKUP(H195,$CU$5:$CW$23,2),IF(G195="NZ",VLOOKUP(H195,$CU$5:$CW$23,3),"error"))*AX195</f>
        <v>#N/A</v>
      </c>
      <c r="CN195" s="106" t="e">
        <f>IF(G195="AUS",VLOOKUP(H195,$CU$5:$CW$23,2),IF(G195="NZ",VLOOKUP(H195,$CU$5:$CW$23,3),"error"))*BK195</f>
        <v>#N/A</v>
      </c>
    </row>
    <row r="196" spans="1:92" s="108" customFormat="1" ht="307.5" hidden="1">
      <c r="A196" s="83" t="str">
        <f t="shared" si="29"/>
        <v>Tobacco</v>
      </c>
      <c r="B196" s="84" t="s">
        <v>170</v>
      </c>
      <c r="C196" s="85"/>
      <c r="D196" s="86"/>
      <c r="E196" s="85" t="s">
        <v>172</v>
      </c>
      <c r="F196" s="85" t="str">
        <f t="shared" si="32"/>
        <v xml:space="preserve">Tobacco; ; Prevention ; </v>
      </c>
      <c r="G196" s="85" t="s">
        <v>205</v>
      </c>
      <c r="H196" s="85">
        <v>2011</v>
      </c>
      <c r="I196" s="85" t="str">
        <f>CONCATENATE(A196,", ",G196,": ",J196)</f>
        <v>Tobacco, NZ: Tax increased by 20% per year until 2025, tobacco retail outlets reduced by 95% and tobacco-free generation strategy implemented</v>
      </c>
      <c r="J196" s="121" t="s">
        <v>395</v>
      </c>
      <c r="K196" s="121"/>
      <c r="L196" s="121"/>
      <c r="M196" s="121"/>
      <c r="N196" s="121"/>
      <c r="O196" s="121"/>
      <c r="P196" s="85" t="s">
        <v>175</v>
      </c>
      <c r="Q196" s="85" t="str">
        <f>IF($P196="Main",J196,BX196)</f>
        <v>Tax increased by 20% per year until 2025, tobacco retail outlets reduced by 95% and tobacco-free generation strategy implemented</v>
      </c>
      <c r="R196" s="85" t="str">
        <f>IF($P196="Main",CONCATENATE(J196,": ",G196),BY196)</f>
        <v>Tax increased by 20% per year until 2025, tobacco retail outlets reduced by 95% and tobacco-free generation strategy implemented: NZ</v>
      </c>
      <c r="S196" s="85"/>
      <c r="T196" s="85"/>
      <c r="U196" s="85"/>
      <c r="V196" s="88" t="s">
        <v>207</v>
      </c>
      <c r="W196" s="88"/>
      <c r="X196" s="88"/>
      <c r="Y196" s="85" t="s">
        <v>208</v>
      </c>
      <c r="Z196" s="85" t="s">
        <v>289</v>
      </c>
      <c r="AA196" s="85" t="s">
        <v>179</v>
      </c>
      <c r="AB196" s="85" t="s">
        <v>180</v>
      </c>
      <c r="AC196" s="124">
        <v>0.03</v>
      </c>
      <c r="AD196" s="125"/>
      <c r="AE196" s="85"/>
      <c r="AF196" s="85" t="s">
        <v>348</v>
      </c>
      <c r="AG196" s="126">
        <v>140000</v>
      </c>
      <c r="AH196" s="126">
        <v>92200</v>
      </c>
      <c r="AI196" s="126">
        <v>203900</v>
      </c>
      <c r="AJ196" s="127">
        <v>4410000</v>
      </c>
      <c r="AK196" s="92">
        <f t="shared" si="33"/>
        <v>31.746031746031743</v>
      </c>
      <c r="AL196" s="92">
        <f t="shared" si="33"/>
        <v>20.907029478458053</v>
      </c>
      <c r="AM196" s="92">
        <f t="shared" si="33"/>
        <v>46.235827664399089</v>
      </c>
      <c r="AN196" s="128"/>
      <c r="AO196" s="92"/>
      <c r="AP196" s="92"/>
      <c r="AQ196" s="92"/>
      <c r="AR196" s="120">
        <v>2970000000</v>
      </c>
      <c r="AS196" s="120">
        <v>1970000000</v>
      </c>
      <c r="AT196" s="120">
        <v>4310000000</v>
      </c>
      <c r="AU196" s="120">
        <f t="shared" ref="AU196:AW211" si="34">(AR196/$AJ196)*1000</f>
        <v>673469.38775510201</v>
      </c>
      <c r="AV196" s="120">
        <f t="shared" si="34"/>
        <v>446712.01814058959</v>
      </c>
      <c r="AW196" s="120">
        <f t="shared" si="34"/>
        <v>977324.26303854876</v>
      </c>
      <c r="AX196" s="120"/>
      <c r="AY196" s="120"/>
      <c r="AZ196" s="120"/>
      <c r="BA196" s="129"/>
      <c r="BB196" s="129"/>
      <c r="BC196" s="129"/>
      <c r="BD196" s="120"/>
      <c r="BE196" s="120"/>
      <c r="BF196" s="129"/>
      <c r="BG196" s="120"/>
      <c r="BH196" s="120"/>
      <c r="BI196" s="129"/>
      <c r="BJ196" s="97" t="s">
        <v>396</v>
      </c>
      <c r="BK196" s="98" t="str">
        <f t="shared" si="28"/>
        <v/>
      </c>
      <c r="BL196" s="98" t="str">
        <f t="shared" si="28"/>
        <v/>
      </c>
      <c r="BM196" s="98" t="str">
        <f t="shared" si="28"/>
        <v/>
      </c>
      <c r="BN196" s="99"/>
      <c r="BO196" s="99"/>
      <c r="BP196" s="99"/>
      <c r="BQ196" s="99"/>
      <c r="BR196" s="99"/>
      <c r="BS196" s="99"/>
      <c r="BT196" s="99"/>
      <c r="BU196" s="99"/>
      <c r="BV196" s="99"/>
      <c r="BW196" s="85"/>
      <c r="BX196" s="121" t="s">
        <v>395</v>
      </c>
      <c r="BY196" s="121" t="s">
        <v>395</v>
      </c>
      <c r="BZ196" s="102">
        <v>2016</v>
      </c>
      <c r="CA196" s="98"/>
      <c r="CB196" s="98"/>
      <c r="CC196" s="103">
        <f t="shared" si="27"/>
        <v>128</v>
      </c>
      <c r="CD196" s="98"/>
      <c r="CE196" s="98"/>
      <c r="CF196" s="98"/>
      <c r="CG196" s="105">
        <v>1</v>
      </c>
      <c r="CH196" s="105">
        <v>5</v>
      </c>
      <c r="CI196" s="105">
        <f>IF(AA196="Lifetime",2,IF(CJ196=1,2,"manual entry"))</f>
        <v>2</v>
      </c>
      <c r="CJ196" s="98">
        <f t="shared" si="30"/>
        <v>0</v>
      </c>
      <c r="CK196" s="98">
        <f>IF(CA196="C",0,IF(P196="Het",0,IF(SUM(AG196,AO196)=0,0,1)))</f>
        <v>1</v>
      </c>
      <c r="CL196" s="106" t="e">
        <f>IF(G196="AUS",VLOOKUP(H196,$CU$5:$CW$23,2),IF(G196="NZ",VLOOKUP(H196,$CU$5:$CW$23,3),"error"))*AU196</f>
        <v>#N/A</v>
      </c>
      <c r="CM196" s="107" t="e">
        <f>IF(G196="AUS",VLOOKUP(H196,$CU$5:$CW$23,2),IF(G196="NZ",VLOOKUP(H196,$CU$5:$CW$23,3),"error"))*AX196</f>
        <v>#N/A</v>
      </c>
      <c r="CN196" s="106" t="e">
        <f>IF(G196="AUS",VLOOKUP(H196,$CU$5:$CW$23,2),IF(G196="NZ",VLOOKUP(H196,$CU$5:$CW$23,3),"error"))*BK196</f>
        <v>#N/A</v>
      </c>
    </row>
    <row r="197" spans="1:92" s="108" customFormat="1" ht="305.25" hidden="1">
      <c r="A197" s="83" t="str">
        <f t="shared" si="29"/>
        <v>Tobacco</v>
      </c>
      <c r="B197" s="84" t="s">
        <v>170</v>
      </c>
      <c r="C197" s="85"/>
      <c r="D197" s="86"/>
      <c r="E197" s="85" t="s">
        <v>172</v>
      </c>
      <c r="F197" s="85" t="str">
        <f t="shared" si="32"/>
        <v xml:space="preserve">Tobacco; ; Prevention ; </v>
      </c>
      <c r="G197" s="85" t="s">
        <v>205</v>
      </c>
      <c r="H197" s="85">
        <v>2011</v>
      </c>
      <c r="I197" s="85" t="str">
        <f>CONCATENATE(A197,", ",G197,": ",J197)</f>
        <v>Tobacco, NZ: Tax increased by 20% per year until 2025, tobacco retail outlets reduced by 95% and tobacco-free generation strategy implemented</v>
      </c>
      <c r="J197" s="121" t="s">
        <v>395</v>
      </c>
      <c r="K197" s="121"/>
      <c r="L197" s="121"/>
      <c r="M197" s="121"/>
      <c r="N197" s="121"/>
      <c r="O197" s="121"/>
      <c r="P197" s="85" t="s">
        <v>215</v>
      </c>
      <c r="Q197" s="88" t="s">
        <v>308</v>
      </c>
      <c r="R197" s="88" t="s">
        <v>236</v>
      </c>
      <c r="S197" s="85"/>
      <c r="T197" s="85"/>
      <c r="U197" s="85"/>
      <c r="V197" s="88" t="s">
        <v>397</v>
      </c>
      <c r="W197" s="88"/>
      <c r="X197" s="88"/>
      <c r="Y197" s="85" t="s">
        <v>208</v>
      </c>
      <c r="Z197" s="85" t="s">
        <v>289</v>
      </c>
      <c r="AA197" s="85" t="s">
        <v>179</v>
      </c>
      <c r="AB197" s="85" t="s">
        <v>180</v>
      </c>
      <c r="AC197" s="89">
        <v>0.03</v>
      </c>
      <c r="AD197" s="122"/>
      <c r="AE197" s="83"/>
      <c r="AF197" s="83"/>
      <c r="AG197" s="130">
        <v>77700</v>
      </c>
      <c r="AH197" s="130">
        <v>49700</v>
      </c>
      <c r="AI197" s="130">
        <v>117000</v>
      </c>
      <c r="AJ197" s="91">
        <v>3731070</v>
      </c>
      <c r="AK197" s="94">
        <f t="shared" si="33"/>
        <v>20.825125232172002</v>
      </c>
      <c r="AL197" s="94">
        <f t="shared" si="33"/>
        <v>13.320575598956868</v>
      </c>
      <c r="AM197" s="94">
        <f t="shared" si="33"/>
        <v>31.358296681648966</v>
      </c>
      <c r="AN197" s="91"/>
      <c r="AO197" s="94"/>
      <c r="AP197" s="94"/>
      <c r="AQ197" s="94"/>
      <c r="AR197" s="120">
        <v>1960000000</v>
      </c>
      <c r="AS197" s="120">
        <v>1270000000</v>
      </c>
      <c r="AT197" s="120">
        <v>2900000000</v>
      </c>
      <c r="AU197" s="120">
        <f t="shared" si="34"/>
        <v>525318.47432505956</v>
      </c>
      <c r="AV197" s="120">
        <f t="shared" si="34"/>
        <v>340384.92979225802</v>
      </c>
      <c r="AW197" s="120">
        <f t="shared" si="34"/>
        <v>777256.92629728199</v>
      </c>
      <c r="AX197" s="96"/>
      <c r="AY197" s="96"/>
      <c r="AZ197" s="96"/>
      <c r="BA197" s="96"/>
      <c r="BB197" s="96"/>
      <c r="BC197" s="96"/>
      <c r="BD197" s="96"/>
      <c r="BE197" s="96"/>
      <c r="BF197" s="96"/>
      <c r="BG197" s="96"/>
      <c r="BH197" s="96"/>
      <c r="BI197" s="96"/>
      <c r="BJ197" s="83" t="s">
        <v>396</v>
      </c>
      <c r="BK197" s="98" t="str">
        <f t="shared" si="28"/>
        <v/>
      </c>
      <c r="BL197" s="98" t="str">
        <f t="shared" si="28"/>
        <v/>
      </c>
      <c r="BM197" s="98" t="str">
        <f t="shared" si="28"/>
        <v/>
      </c>
      <c r="BN197" s="100"/>
      <c r="BO197" s="100"/>
      <c r="BP197" s="100"/>
      <c r="BQ197" s="100"/>
      <c r="BR197" s="100"/>
      <c r="BS197" s="100"/>
      <c r="BT197" s="100"/>
      <c r="BU197" s="100"/>
      <c r="BV197" s="100"/>
      <c r="BW197" s="83"/>
      <c r="BX197" s="88" t="s">
        <v>308</v>
      </c>
      <c r="BY197" s="88" t="s">
        <v>308</v>
      </c>
      <c r="BZ197" s="102">
        <v>2016</v>
      </c>
      <c r="CA197" s="98"/>
      <c r="CB197" s="98"/>
      <c r="CC197" s="103">
        <f t="shared" si="27"/>
        <v>128</v>
      </c>
      <c r="CD197" s="98"/>
      <c r="CE197" s="98"/>
      <c r="CF197" s="98"/>
      <c r="CG197" s="105">
        <v>1</v>
      </c>
      <c r="CH197" s="105" t="str">
        <f>IF(CK197=0,"",IF(V197="Persistent",5,IF(V197="Once",1,IF(V197="One-off",1,"manual overwrite"))))</f>
        <v/>
      </c>
      <c r="CI197" s="105"/>
      <c r="CJ197" s="98">
        <f t="shared" si="30"/>
        <v>0</v>
      </c>
      <c r="CK197" s="98">
        <f>IF(CA197="C",0,IF(P197="Het",0,IF(SUM(AG197,AO197)=0,0,1)))</f>
        <v>0</v>
      </c>
      <c r="CL197" s="106" t="e">
        <f>IF(G197="AUS",VLOOKUP(H197,$CU$5:$CW$23,2),IF(G197="NZ",VLOOKUP(H197,$CU$5:$CW$23,3),"error"))*AU197</f>
        <v>#N/A</v>
      </c>
      <c r="CM197" s="107" t="e">
        <f>IF(G197="AUS",VLOOKUP(H197,$CU$5:$CW$23,2),IF(G197="NZ",VLOOKUP(H197,$CU$5:$CW$23,3),"error"))*AX197</f>
        <v>#N/A</v>
      </c>
      <c r="CN197" s="106" t="e">
        <f>IF(G197="AUS",VLOOKUP(H197,$CU$5:$CW$23,2),IF(G197="NZ",VLOOKUP(H197,$CU$5:$CW$23,3),"error"))*BK197</f>
        <v>#N/A</v>
      </c>
    </row>
    <row r="198" spans="1:92" s="108" customFormat="1" ht="305.25" hidden="1">
      <c r="A198" s="83" t="str">
        <f t="shared" si="29"/>
        <v>Tobacco</v>
      </c>
      <c r="B198" s="84" t="s">
        <v>170</v>
      </c>
      <c r="C198" s="85"/>
      <c r="D198" s="86"/>
      <c r="E198" s="85" t="s">
        <v>172</v>
      </c>
      <c r="F198" s="85" t="str">
        <f t="shared" si="32"/>
        <v xml:space="preserve">Tobacco; ; Prevention ; </v>
      </c>
      <c r="G198" s="85" t="s">
        <v>205</v>
      </c>
      <c r="H198" s="85">
        <v>2011</v>
      </c>
      <c r="I198" s="85" t="str">
        <f>CONCATENATE(A198,", ",G198,": ",J198)</f>
        <v>Tobacco, NZ: Tax increased by 20% per year until 2025, tobacco retail outlets reduced by 95% and tobacco-free generation strategy implemented</v>
      </c>
      <c r="J198" s="121" t="s">
        <v>395</v>
      </c>
      <c r="K198" s="121"/>
      <c r="L198" s="121"/>
      <c r="M198" s="121"/>
      <c r="N198" s="121"/>
      <c r="O198" s="121"/>
      <c r="P198" s="85" t="s">
        <v>215</v>
      </c>
      <c r="Q198" s="85" t="s">
        <v>259</v>
      </c>
      <c r="R198" s="85" t="s">
        <v>259</v>
      </c>
      <c r="S198" s="85"/>
      <c r="T198" s="85"/>
      <c r="U198" s="85"/>
      <c r="V198" s="88" t="s">
        <v>397</v>
      </c>
      <c r="W198" s="88"/>
      <c r="X198" s="88"/>
      <c r="Y198" s="85" t="s">
        <v>208</v>
      </c>
      <c r="Z198" s="85" t="s">
        <v>289</v>
      </c>
      <c r="AA198" s="85" t="s">
        <v>179</v>
      </c>
      <c r="AB198" s="85" t="s">
        <v>180</v>
      </c>
      <c r="AC198" s="89">
        <v>0.03</v>
      </c>
      <c r="AD198" s="122"/>
      <c r="AE198" s="83"/>
      <c r="AF198" s="83"/>
      <c r="AG198" s="130">
        <v>62000</v>
      </c>
      <c r="AH198" s="130">
        <v>42400</v>
      </c>
      <c r="AI198" s="130">
        <v>87500</v>
      </c>
      <c r="AJ198" s="91">
        <v>674200</v>
      </c>
      <c r="AK198" s="94">
        <f t="shared" si="33"/>
        <v>91.960842479976264</v>
      </c>
      <c r="AL198" s="94">
        <f t="shared" si="33"/>
        <v>62.889350341145068</v>
      </c>
      <c r="AM198" s="94">
        <f t="shared" si="33"/>
        <v>129.78344704835359</v>
      </c>
      <c r="AN198" s="91"/>
      <c r="AO198" s="94"/>
      <c r="AP198" s="94"/>
      <c r="AQ198" s="94"/>
      <c r="AR198" s="120">
        <v>1016000000</v>
      </c>
      <c r="AS198" s="120">
        <v>710000000</v>
      </c>
      <c r="AT198" s="120">
        <v>1419000000</v>
      </c>
      <c r="AU198" s="120">
        <f t="shared" si="34"/>
        <v>1506971.22515574</v>
      </c>
      <c r="AV198" s="120">
        <f t="shared" si="34"/>
        <v>1053099.9703352121</v>
      </c>
      <c r="AW198" s="120">
        <f t="shared" si="34"/>
        <v>2104716.7012755857</v>
      </c>
      <c r="AX198" s="96"/>
      <c r="AY198" s="96"/>
      <c r="AZ198" s="96"/>
      <c r="BA198" s="96"/>
      <c r="BB198" s="96"/>
      <c r="BC198" s="96"/>
      <c r="BD198" s="96"/>
      <c r="BE198" s="96"/>
      <c r="BF198" s="96"/>
      <c r="BG198" s="96"/>
      <c r="BH198" s="96"/>
      <c r="BI198" s="96"/>
      <c r="BJ198" s="83" t="s">
        <v>396</v>
      </c>
      <c r="BK198" s="98" t="str">
        <f t="shared" si="28"/>
        <v/>
      </c>
      <c r="BL198" s="98" t="str">
        <f t="shared" si="28"/>
        <v/>
      </c>
      <c r="BM198" s="98" t="str">
        <f t="shared" si="28"/>
        <v/>
      </c>
      <c r="BN198" s="100"/>
      <c r="BO198" s="100"/>
      <c r="BP198" s="100"/>
      <c r="BQ198" s="100"/>
      <c r="BR198" s="100"/>
      <c r="BS198" s="100"/>
      <c r="BT198" s="100"/>
      <c r="BU198" s="100"/>
      <c r="BV198" s="100"/>
      <c r="BW198" s="83"/>
      <c r="BX198" s="85" t="s">
        <v>259</v>
      </c>
      <c r="BY198" s="85" t="s">
        <v>259</v>
      </c>
      <c r="BZ198" s="102">
        <v>2016</v>
      </c>
      <c r="CA198" s="98"/>
      <c r="CB198" s="98"/>
      <c r="CC198" s="103">
        <f t="shared" si="27"/>
        <v>128</v>
      </c>
      <c r="CD198" s="98"/>
      <c r="CE198" s="98"/>
      <c r="CF198" s="98"/>
      <c r="CG198" s="105">
        <v>1</v>
      </c>
      <c r="CH198" s="105" t="str">
        <f>IF(CK198=0,"",IF(V198="Persistent",5,IF(V198="Once",1,IF(V198="One-off",1,"manual overwrite"))))</f>
        <v/>
      </c>
      <c r="CI198" s="105"/>
      <c r="CJ198" s="98">
        <f t="shared" si="30"/>
        <v>0</v>
      </c>
      <c r="CK198" s="98">
        <f>IF(CA198="C",0,IF(P198="Het",0,IF(SUM(AG198,AO198)=0,0,1)))</f>
        <v>0</v>
      </c>
      <c r="CL198" s="106" t="e">
        <f>IF(G198="AUS",VLOOKUP(H198,$CU$5:$CW$23,2),IF(G198="NZ",VLOOKUP(H198,$CU$5:$CW$23,3),"error"))*AU198</f>
        <v>#N/A</v>
      </c>
      <c r="CM198" s="107" t="e">
        <f>IF(G198="AUS",VLOOKUP(H198,$CU$5:$CW$23,2),IF(G198="NZ",VLOOKUP(H198,$CU$5:$CW$23,3),"error"))*AX198</f>
        <v>#N/A</v>
      </c>
      <c r="CN198" s="106" t="e">
        <f>IF(G198="AUS",VLOOKUP(H198,$CU$5:$CW$23,2),IF(G198="NZ",VLOOKUP(H198,$CU$5:$CW$23,3),"error"))*BK198</f>
        <v>#N/A</v>
      </c>
    </row>
    <row r="199" spans="1:92" s="108" customFormat="1" ht="305.25">
      <c r="A199" s="83" t="str">
        <f t="shared" si="29"/>
        <v>Tobacco</v>
      </c>
      <c r="B199" s="84" t="s">
        <v>170</v>
      </c>
      <c r="C199" s="85"/>
      <c r="D199" s="86"/>
      <c r="E199" s="85" t="s">
        <v>172</v>
      </c>
      <c r="F199" s="85" t="str">
        <f t="shared" si="32"/>
        <v xml:space="preserve">Tobacco; ; Prevention ; </v>
      </c>
      <c r="G199" s="85" t="s">
        <v>205</v>
      </c>
      <c r="H199" s="85">
        <v>2011</v>
      </c>
      <c r="I199" s="85" t="str">
        <f>CONCATENATE(A199,", ",G199,": ",J199)</f>
        <v>Tobacco, NZ: Tax increased by 20% per year until 2025, tobacco retail outlets reduced by 95% and tobacco-free generation strategy implemented</v>
      </c>
      <c r="J199" s="121" t="s">
        <v>395</v>
      </c>
      <c r="K199" s="121">
        <v>20</v>
      </c>
      <c r="L199" s="121">
        <v>95</v>
      </c>
      <c r="M199" s="87" t="s">
        <v>398</v>
      </c>
      <c r="N199" s="87" t="s">
        <v>233</v>
      </c>
      <c r="O199" s="121">
        <v>0</v>
      </c>
      <c r="P199" s="85" t="s">
        <v>215</v>
      </c>
      <c r="Q199" s="85" t="s">
        <v>399</v>
      </c>
      <c r="R199" s="85" t="s">
        <v>399</v>
      </c>
      <c r="S199" s="85" t="s">
        <v>234</v>
      </c>
      <c r="T199" s="85" t="s">
        <v>235</v>
      </c>
      <c r="U199" s="85" t="s">
        <v>236</v>
      </c>
      <c r="V199" s="88" t="s">
        <v>397</v>
      </c>
      <c r="W199" s="88" t="s">
        <v>368</v>
      </c>
      <c r="X199" s="88" t="s">
        <v>199</v>
      </c>
      <c r="Y199" s="85" t="s">
        <v>208</v>
      </c>
      <c r="Z199" s="85" t="s">
        <v>289</v>
      </c>
      <c r="AA199" s="85" t="s">
        <v>179</v>
      </c>
      <c r="AB199" s="85" t="s">
        <v>180</v>
      </c>
      <c r="AC199" s="89">
        <v>0.03</v>
      </c>
      <c r="AD199" s="122"/>
      <c r="AE199" s="83"/>
      <c r="AF199" s="83"/>
      <c r="AG199" s="130">
        <v>13700</v>
      </c>
      <c r="AH199" s="130"/>
      <c r="AI199" s="130"/>
      <c r="AJ199" s="91">
        <v>340140</v>
      </c>
      <c r="AK199" s="94">
        <f t="shared" si="33"/>
        <v>40.277532780619744</v>
      </c>
      <c r="AL199" s="94"/>
      <c r="AM199" s="94"/>
      <c r="AN199" s="91"/>
      <c r="AO199" s="94"/>
      <c r="AP199" s="94"/>
      <c r="AQ199" s="94"/>
      <c r="AR199" s="120">
        <v>432000000</v>
      </c>
      <c r="AS199" s="120"/>
      <c r="AT199" s="96"/>
      <c r="AU199" s="120">
        <f t="shared" si="34"/>
        <v>1270065.2672429001</v>
      </c>
      <c r="AV199" s="96"/>
      <c r="AW199" s="96"/>
      <c r="AX199" s="96"/>
      <c r="AY199" s="96"/>
      <c r="AZ199" s="96"/>
      <c r="BA199" s="96"/>
      <c r="BB199" s="96"/>
      <c r="BC199" s="96"/>
      <c r="BD199" s="96"/>
      <c r="BE199" s="96"/>
      <c r="BF199" s="96"/>
      <c r="BG199" s="96"/>
      <c r="BH199" s="96"/>
      <c r="BI199" s="96"/>
      <c r="BJ199" s="83" t="s">
        <v>396</v>
      </c>
      <c r="BK199" s="98" t="str">
        <f t="shared" si="28"/>
        <v/>
      </c>
      <c r="BL199" s="98" t="str">
        <f t="shared" si="28"/>
        <v/>
      </c>
      <c r="BM199" s="98" t="str">
        <f t="shared" si="28"/>
        <v/>
      </c>
      <c r="BN199" s="100"/>
      <c r="BO199" s="100"/>
      <c r="BP199" s="100"/>
      <c r="BQ199" s="100"/>
      <c r="BR199" s="100"/>
      <c r="BS199" s="100"/>
      <c r="BT199" s="100"/>
      <c r="BU199" s="100"/>
      <c r="BV199" s="100"/>
      <c r="BW199" s="83"/>
      <c r="BX199" s="85" t="s">
        <v>399</v>
      </c>
      <c r="BY199" s="85" t="s">
        <v>399</v>
      </c>
      <c r="BZ199" s="102">
        <v>2016</v>
      </c>
      <c r="CA199" s="98"/>
      <c r="CB199" s="98"/>
      <c r="CC199" s="103">
        <f t="shared" si="27"/>
        <v>128</v>
      </c>
      <c r="CD199" s="98"/>
      <c r="CE199" s="98"/>
      <c r="CF199" s="98"/>
      <c r="CG199" s="105">
        <v>1</v>
      </c>
      <c r="CH199" s="105" t="str">
        <f>IF(CK199=0,"",IF(V199="Persistent",5,IF(V199="Once",1,IF(V199="One-off",1,"manual overwrite"))))</f>
        <v/>
      </c>
      <c r="CI199" s="105"/>
      <c r="CJ199" s="98">
        <f t="shared" si="30"/>
        <v>0</v>
      </c>
      <c r="CK199" s="98">
        <f>IF(CA199="C",0,IF(P199="Het",0,IF(SUM(AG199,AO199)=0,0,1)))</f>
        <v>0</v>
      </c>
      <c r="CL199" s="106" t="e">
        <f>IF(G199="AUS",VLOOKUP(H199,$CU$5:$CW$23,2),IF(G199="NZ",VLOOKUP(H199,$CU$5:$CW$23,3),"error"))*AU199</f>
        <v>#N/A</v>
      </c>
      <c r="CM199" s="107" t="e">
        <f>IF(G199="AUS",VLOOKUP(H199,$CU$5:$CW$23,2),IF(G199="NZ",VLOOKUP(H199,$CU$5:$CW$23,3),"error"))*AX199</f>
        <v>#N/A</v>
      </c>
      <c r="CN199" s="106" t="e">
        <f>IF(G199="AUS",VLOOKUP(H199,$CU$5:$CW$23,2),IF(G199="NZ",VLOOKUP(H199,$CU$5:$CW$23,3),"error"))*BK199</f>
        <v>#N/A</v>
      </c>
    </row>
    <row r="200" spans="1:92" s="108" customFormat="1" ht="305.25">
      <c r="A200" s="83" t="str">
        <f t="shared" si="29"/>
        <v>Tobacco</v>
      </c>
      <c r="B200" s="84" t="s">
        <v>170</v>
      </c>
      <c r="C200" s="85"/>
      <c r="D200" s="86"/>
      <c r="E200" s="85" t="s">
        <v>172</v>
      </c>
      <c r="F200" s="85" t="str">
        <f t="shared" si="32"/>
        <v xml:space="preserve">Tobacco; ; Prevention ; </v>
      </c>
      <c r="G200" s="85" t="s">
        <v>205</v>
      </c>
      <c r="H200" s="85">
        <v>2011</v>
      </c>
      <c r="I200" s="85" t="str">
        <f>CONCATENATE(A200,", ",G200,": ",J200)</f>
        <v>Tobacco, NZ: Tax increased by 20% per year until 2025, tobacco retail outlets reduced by 95% and tobacco-free generation strategy implemented</v>
      </c>
      <c r="J200" s="121" t="s">
        <v>395</v>
      </c>
      <c r="K200" s="121">
        <v>20</v>
      </c>
      <c r="L200" s="121">
        <v>95</v>
      </c>
      <c r="M200" s="87" t="s">
        <v>398</v>
      </c>
      <c r="N200" s="87" t="s">
        <v>233</v>
      </c>
      <c r="O200" s="121">
        <v>0</v>
      </c>
      <c r="P200" s="85" t="s">
        <v>215</v>
      </c>
      <c r="Q200" s="85" t="s">
        <v>400</v>
      </c>
      <c r="R200" s="85" t="s">
        <v>400</v>
      </c>
      <c r="S200" s="85" t="s">
        <v>239</v>
      </c>
      <c r="T200" s="85" t="s">
        <v>235</v>
      </c>
      <c r="U200" s="85" t="s">
        <v>236</v>
      </c>
      <c r="V200" s="88" t="s">
        <v>397</v>
      </c>
      <c r="W200" s="88" t="s">
        <v>368</v>
      </c>
      <c r="X200" s="88" t="s">
        <v>199</v>
      </c>
      <c r="Y200" s="85" t="s">
        <v>208</v>
      </c>
      <c r="Z200" s="85" t="s">
        <v>289</v>
      </c>
      <c r="AA200" s="85" t="s">
        <v>179</v>
      </c>
      <c r="AB200" s="85" t="s">
        <v>180</v>
      </c>
      <c r="AC200" s="89">
        <v>0.03</v>
      </c>
      <c r="AD200" s="122"/>
      <c r="AE200" s="83"/>
      <c r="AF200" s="83"/>
      <c r="AG200" s="130">
        <v>12300</v>
      </c>
      <c r="AH200" s="130"/>
      <c r="AI200" s="130"/>
      <c r="AJ200" s="91">
        <v>266130</v>
      </c>
      <c r="AK200" s="94">
        <f t="shared" si="33"/>
        <v>46.218013752677265</v>
      </c>
      <c r="AL200" s="94"/>
      <c r="AM200" s="94"/>
      <c r="AN200" s="91"/>
      <c r="AO200" s="94"/>
      <c r="AP200" s="94"/>
      <c r="AQ200" s="94"/>
      <c r="AR200" s="120">
        <v>432000000</v>
      </c>
      <c r="AS200" s="120"/>
      <c r="AT200" s="120"/>
      <c r="AU200" s="120">
        <f t="shared" si="34"/>
        <v>1623266.8244842745</v>
      </c>
      <c r="AV200" s="120"/>
      <c r="AW200" s="120"/>
      <c r="AX200" s="120"/>
      <c r="AY200" s="120"/>
      <c r="AZ200" s="120"/>
      <c r="BA200" s="120"/>
      <c r="BB200" s="120"/>
      <c r="BC200" s="120"/>
      <c r="BD200" s="120"/>
      <c r="BE200" s="120"/>
      <c r="BF200" s="120"/>
      <c r="BG200" s="96"/>
      <c r="BH200" s="96"/>
      <c r="BI200" s="96"/>
      <c r="BJ200" s="83" t="s">
        <v>396</v>
      </c>
      <c r="BK200" s="98" t="str">
        <f t="shared" si="28"/>
        <v/>
      </c>
      <c r="BL200" s="98" t="str">
        <f t="shared" si="28"/>
        <v/>
      </c>
      <c r="BM200" s="98" t="str">
        <f t="shared" si="28"/>
        <v/>
      </c>
      <c r="BN200" s="100"/>
      <c r="BO200" s="100"/>
      <c r="BP200" s="100"/>
      <c r="BQ200" s="100"/>
      <c r="BR200" s="100"/>
      <c r="BS200" s="100"/>
      <c r="BT200" s="100"/>
      <c r="BU200" s="100"/>
      <c r="BV200" s="100"/>
      <c r="BW200" s="83"/>
      <c r="BX200" s="85" t="s">
        <v>400</v>
      </c>
      <c r="BY200" s="85" t="s">
        <v>400</v>
      </c>
      <c r="BZ200" s="102">
        <v>2016</v>
      </c>
      <c r="CA200" s="98"/>
      <c r="CB200" s="98"/>
      <c r="CC200" s="103">
        <f t="shared" si="27"/>
        <v>128</v>
      </c>
      <c r="CD200" s="98"/>
      <c r="CE200" s="98"/>
      <c r="CF200" s="98"/>
      <c r="CG200" s="105">
        <v>1</v>
      </c>
      <c r="CH200" s="105" t="str">
        <f>IF(CK200=0,"",IF(V200="Persistent",5,IF(V200="Once",1,IF(V200="One-off",1,"manual overwrite"))))</f>
        <v/>
      </c>
      <c r="CI200" s="105"/>
      <c r="CJ200" s="98">
        <f t="shared" si="30"/>
        <v>0</v>
      </c>
      <c r="CK200" s="98">
        <f>IF(CA200="C",0,IF(P200="Het",0,IF(SUM(AG200,AO200)=0,0,1)))</f>
        <v>0</v>
      </c>
      <c r="CL200" s="106" t="e">
        <f>IF(G200="AUS",VLOOKUP(H200,$CU$5:$CW$23,2),IF(G200="NZ",VLOOKUP(H200,$CU$5:$CW$23,3),"error"))*AU200</f>
        <v>#N/A</v>
      </c>
      <c r="CM200" s="107" t="e">
        <f>IF(G200="AUS",VLOOKUP(H200,$CU$5:$CW$23,2),IF(G200="NZ",VLOOKUP(H200,$CU$5:$CW$23,3),"error"))*AX200</f>
        <v>#N/A</v>
      </c>
      <c r="CN200" s="106" t="e">
        <f>IF(G200="AUS",VLOOKUP(H200,$CU$5:$CW$23,2),IF(G200="NZ",VLOOKUP(H200,$CU$5:$CW$23,3),"error"))*BK200</f>
        <v>#N/A</v>
      </c>
    </row>
    <row r="201" spans="1:92" s="108" customFormat="1" ht="305.25">
      <c r="A201" s="83" t="str">
        <f t="shared" si="29"/>
        <v>Tobacco</v>
      </c>
      <c r="B201" s="84" t="s">
        <v>170</v>
      </c>
      <c r="C201" s="85"/>
      <c r="D201" s="86"/>
      <c r="E201" s="85" t="s">
        <v>172</v>
      </c>
      <c r="F201" s="85" t="str">
        <f t="shared" si="32"/>
        <v xml:space="preserve">Tobacco; ; Prevention ; </v>
      </c>
      <c r="G201" s="85" t="s">
        <v>205</v>
      </c>
      <c r="H201" s="85">
        <v>2011</v>
      </c>
      <c r="I201" s="85" t="str">
        <f>CONCATENATE(A201,", ",G201,": ",J201)</f>
        <v>Tobacco, NZ: Tax increased by 20% per year until 2025, tobacco retail outlets reduced by 95% and tobacco-free generation strategy implemented</v>
      </c>
      <c r="J201" s="121" t="s">
        <v>395</v>
      </c>
      <c r="K201" s="121">
        <v>20</v>
      </c>
      <c r="L201" s="121">
        <v>95</v>
      </c>
      <c r="M201" s="87" t="s">
        <v>398</v>
      </c>
      <c r="N201" s="87" t="s">
        <v>233</v>
      </c>
      <c r="O201" s="121">
        <v>0</v>
      </c>
      <c r="P201" s="85" t="s">
        <v>215</v>
      </c>
      <c r="Q201" s="85" t="s">
        <v>401</v>
      </c>
      <c r="R201" s="85" t="s">
        <v>401</v>
      </c>
      <c r="S201" s="85" t="s">
        <v>241</v>
      </c>
      <c r="T201" s="85" t="s">
        <v>235</v>
      </c>
      <c r="U201" s="85" t="s">
        <v>236</v>
      </c>
      <c r="V201" s="88" t="s">
        <v>397</v>
      </c>
      <c r="W201" s="88" t="s">
        <v>368</v>
      </c>
      <c r="X201" s="88" t="s">
        <v>199</v>
      </c>
      <c r="Y201" s="85" t="s">
        <v>208</v>
      </c>
      <c r="Z201" s="85" t="s">
        <v>289</v>
      </c>
      <c r="AA201" s="85" t="s">
        <v>179</v>
      </c>
      <c r="AB201" s="85" t="s">
        <v>180</v>
      </c>
      <c r="AC201" s="89">
        <v>0.03</v>
      </c>
      <c r="AD201" s="122"/>
      <c r="AE201" s="83"/>
      <c r="AF201" s="83"/>
      <c r="AG201" s="130">
        <v>10300</v>
      </c>
      <c r="AH201" s="130"/>
      <c r="AI201" s="130"/>
      <c r="AJ201" s="91">
        <v>486350</v>
      </c>
      <c r="AK201" s="94">
        <f t="shared" si="33"/>
        <v>21.178163873753469</v>
      </c>
      <c r="AL201" s="94"/>
      <c r="AM201" s="94"/>
      <c r="AN201" s="91"/>
      <c r="AO201" s="94"/>
      <c r="AP201" s="94"/>
      <c r="AQ201" s="94"/>
      <c r="AR201" s="120">
        <v>249000000</v>
      </c>
      <c r="AS201" s="120"/>
      <c r="AT201" s="120"/>
      <c r="AU201" s="120">
        <f t="shared" si="34"/>
        <v>511976.97131695284</v>
      </c>
      <c r="AV201" s="120"/>
      <c r="AW201" s="120"/>
      <c r="AX201" s="120"/>
      <c r="AY201" s="120"/>
      <c r="AZ201" s="120"/>
      <c r="BA201" s="120"/>
      <c r="BB201" s="120"/>
      <c r="BC201" s="120"/>
      <c r="BD201" s="120"/>
      <c r="BE201" s="120"/>
      <c r="BF201" s="120"/>
      <c r="BG201" s="96"/>
      <c r="BH201" s="96"/>
      <c r="BI201" s="96"/>
      <c r="BJ201" s="83" t="s">
        <v>396</v>
      </c>
      <c r="BK201" s="98" t="str">
        <f t="shared" si="28"/>
        <v/>
      </c>
      <c r="BL201" s="98" t="str">
        <f t="shared" si="28"/>
        <v/>
      </c>
      <c r="BM201" s="98" t="str">
        <f t="shared" si="28"/>
        <v/>
      </c>
      <c r="BN201" s="100"/>
      <c r="BO201" s="100"/>
      <c r="BP201" s="100"/>
      <c r="BQ201" s="100"/>
      <c r="BR201" s="100"/>
      <c r="BS201" s="100"/>
      <c r="BT201" s="100"/>
      <c r="BU201" s="100"/>
      <c r="BV201" s="100"/>
      <c r="BW201" s="83"/>
      <c r="BX201" s="85" t="s">
        <v>401</v>
      </c>
      <c r="BY201" s="85" t="s">
        <v>401</v>
      </c>
      <c r="BZ201" s="102">
        <v>2016</v>
      </c>
      <c r="CA201" s="98"/>
      <c r="CB201" s="98"/>
      <c r="CC201" s="103">
        <f t="shared" si="27"/>
        <v>128</v>
      </c>
      <c r="CD201" s="98"/>
      <c r="CE201" s="98"/>
      <c r="CF201" s="98"/>
      <c r="CG201" s="105">
        <v>1</v>
      </c>
      <c r="CH201" s="105" t="str">
        <f>IF(CK201=0,"",IF(V201="Persistent",5,IF(V201="Once",1,IF(V201="One-off",1,"manual overwrite"))))</f>
        <v/>
      </c>
      <c r="CI201" s="105"/>
      <c r="CJ201" s="98">
        <f t="shared" si="30"/>
        <v>0</v>
      </c>
      <c r="CK201" s="98">
        <f>IF(CA201="C",0,IF(P201="Het",0,IF(SUM(AG201,AO201)=0,0,1)))</f>
        <v>0</v>
      </c>
      <c r="CL201" s="106" t="e">
        <f>IF(G201="AUS",VLOOKUP(H201,$CU$5:$CW$23,2),IF(G201="NZ",VLOOKUP(H201,$CU$5:$CW$23,3),"error"))*AU201</f>
        <v>#N/A</v>
      </c>
      <c r="CM201" s="107" t="e">
        <f>IF(G201="AUS",VLOOKUP(H201,$CU$5:$CW$23,2),IF(G201="NZ",VLOOKUP(H201,$CU$5:$CW$23,3),"error"))*AX201</f>
        <v>#N/A</v>
      </c>
      <c r="CN201" s="106" t="e">
        <f>IF(G201="AUS",VLOOKUP(H201,$CU$5:$CW$23,2),IF(G201="NZ",VLOOKUP(H201,$CU$5:$CW$23,3),"error"))*BK201</f>
        <v>#N/A</v>
      </c>
    </row>
    <row r="202" spans="1:92" s="108" customFormat="1" ht="305.25">
      <c r="A202" s="83" t="str">
        <f t="shared" si="29"/>
        <v>Tobacco</v>
      </c>
      <c r="B202" s="84" t="s">
        <v>170</v>
      </c>
      <c r="C202" s="85"/>
      <c r="D202" s="86"/>
      <c r="E202" s="85" t="s">
        <v>172</v>
      </c>
      <c r="F202" s="85" t="str">
        <f t="shared" si="32"/>
        <v xml:space="preserve">Tobacco; ; Prevention ; </v>
      </c>
      <c r="G202" s="85" t="s">
        <v>205</v>
      </c>
      <c r="H202" s="85">
        <v>2011</v>
      </c>
      <c r="I202" s="85" t="str">
        <f>CONCATENATE(A202,", ",G202,": ",J202)</f>
        <v>Tobacco, NZ: Tax increased by 20% per year until 2025, tobacco retail outlets reduced by 95% and tobacco-free generation strategy implemented</v>
      </c>
      <c r="J202" s="121" t="s">
        <v>395</v>
      </c>
      <c r="K202" s="121">
        <v>20</v>
      </c>
      <c r="L202" s="121">
        <v>95</v>
      </c>
      <c r="M202" s="87" t="s">
        <v>398</v>
      </c>
      <c r="N202" s="87" t="s">
        <v>233</v>
      </c>
      <c r="O202" s="121">
        <v>0</v>
      </c>
      <c r="P202" s="85" t="s">
        <v>215</v>
      </c>
      <c r="Q202" s="85" t="s">
        <v>402</v>
      </c>
      <c r="R202" s="85" t="s">
        <v>402</v>
      </c>
      <c r="S202" s="85" t="s">
        <v>244</v>
      </c>
      <c r="T202" s="85" t="s">
        <v>235</v>
      </c>
      <c r="U202" s="85" t="s">
        <v>236</v>
      </c>
      <c r="V202" s="88" t="s">
        <v>397</v>
      </c>
      <c r="W202" s="88" t="s">
        <v>368</v>
      </c>
      <c r="X202" s="88" t="s">
        <v>199</v>
      </c>
      <c r="Y202" s="85" t="s">
        <v>208</v>
      </c>
      <c r="Z202" s="85" t="s">
        <v>289</v>
      </c>
      <c r="AA202" s="85" t="s">
        <v>179</v>
      </c>
      <c r="AB202" s="85" t="s">
        <v>180</v>
      </c>
      <c r="AC202" s="89">
        <v>0.03</v>
      </c>
      <c r="AD202" s="122"/>
      <c r="AE202" s="83"/>
      <c r="AF202" s="83"/>
      <c r="AG202" s="130">
        <v>5750</v>
      </c>
      <c r="AH202" s="130"/>
      <c r="AI202" s="130"/>
      <c r="AJ202" s="91">
        <v>487380</v>
      </c>
      <c r="AK202" s="94">
        <f t="shared" si="33"/>
        <v>11.797775862776479</v>
      </c>
      <c r="AL202" s="94"/>
      <c r="AM202" s="94"/>
      <c r="AN202" s="91"/>
      <c r="AO202" s="94"/>
      <c r="AP202" s="94"/>
      <c r="AQ202" s="94"/>
      <c r="AR202" s="120">
        <v>95000000</v>
      </c>
      <c r="AS202" s="120"/>
      <c r="AT202" s="120"/>
      <c r="AU202" s="120">
        <f t="shared" si="34"/>
        <v>194919.7751241331</v>
      </c>
      <c r="AV202" s="120"/>
      <c r="AW202" s="120"/>
      <c r="AX202" s="120"/>
      <c r="AY202" s="120"/>
      <c r="AZ202" s="120"/>
      <c r="BA202" s="120"/>
      <c r="BB202" s="120"/>
      <c r="BC202" s="120"/>
      <c r="BD202" s="120"/>
      <c r="BE202" s="120"/>
      <c r="BF202" s="120"/>
      <c r="BG202" s="96"/>
      <c r="BH202" s="96"/>
      <c r="BI202" s="96"/>
      <c r="BJ202" s="83" t="s">
        <v>396</v>
      </c>
      <c r="BK202" s="98" t="str">
        <f t="shared" si="28"/>
        <v/>
      </c>
      <c r="BL202" s="98" t="str">
        <f t="shared" si="28"/>
        <v/>
      </c>
      <c r="BM202" s="98" t="str">
        <f t="shared" si="28"/>
        <v/>
      </c>
      <c r="BN202" s="100"/>
      <c r="BO202" s="100"/>
      <c r="BP202" s="100"/>
      <c r="BQ202" s="100"/>
      <c r="BR202" s="100"/>
      <c r="BS202" s="100"/>
      <c r="BT202" s="100"/>
      <c r="BU202" s="100"/>
      <c r="BV202" s="100"/>
      <c r="BW202" s="83"/>
      <c r="BX202" s="85" t="s">
        <v>402</v>
      </c>
      <c r="BY202" s="85" t="s">
        <v>402</v>
      </c>
      <c r="BZ202" s="102">
        <v>2016</v>
      </c>
      <c r="CA202" s="98"/>
      <c r="CB202" s="98"/>
      <c r="CC202" s="103">
        <f t="shared" si="27"/>
        <v>128</v>
      </c>
      <c r="CD202" s="98"/>
      <c r="CE202" s="98"/>
      <c r="CF202" s="98"/>
      <c r="CG202" s="105">
        <v>1</v>
      </c>
      <c r="CH202" s="105" t="str">
        <f>IF(CK202=0,"",IF(V202="Persistent",5,IF(V202="Once",1,IF(V202="One-off",1,"manual overwrite"))))</f>
        <v/>
      </c>
      <c r="CI202" s="105"/>
      <c r="CJ202" s="98">
        <f t="shared" si="30"/>
        <v>0</v>
      </c>
      <c r="CK202" s="98">
        <f>IF(CA202="C",0,IF(P202="Het",0,IF(SUM(AG202,AO202)=0,0,1)))</f>
        <v>0</v>
      </c>
      <c r="CL202" s="106" t="e">
        <f>IF(G202="AUS",VLOOKUP(H202,$CU$5:$CW$23,2),IF(G202="NZ",VLOOKUP(H202,$CU$5:$CW$23,3),"error"))*AU202</f>
        <v>#N/A</v>
      </c>
      <c r="CM202" s="107" t="e">
        <f>IF(G202="AUS",VLOOKUP(H202,$CU$5:$CW$23,2),IF(G202="NZ",VLOOKUP(H202,$CU$5:$CW$23,3),"error"))*AX202</f>
        <v>#N/A</v>
      </c>
      <c r="CN202" s="106" t="e">
        <f>IF(G202="AUS",VLOOKUP(H202,$CU$5:$CW$23,2),IF(G202="NZ",VLOOKUP(H202,$CU$5:$CW$23,3),"error"))*BK202</f>
        <v>#N/A</v>
      </c>
    </row>
    <row r="203" spans="1:92" s="108" customFormat="1" ht="305.25">
      <c r="A203" s="83" t="str">
        <f t="shared" si="29"/>
        <v>Tobacco</v>
      </c>
      <c r="B203" s="84" t="s">
        <v>170</v>
      </c>
      <c r="C203" s="85"/>
      <c r="D203" s="86"/>
      <c r="E203" s="85" t="s">
        <v>172</v>
      </c>
      <c r="F203" s="85" t="str">
        <f t="shared" si="32"/>
        <v xml:space="preserve">Tobacco; ; Prevention ; </v>
      </c>
      <c r="G203" s="85" t="s">
        <v>205</v>
      </c>
      <c r="H203" s="85">
        <v>2011</v>
      </c>
      <c r="I203" s="85" t="str">
        <f>CONCATENATE(A203,", ",G203,": ",J203)</f>
        <v>Tobacco, NZ: Tax increased by 20% per year until 2025, tobacco retail outlets reduced by 95% and tobacco-free generation strategy implemented</v>
      </c>
      <c r="J203" s="121" t="s">
        <v>395</v>
      </c>
      <c r="K203" s="121">
        <v>20</v>
      </c>
      <c r="L203" s="121">
        <v>95</v>
      </c>
      <c r="M203" s="87" t="s">
        <v>398</v>
      </c>
      <c r="N203" s="87" t="s">
        <v>233</v>
      </c>
      <c r="O203" s="121">
        <v>0</v>
      </c>
      <c r="P203" s="85" t="s">
        <v>215</v>
      </c>
      <c r="Q203" s="85" t="s">
        <v>403</v>
      </c>
      <c r="R203" s="85" t="s">
        <v>403</v>
      </c>
      <c r="S203" s="85" t="s">
        <v>247</v>
      </c>
      <c r="T203" s="85" t="s">
        <v>235</v>
      </c>
      <c r="U203" s="85" t="s">
        <v>236</v>
      </c>
      <c r="V203" s="88" t="s">
        <v>397</v>
      </c>
      <c r="W203" s="88" t="s">
        <v>368</v>
      </c>
      <c r="X203" s="88" t="s">
        <v>199</v>
      </c>
      <c r="Y203" s="85" t="s">
        <v>208</v>
      </c>
      <c r="Z203" s="85" t="s">
        <v>289</v>
      </c>
      <c r="AA203" s="85" t="s">
        <v>179</v>
      </c>
      <c r="AB203" s="85" t="s">
        <v>180</v>
      </c>
      <c r="AC203" s="89">
        <v>0.03</v>
      </c>
      <c r="AD203" s="122"/>
      <c r="AE203" s="83"/>
      <c r="AF203" s="83"/>
      <c r="AG203" s="130">
        <v>455</v>
      </c>
      <c r="AH203" s="130"/>
      <c r="AI203" s="130"/>
      <c r="AJ203" s="91">
        <v>253710</v>
      </c>
      <c r="AK203" s="94">
        <f t="shared" si="33"/>
        <v>1.7933861495408143</v>
      </c>
      <c r="AL203" s="94"/>
      <c r="AM203" s="94"/>
      <c r="AN203" s="91"/>
      <c r="AO203" s="94"/>
      <c r="AP203" s="94"/>
      <c r="AQ203" s="94"/>
      <c r="AR203" s="120">
        <v>3870000</v>
      </c>
      <c r="AS203" s="120"/>
      <c r="AT203" s="120"/>
      <c r="AU203" s="120">
        <f t="shared" si="34"/>
        <v>15253.636041149344</v>
      </c>
      <c r="AV203" s="120"/>
      <c r="AW203" s="120"/>
      <c r="AX203" s="120"/>
      <c r="AY203" s="120"/>
      <c r="AZ203" s="120"/>
      <c r="BA203" s="120"/>
      <c r="BB203" s="120"/>
      <c r="BC203" s="120"/>
      <c r="BD203" s="120"/>
      <c r="BE203" s="120"/>
      <c r="BF203" s="120"/>
      <c r="BG203" s="96"/>
      <c r="BH203" s="96"/>
      <c r="BI203" s="96"/>
      <c r="BJ203" s="83" t="s">
        <v>396</v>
      </c>
      <c r="BK203" s="98" t="str">
        <f t="shared" ref="BK203:BM234" si="35">IF($BJ203="Y",IF(BN203="",IF(BQ203="",BT203,BQ203),BN203),"")</f>
        <v/>
      </c>
      <c r="BL203" s="98" t="str">
        <f t="shared" si="35"/>
        <v/>
      </c>
      <c r="BM203" s="98" t="str">
        <f t="shared" si="35"/>
        <v/>
      </c>
      <c r="BN203" s="100"/>
      <c r="BO203" s="100"/>
      <c r="BP203" s="100"/>
      <c r="BQ203" s="100"/>
      <c r="BR203" s="100"/>
      <c r="BS203" s="100"/>
      <c r="BT203" s="100"/>
      <c r="BU203" s="100"/>
      <c r="BV203" s="100"/>
      <c r="BW203" s="83"/>
      <c r="BX203" s="85" t="s">
        <v>403</v>
      </c>
      <c r="BY203" s="85" t="s">
        <v>403</v>
      </c>
      <c r="BZ203" s="102">
        <v>2016</v>
      </c>
      <c r="CA203" s="98"/>
      <c r="CB203" s="98"/>
      <c r="CC203" s="103">
        <f t="shared" ref="CC203:CC253" si="36">LEN(J203)</f>
        <v>128</v>
      </c>
      <c r="CD203" s="98"/>
      <c r="CE203" s="98"/>
      <c r="CF203" s="98"/>
      <c r="CG203" s="105">
        <v>1</v>
      </c>
      <c r="CH203" s="105" t="str">
        <f>IF(CK203=0,"",IF(V203="Persistent",5,IF(V203="Once",1,IF(V203="One-off",1,"manual overwrite"))))</f>
        <v/>
      </c>
      <c r="CI203" s="105"/>
      <c r="CJ203" s="98">
        <f t="shared" si="30"/>
        <v>0</v>
      </c>
      <c r="CK203" s="98">
        <f>IF(CA203="C",0,IF(P203="Het",0,IF(SUM(AG203,AO203)=0,0,1)))</f>
        <v>0</v>
      </c>
      <c r="CL203" s="106" t="e">
        <f>IF(G203="AUS",VLOOKUP(H203,$CU$5:$CW$23,2),IF(G203="NZ",VLOOKUP(H203,$CU$5:$CW$23,3),"error"))*AU203</f>
        <v>#N/A</v>
      </c>
      <c r="CM203" s="107" t="e">
        <f>IF(G203="AUS",VLOOKUP(H203,$CU$5:$CW$23,2),IF(G203="NZ",VLOOKUP(H203,$CU$5:$CW$23,3),"error"))*AX203</f>
        <v>#N/A</v>
      </c>
      <c r="CN203" s="106" t="e">
        <f>IF(G203="AUS",VLOOKUP(H203,$CU$5:$CW$23,2),IF(G203="NZ",VLOOKUP(H203,$CU$5:$CW$23,3),"error"))*BK203</f>
        <v>#N/A</v>
      </c>
    </row>
    <row r="204" spans="1:92" s="108" customFormat="1" ht="305.25" hidden="1">
      <c r="A204" s="83" t="str">
        <f t="shared" si="29"/>
        <v>Tobacco</v>
      </c>
      <c r="B204" s="84" t="s">
        <v>170</v>
      </c>
      <c r="C204" s="85"/>
      <c r="D204" s="86"/>
      <c r="E204" s="85" t="s">
        <v>172</v>
      </c>
      <c r="F204" s="85" t="str">
        <f t="shared" si="32"/>
        <v xml:space="preserve">Tobacco; ; Prevention ; </v>
      </c>
      <c r="G204" s="85" t="s">
        <v>205</v>
      </c>
      <c r="H204" s="85">
        <v>2011</v>
      </c>
      <c r="I204" s="85" t="str">
        <f>CONCATENATE(A204,", ",G204,": ",J204)</f>
        <v>Tobacco, NZ: Tax increased by 20% per year until 2025, tobacco retail outlets reduced by 95% and tobacco-free generation strategy implemented</v>
      </c>
      <c r="J204" s="121" t="s">
        <v>395</v>
      </c>
      <c r="K204" s="121"/>
      <c r="L204" s="121">
        <v>95</v>
      </c>
      <c r="M204" s="121"/>
      <c r="N204" s="121"/>
      <c r="O204" s="121"/>
      <c r="P204" s="85" t="s">
        <v>215</v>
      </c>
      <c r="Q204" s="85" t="s">
        <v>404</v>
      </c>
      <c r="R204" s="85" t="s">
        <v>404</v>
      </c>
      <c r="S204" s="85"/>
      <c r="T204" s="85"/>
      <c r="U204" s="85"/>
      <c r="V204" s="88" t="s">
        <v>397</v>
      </c>
      <c r="W204" s="88"/>
      <c r="X204" s="88"/>
      <c r="Y204" s="85" t="s">
        <v>208</v>
      </c>
      <c r="Z204" s="85" t="s">
        <v>289</v>
      </c>
      <c r="AA204" s="85" t="s">
        <v>179</v>
      </c>
      <c r="AB204" s="85" t="s">
        <v>180</v>
      </c>
      <c r="AC204" s="89">
        <v>0.03</v>
      </c>
      <c r="AD204" s="122"/>
      <c r="AE204" s="83"/>
      <c r="AF204" s="83"/>
      <c r="AG204" s="130">
        <v>42600</v>
      </c>
      <c r="AH204" s="130"/>
      <c r="AI204" s="130"/>
      <c r="AJ204" s="91">
        <v>1833710</v>
      </c>
      <c r="AK204" s="94">
        <f t="shared" si="33"/>
        <v>23.231590600476629</v>
      </c>
      <c r="AL204" s="94"/>
      <c r="AM204" s="94"/>
      <c r="AN204" s="91"/>
      <c r="AO204" s="94"/>
      <c r="AP204" s="94"/>
      <c r="AQ204" s="94"/>
      <c r="AR204" s="120">
        <v>1150000000</v>
      </c>
      <c r="AS204" s="120"/>
      <c r="AT204" s="120"/>
      <c r="AU204" s="120">
        <f t="shared" si="34"/>
        <v>627143.87771239725</v>
      </c>
      <c r="AV204" s="120"/>
      <c r="AW204" s="120"/>
      <c r="AX204" s="120"/>
      <c r="AY204" s="120"/>
      <c r="AZ204" s="120"/>
      <c r="BA204" s="120"/>
      <c r="BB204" s="120"/>
      <c r="BC204" s="120"/>
      <c r="BD204" s="120"/>
      <c r="BE204" s="120"/>
      <c r="BF204" s="120"/>
      <c r="BG204" s="96"/>
      <c r="BH204" s="96"/>
      <c r="BI204" s="96"/>
      <c r="BJ204" s="83" t="s">
        <v>396</v>
      </c>
      <c r="BK204" s="98" t="str">
        <f t="shared" si="35"/>
        <v/>
      </c>
      <c r="BL204" s="98" t="str">
        <f t="shared" si="35"/>
        <v/>
      </c>
      <c r="BM204" s="98" t="str">
        <f t="shared" si="35"/>
        <v/>
      </c>
      <c r="BN204" s="100"/>
      <c r="BO204" s="100"/>
      <c r="BP204" s="100"/>
      <c r="BQ204" s="100"/>
      <c r="BR204" s="100"/>
      <c r="BS204" s="100"/>
      <c r="BT204" s="100"/>
      <c r="BU204" s="100"/>
      <c r="BV204" s="100"/>
      <c r="BW204" s="83"/>
      <c r="BX204" s="85" t="s">
        <v>404</v>
      </c>
      <c r="BY204" s="85" t="s">
        <v>404</v>
      </c>
      <c r="BZ204" s="102">
        <v>2016</v>
      </c>
      <c r="CA204" s="98"/>
      <c r="CB204" s="98"/>
      <c r="CC204" s="103">
        <f t="shared" si="36"/>
        <v>128</v>
      </c>
      <c r="CD204" s="98"/>
      <c r="CE204" s="98"/>
      <c r="CF204" s="98"/>
      <c r="CG204" s="105">
        <v>1</v>
      </c>
      <c r="CH204" s="105" t="str">
        <f>IF(CK204=0,"",IF(V204="Persistent",5,IF(V204="Once",1,IF(V204="One-off",1,"manual overwrite"))))</f>
        <v/>
      </c>
      <c r="CI204" s="105"/>
      <c r="CJ204" s="98">
        <f t="shared" si="30"/>
        <v>0</v>
      </c>
      <c r="CK204" s="98">
        <f>IF(CA204="C",0,IF(P204="Het",0,IF(SUM(AG204,AO204)=0,0,1)))</f>
        <v>0</v>
      </c>
      <c r="CL204" s="106" t="e">
        <f>IF(G204="AUS",VLOOKUP(H204,$CU$5:$CW$23,2),IF(G204="NZ",VLOOKUP(H204,$CU$5:$CW$23,3),"error"))*AU204</f>
        <v>#N/A</v>
      </c>
      <c r="CM204" s="107" t="e">
        <f>IF(G204="AUS",VLOOKUP(H204,$CU$5:$CW$23,2),IF(G204="NZ",VLOOKUP(H204,$CU$5:$CW$23,3),"error"))*AX204</f>
        <v>#N/A</v>
      </c>
      <c r="CN204" s="106" t="e">
        <f>IF(G204="AUS",VLOOKUP(H204,$CU$5:$CW$23,2),IF(G204="NZ",VLOOKUP(H204,$CU$5:$CW$23,3),"error"))*BK204</f>
        <v>#N/A</v>
      </c>
    </row>
    <row r="205" spans="1:92" s="108" customFormat="1" ht="305.25">
      <c r="A205" s="83" t="str">
        <f t="shared" si="29"/>
        <v>Tobacco</v>
      </c>
      <c r="B205" s="84" t="s">
        <v>170</v>
      </c>
      <c r="C205" s="85"/>
      <c r="D205" s="86"/>
      <c r="E205" s="85" t="s">
        <v>172</v>
      </c>
      <c r="F205" s="85" t="str">
        <f t="shared" si="32"/>
        <v xml:space="preserve">Tobacco; ; Prevention ; </v>
      </c>
      <c r="G205" s="85" t="s">
        <v>205</v>
      </c>
      <c r="H205" s="85">
        <v>2011</v>
      </c>
      <c r="I205" s="85" t="str">
        <f>CONCATENATE(A205,", ",G205,": ",J205)</f>
        <v>Tobacco, NZ: Tax increased by 20% per year until 2025, tobacco retail outlets reduced by 95% and tobacco-free generation strategy implemented</v>
      </c>
      <c r="J205" s="121" t="s">
        <v>395</v>
      </c>
      <c r="K205" s="121">
        <v>20</v>
      </c>
      <c r="L205" s="121">
        <v>95</v>
      </c>
      <c r="M205" s="87" t="s">
        <v>398</v>
      </c>
      <c r="N205" s="87" t="s">
        <v>233</v>
      </c>
      <c r="O205" s="121">
        <v>0</v>
      </c>
      <c r="P205" s="85" t="s">
        <v>215</v>
      </c>
      <c r="Q205" s="85" t="s">
        <v>405</v>
      </c>
      <c r="R205" s="85" t="s">
        <v>405</v>
      </c>
      <c r="S205" s="85" t="s">
        <v>234</v>
      </c>
      <c r="T205" s="85" t="s">
        <v>250</v>
      </c>
      <c r="U205" s="85" t="s">
        <v>236</v>
      </c>
      <c r="V205" s="88" t="s">
        <v>397</v>
      </c>
      <c r="W205" s="88" t="s">
        <v>368</v>
      </c>
      <c r="X205" s="88" t="s">
        <v>199</v>
      </c>
      <c r="Y205" s="85" t="s">
        <v>208</v>
      </c>
      <c r="Z205" s="85" t="s">
        <v>289</v>
      </c>
      <c r="AA205" s="85" t="s">
        <v>179</v>
      </c>
      <c r="AB205" s="85" t="s">
        <v>180</v>
      </c>
      <c r="AC205" s="89">
        <v>0.03</v>
      </c>
      <c r="AD205" s="122"/>
      <c r="AE205" s="83"/>
      <c r="AF205" s="83"/>
      <c r="AG205" s="130">
        <v>11600</v>
      </c>
      <c r="AH205" s="130"/>
      <c r="AI205" s="130"/>
      <c r="AJ205" s="91">
        <v>323780</v>
      </c>
      <c r="AK205" s="94">
        <f t="shared" si="33"/>
        <v>35.826795972573969</v>
      </c>
      <c r="AL205" s="94"/>
      <c r="AM205" s="94"/>
      <c r="AN205" s="91"/>
      <c r="AO205" s="94"/>
      <c r="AP205" s="94"/>
      <c r="AQ205" s="94"/>
      <c r="AR205" s="120">
        <v>307000000</v>
      </c>
      <c r="AS205" s="120"/>
      <c r="AT205" s="120"/>
      <c r="AU205" s="120">
        <f t="shared" si="34"/>
        <v>948174.68651553523</v>
      </c>
      <c r="AV205" s="120"/>
      <c r="AW205" s="120"/>
      <c r="AX205" s="120"/>
      <c r="AY205" s="120"/>
      <c r="AZ205" s="120"/>
      <c r="BA205" s="120"/>
      <c r="BB205" s="120"/>
      <c r="BC205" s="120"/>
      <c r="BD205" s="120"/>
      <c r="BE205" s="120"/>
      <c r="BF205" s="120"/>
      <c r="BG205" s="96"/>
      <c r="BH205" s="96"/>
      <c r="BI205" s="96"/>
      <c r="BJ205" s="83" t="s">
        <v>396</v>
      </c>
      <c r="BK205" s="98" t="str">
        <f t="shared" si="35"/>
        <v/>
      </c>
      <c r="BL205" s="98" t="str">
        <f t="shared" si="35"/>
        <v/>
      </c>
      <c r="BM205" s="98" t="str">
        <f t="shared" si="35"/>
        <v/>
      </c>
      <c r="BN205" s="100"/>
      <c r="BO205" s="100"/>
      <c r="BP205" s="100"/>
      <c r="BQ205" s="100"/>
      <c r="BR205" s="100"/>
      <c r="BS205" s="100"/>
      <c r="BT205" s="100"/>
      <c r="BU205" s="100"/>
      <c r="BV205" s="100"/>
      <c r="BW205" s="83"/>
      <c r="BX205" s="85" t="s">
        <v>405</v>
      </c>
      <c r="BY205" s="85" t="s">
        <v>405</v>
      </c>
      <c r="BZ205" s="102">
        <v>2016</v>
      </c>
      <c r="CA205" s="98"/>
      <c r="CB205" s="98"/>
      <c r="CC205" s="103">
        <f t="shared" si="36"/>
        <v>128</v>
      </c>
      <c r="CD205" s="98"/>
      <c r="CE205" s="98"/>
      <c r="CF205" s="98"/>
      <c r="CG205" s="105">
        <v>1</v>
      </c>
      <c r="CH205" s="105" t="str">
        <f>IF(CK205=0,"",IF(V205="Persistent",5,IF(V205="Once",1,IF(V205="One-off",1,"manual overwrite"))))</f>
        <v/>
      </c>
      <c r="CI205" s="105"/>
      <c r="CJ205" s="98">
        <f t="shared" si="30"/>
        <v>0</v>
      </c>
      <c r="CK205" s="98">
        <f>IF(CA205="C",0,IF(P205="Het",0,IF(SUM(AG205,AO205)=0,0,1)))</f>
        <v>0</v>
      </c>
      <c r="CL205" s="106" t="e">
        <f>IF(G205="AUS",VLOOKUP(H205,$CU$5:$CW$23,2),IF(G205="NZ",VLOOKUP(H205,$CU$5:$CW$23,3),"error"))*AU205</f>
        <v>#N/A</v>
      </c>
      <c r="CM205" s="107" t="e">
        <f>IF(G205="AUS",VLOOKUP(H205,$CU$5:$CW$23,2),IF(G205="NZ",VLOOKUP(H205,$CU$5:$CW$23,3),"error"))*AX205</f>
        <v>#N/A</v>
      </c>
      <c r="CN205" s="106" t="e">
        <f>IF(G205="AUS",VLOOKUP(H205,$CU$5:$CW$23,2),IF(G205="NZ",VLOOKUP(H205,$CU$5:$CW$23,3),"error"))*BK205</f>
        <v>#N/A</v>
      </c>
    </row>
    <row r="206" spans="1:92" s="108" customFormat="1" ht="305.25">
      <c r="A206" s="83" t="str">
        <f t="shared" si="29"/>
        <v>Tobacco</v>
      </c>
      <c r="B206" s="84" t="s">
        <v>170</v>
      </c>
      <c r="C206" s="85"/>
      <c r="D206" s="86"/>
      <c r="E206" s="85" t="s">
        <v>172</v>
      </c>
      <c r="F206" s="85" t="str">
        <f t="shared" si="32"/>
        <v xml:space="preserve">Tobacco; ; Prevention ; </v>
      </c>
      <c r="G206" s="85" t="s">
        <v>205</v>
      </c>
      <c r="H206" s="85">
        <v>2011</v>
      </c>
      <c r="I206" s="85" t="str">
        <f>CONCATENATE(A206,", ",G206,": ",J206)</f>
        <v>Tobacco, NZ: Tax increased by 20% per year until 2025, tobacco retail outlets reduced by 95% and tobacco-free generation strategy implemented</v>
      </c>
      <c r="J206" s="121" t="s">
        <v>395</v>
      </c>
      <c r="K206" s="121">
        <v>20</v>
      </c>
      <c r="L206" s="121">
        <v>95</v>
      </c>
      <c r="M206" s="87" t="s">
        <v>398</v>
      </c>
      <c r="N206" s="87" t="s">
        <v>233</v>
      </c>
      <c r="O206" s="121">
        <v>0</v>
      </c>
      <c r="P206" s="85" t="s">
        <v>215</v>
      </c>
      <c r="Q206" s="85" t="s">
        <v>406</v>
      </c>
      <c r="R206" s="85" t="s">
        <v>406</v>
      </c>
      <c r="S206" s="85" t="s">
        <v>239</v>
      </c>
      <c r="T206" s="85" t="s">
        <v>250</v>
      </c>
      <c r="U206" s="85" t="s">
        <v>236</v>
      </c>
      <c r="V206" s="88" t="s">
        <v>397</v>
      </c>
      <c r="W206" s="88" t="s">
        <v>368</v>
      </c>
      <c r="X206" s="88" t="s">
        <v>199</v>
      </c>
      <c r="Y206" s="85" t="s">
        <v>208</v>
      </c>
      <c r="Z206" s="85" t="s">
        <v>289</v>
      </c>
      <c r="AA206" s="85" t="s">
        <v>179</v>
      </c>
      <c r="AB206" s="85" t="s">
        <v>180</v>
      </c>
      <c r="AC206" s="89">
        <v>0.03</v>
      </c>
      <c r="AD206" s="122"/>
      <c r="AE206" s="83"/>
      <c r="AF206" s="83"/>
      <c r="AG206" s="130">
        <v>9550</v>
      </c>
      <c r="AH206" s="130"/>
      <c r="AI206" s="130"/>
      <c r="AJ206" s="91">
        <v>248800</v>
      </c>
      <c r="AK206" s="94">
        <f t="shared" si="33"/>
        <v>38.384244372990352</v>
      </c>
      <c r="AL206" s="94"/>
      <c r="AM206" s="94"/>
      <c r="AN206" s="91"/>
      <c r="AO206" s="94"/>
      <c r="AP206" s="94"/>
      <c r="AQ206" s="94"/>
      <c r="AR206" s="120">
        <v>247000000</v>
      </c>
      <c r="AS206" s="120"/>
      <c r="AT206" s="120"/>
      <c r="AU206" s="120">
        <f t="shared" si="34"/>
        <v>992765.27331189706</v>
      </c>
      <c r="AV206" s="120"/>
      <c r="AW206" s="120"/>
      <c r="AX206" s="120"/>
      <c r="AY206" s="120"/>
      <c r="AZ206" s="120"/>
      <c r="BA206" s="120"/>
      <c r="BB206" s="120"/>
      <c r="BC206" s="120"/>
      <c r="BD206" s="120"/>
      <c r="BE206" s="120"/>
      <c r="BF206" s="120"/>
      <c r="BG206" s="96"/>
      <c r="BH206" s="96"/>
      <c r="BI206" s="96"/>
      <c r="BJ206" s="83" t="s">
        <v>396</v>
      </c>
      <c r="BK206" s="98" t="str">
        <f t="shared" si="35"/>
        <v/>
      </c>
      <c r="BL206" s="98" t="str">
        <f t="shared" si="35"/>
        <v/>
      </c>
      <c r="BM206" s="98" t="str">
        <f t="shared" si="35"/>
        <v/>
      </c>
      <c r="BN206" s="100"/>
      <c r="BO206" s="100"/>
      <c r="BP206" s="100"/>
      <c r="BQ206" s="100"/>
      <c r="BR206" s="100"/>
      <c r="BS206" s="100"/>
      <c r="BT206" s="100"/>
      <c r="BU206" s="100"/>
      <c r="BV206" s="100"/>
      <c r="BW206" s="83"/>
      <c r="BX206" s="85" t="s">
        <v>406</v>
      </c>
      <c r="BY206" s="85" t="s">
        <v>406</v>
      </c>
      <c r="BZ206" s="102">
        <v>2016</v>
      </c>
      <c r="CA206" s="98"/>
      <c r="CB206" s="98"/>
      <c r="CC206" s="103">
        <f t="shared" si="36"/>
        <v>128</v>
      </c>
      <c r="CD206" s="98"/>
      <c r="CE206" s="98"/>
      <c r="CF206" s="98"/>
      <c r="CG206" s="105">
        <v>1</v>
      </c>
      <c r="CH206" s="105" t="str">
        <f>IF(CK206=0,"",IF(V206="Persistent",5,IF(V206="Once",1,IF(V206="One-off",1,"manual overwrite"))))</f>
        <v/>
      </c>
      <c r="CI206" s="105"/>
      <c r="CJ206" s="98">
        <f t="shared" si="30"/>
        <v>0</v>
      </c>
      <c r="CK206" s="98">
        <f>IF(CA206="C",0,IF(P206="Het",0,IF(SUM(AG206,AO206)=0,0,1)))</f>
        <v>0</v>
      </c>
      <c r="CL206" s="106" t="e">
        <f>IF(G206="AUS",VLOOKUP(H206,$CU$5:$CW$23,2),IF(G206="NZ",VLOOKUP(H206,$CU$5:$CW$23,3),"error"))*AU206</f>
        <v>#N/A</v>
      </c>
      <c r="CM206" s="107" t="e">
        <f>IF(G206="AUS",VLOOKUP(H206,$CU$5:$CW$23,2),IF(G206="NZ",VLOOKUP(H206,$CU$5:$CW$23,3),"error"))*AX206</f>
        <v>#N/A</v>
      </c>
      <c r="CN206" s="106" t="e">
        <f>IF(G206="AUS",VLOOKUP(H206,$CU$5:$CW$23,2),IF(G206="NZ",VLOOKUP(H206,$CU$5:$CW$23,3),"error"))*BK206</f>
        <v>#N/A</v>
      </c>
    </row>
    <row r="207" spans="1:92" s="108" customFormat="1" ht="305.25">
      <c r="A207" s="83" t="str">
        <f t="shared" si="29"/>
        <v>Tobacco</v>
      </c>
      <c r="B207" s="84" t="s">
        <v>170</v>
      </c>
      <c r="C207" s="85"/>
      <c r="D207" s="86"/>
      <c r="E207" s="85" t="s">
        <v>172</v>
      </c>
      <c r="F207" s="85" t="str">
        <f t="shared" si="32"/>
        <v xml:space="preserve">Tobacco; ; Prevention ; </v>
      </c>
      <c r="G207" s="85" t="s">
        <v>205</v>
      </c>
      <c r="H207" s="85">
        <v>2011</v>
      </c>
      <c r="I207" s="85" t="str">
        <f>CONCATENATE(A207,", ",G207,": ",J207)</f>
        <v>Tobacco, NZ: Tax increased by 20% per year until 2025, tobacco retail outlets reduced by 95% and tobacco-free generation strategy implemented</v>
      </c>
      <c r="J207" s="121" t="s">
        <v>395</v>
      </c>
      <c r="K207" s="121">
        <v>20</v>
      </c>
      <c r="L207" s="121">
        <v>95</v>
      </c>
      <c r="M207" s="87" t="s">
        <v>398</v>
      </c>
      <c r="N207" s="87" t="s">
        <v>233</v>
      </c>
      <c r="O207" s="121">
        <v>0</v>
      </c>
      <c r="P207" s="85" t="s">
        <v>215</v>
      </c>
      <c r="Q207" s="85" t="s">
        <v>407</v>
      </c>
      <c r="R207" s="85" t="s">
        <v>407</v>
      </c>
      <c r="S207" s="85" t="s">
        <v>241</v>
      </c>
      <c r="T207" s="85" t="s">
        <v>250</v>
      </c>
      <c r="U207" s="85" t="s">
        <v>236</v>
      </c>
      <c r="V207" s="88" t="s">
        <v>397</v>
      </c>
      <c r="W207" s="88" t="s">
        <v>368</v>
      </c>
      <c r="X207" s="88" t="s">
        <v>199</v>
      </c>
      <c r="Y207" s="85" t="s">
        <v>208</v>
      </c>
      <c r="Z207" s="85" t="s">
        <v>289</v>
      </c>
      <c r="AA207" s="85" t="s">
        <v>179</v>
      </c>
      <c r="AB207" s="85" t="s">
        <v>180</v>
      </c>
      <c r="AC207" s="89">
        <v>0.03</v>
      </c>
      <c r="AD207" s="122"/>
      <c r="AE207" s="83"/>
      <c r="AF207" s="83"/>
      <c r="AG207" s="130">
        <v>8360</v>
      </c>
      <c r="AH207" s="130"/>
      <c r="AI207" s="130"/>
      <c r="AJ207" s="91">
        <v>515290</v>
      </c>
      <c r="AK207" s="94">
        <f t="shared" si="33"/>
        <v>16.22387393506569</v>
      </c>
      <c r="AL207" s="94"/>
      <c r="AM207" s="94"/>
      <c r="AN207" s="91"/>
      <c r="AO207" s="94"/>
      <c r="AP207" s="94"/>
      <c r="AQ207" s="94"/>
      <c r="AR207" s="120">
        <v>180000000</v>
      </c>
      <c r="AS207" s="120"/>
      <c r="AT207" s="120"/>
      <c r="AU207" s="120">
        <f t="shared" si="34"/>
        <v>349317.85984591197</v>
      </c>
      <c r="AV207" s="120"/>
      <c r="AW207" s="120"/>
      <c r="AX207" s="120"/>
      <c r="AY207" s="120"/>
      <c r="AZ207" s="120"/>
      <c r="BA207" s="120"/>
      <c r="BB207" s="120"/>
      <c r="BC207" s="120"/>
      <c r="BD207" s="120"/>
      <c r="BE207" s="120"/>
      <c r="BF207" s="120"/>
      <c r="BG207" s="96"/>
      <c r="BH207" s="96"/>
      <c r="BI207" s="96"/>
      <c r="BJ207" s="83" t="s">
        <v>396</v>
      </c>
      <c r="BK207" s="98" t="str">
        <f t="shared" si="35"/>
        <v/>
      </c>
      <c r="BL207" s="98" t="str">
        <f t="shared" si="35"/>
        <v/>
      </c>
      <c r="BM207" s="98" t="str">
        <f t="shared" si="35"/>
        <v/>
      </c>
      <c r="BN207" s="100"/>
      <c r="BO207" s="100"/>
      <c r="BP207" s="100"/>
      <c r="BQ207" s="100"/>
      <c r="BR207" s="100"/>
      <c r="BS207" s="100"/>
      <c r="BT207" s="100"/>
      <c r="BU207" s="100"/>
      <c r="BV207" s="100"/>
      <c r="BW207" s="83"/>
      <c r="BX207" s="85" t="s">
        <v>407</v>
      </c>
      <c r="BY207" s="85" t="s">
        <v>407</v>
      </c>
      <c r="BZ207" s="102">
        <v>2016</v>
      </c>
      <c r="CA207" s="98"/>
      <c r="CB207" s="98"/>
      <c r="CC207" s="103">
        <f t="shared" si="36"/>
        <v>128</v>
      </c>
      <c r="CD207" s="98"/>
      <c r="CE207" s="98"/>
      <c r="CF207" s="98"/>
      <c r="CG207" s="105">
        <v>1</v>
      </c>
      <c r="CH207" s="105" t="str">
        <f>IF(CK207=0,"",IF(V207="Persistent",5,IF(V207="Once",1,IF(V207="One-off",1,"manual overwrite"))))</f>
        <v/>
      </c>
      <c r="CI207" s="105"/>
      <c r="CJ207" s="98">
        <f t="shared" si="30"/>
        <v>0</v>
      </c>
      <c r="CK207" s="98">
        <f>IF(CA207="C",0,IF(P207="Het",0,IF(SUM(AG207,AO207)=0,0,1)))</f>
        <v>0</v>
      </c>
      <c r="CL207" s="106" t="e">
        <f>IF(G207="AUS",VLOOKUP(H207,$CU$5:$CW$23,2),IF(G207="NZ",VLOOKUP(H207,$CU$5:$CW$23,3),"error"))*AU207</f>
        <v>#N/A</v>
      </c>
      <c r="CM207" s="107" t="e">
        <f>IF(G207="AUS",VLOOKUP(H207,$CU$5:$CW$23,2),IF(G207="NZ",VLOOKUP(H207,$CU$5:$CW$23,3),"error"))*AX207</f>
        <v>#N/A</v>
      </c>
      <c r="CN207" s="106" t="e">
        <f>IF(G207="AUS",VLOOKUP(H207,$CU$5:$CW$23,2),IF(G207="NZ",VLOOKUP(H207,$CU$5:$CW$23,3),"error"))*BK207</f>
        <v>#N/A</v>
      </c>
    </row>
    <row r="208" spans="1:92" s="108" customFormat="1" ht="305.25">
      <c r="A208" s="83" t="str">
        <f t="shared" si="29"/>
        <v>Tobacco</v>
      </c>
      <c r="B208" s="84" t="s">
        <v>170</v>
      </c>
      <c r="C208" s="85"/>
      <c r="D208" s="86"/>
      <c r="E208" s="85" t="s">
        <v>172</v>
      </c>
      <c r="F208" s="85" t="str">
        <f t="shared" si="32"/>
        <v xml:space="preserve">Tobacco; ; Prevention ; </v>
      </c>
      <c r="G208" s="85" t="s">
        <v>205</v>
      </c>
      <c r="H208" s="85">
        <v>2011</v>
      </c>
      <c r="I208" s="85" t="str">
        <f>CONCATENATE(A208,", ",G208,": ",J208)</f>
        <v>Tobacco, NZ: Tax increased by 20% per year until 2025, tobacco retail outlets reduced by 95% and tobacco-free generation strategy implemented</v>
      </c>
      <c r="J208" s="121" t="s">
        <v>395</v>
      </c>
      <c r="K208" s="121">
        <v>20</v>
      </c>
      <c r="L208" s="121">
        <v>95</v>
      </c>
      <c r="M208" s="87" t="s">
        <v>398</v>
      </c>
      <c r="N208" s="87" t="s">
        <v>233</v>
      </c>
      <c r="O208" s="121">
        <v>0</v>
      </c>
      <c r="P208" s="85" t="s">
        <v>215</v>
      </c>
      <c r="Q208" s="85" t="s">
        <v>408</v>
      </c>
      <c r="R208" s="85" t="s">
        <v>408</v>
      </c>
      <c r="S208" s="85" t="s">
        <v>244</v>
      </c>
      <c r="T208" s="85" t="s">
        <v>250</v>
      </c>
      <c r="U208" s="85" t="s">
        <v>236</v>
      </c>
      <c r="V208" s="88" t="s">
        <v>397</v>
      </c>
      <c r="W208" s="88" t="s">
        <v>368</v>
      </c>
      <c r="X208" s="88" t="s">
        <v>199</v>
      </c>
      <c r="Y208" s="85" t="s">
        <v>208</v>
      </c>
      <c r="Z208" s="85" t="s">
        <v>289</v>
      </c>
      <c r="AA208" s="85" t="s">
        <v>179</v>
      </c>
      <c r="AB208" s="85" t="s">
        <v>180</v>
      </c>
      <c r="AC208" s="89">
        <v>0.03</v>
      </c>
      <c r="AD208" s="122"/>
      <c r="AE208" s="83"/>
      <c r="AF208" s="83"/>
      <c r="AG208" s="130">
        <v>5050</v>
      </c>
      <c r="AH208" s="130"/>
      <c r="AI208" s="130"/>
      <c r="AJ208" s="91">
        <v>508320</v>
      </c>
      <c r="AK208" s="94">
        <f t="shared" si="33"/>
        <v>9.9346868114573486</v>
      </c>
      <c r="AL208" s="94"/>
      <c r="AM208" s="94"/>
      <c r="AN208" s="91"/>
      <c r="AO208" s="94"/>
      <c r="AP208" s="94"/>
      <c r="AQ208" s="94"/>
      <c r="AR208" s="120">
        <v>70000000</v>
      </c>
      <c r="AS208" s="120"/>
      <c r="AT208" s="120"/>
      <c r="AU208" s="120">
        <f t="shared" si="34"/>
        <v>137708.53005980485</v>
      </c>
      <c r="AV208" s="120"/>
      <c r="AW208" s="120"/>
      <c r="AX208" s="120"/>
      <c r="AY208" s="120"/>
      <c r="AZ208" s="120"/>
      <c r="BA208" s="120"/>
      <c r="BB208" s="120"/>
      <c r="BC208" s="120"/>
      <c r="BD208" s="120"/>
      <c r="BE208" s="120"/>
      <c r="BF208" s="120"/>
      <c r="BG208" s="96"/>
      <c r="BH208" s="96"/>
      <c r="BI208" s="96"/>
      <c r="BJ208" s="83" t="s">
        <v>396</v>
      </c>
      <c r="BK208" s="98" t="str">
        <f t="shared" si="35"/>
        <v/>
      </c>
      <c r="BL208" s="98" t="str">
        <f t="shared" si="35"/>
        <v/>
      </c>
      <c r="BM208" s="98" t="str">
        <f t="shared" si="35"/>
        <v/>
      </c>
      <c r="BN208" s="100"/>
      <c r="BO208" s="100"/>
      <c r="BP208" s="100"/>
      <c r="BQ208" s="100"/>
      <c r="BR208" s="100"/>
      <c r="BS208" s="100"/>
      <c r="BT208" s="100"/>
      <c r="BU208" s="100"/>
      <c r="BV208" s="100"/>
      <c r="BW208" s="83"/>
      <c r="BX208" s="85" t="s">
        <v>408</v>
      </c>
      <c r="BY208" s="85" t="s">
        <v>408</v>
      </c>
      <c r="BZ208" s="102">
        <v>2016</v>
      </c>
      <c r="CA208" s="98"/>
      <c r="CB208" s="98"/>
      <c r="CC208" s="103">
        <f t="shared" si="36"/>
        <v>128</v>
      </c>
      <c r="CD208" s="98"/>
      <c r="CE208" s="98"/>
      <c r="CF208" s="98"/>
      <c r="CG208" s="105">
        <v>1</v>
      </c>
      <c r="CH208" s="105" t="str">
        <f>IF(CK208=0,"",IF(V208="Persistent",5,IF(V208="Once",1,IF(V208="One-off",1,"manual overwrite"))))</f>
        <v/>
      </c>
      <c r="CI208" s="105"/>
      <c r="CJ208" s="98">
        <f t="shared" si="30"/>
        <v>0</v>
      </c>
      <c r="CK208" s="98">
        <f>IF(CA208="C",0,IF(P208="Het",0,IF(SUM(AG208,AO208)=0,0,1)))</f>
        <v>0</v>
      </c>
      <c r="CL208" s="106" t="e">
        <f>IF(G208="AUS",VLOOKUP(H208,$CU$5:$CW$23,2),IF(G208="NZ",VLOOKUP(H208,$CU$5:$CW$23,3),"error"))*AU208</f>
        <v>#N/A</v>
      </c>
      <c r="CM208" s="107" t="e">
        <f>IF(G208="AUS",VLOOKUP(H208,$CU$5:$CW$23,2),IF(G208="NZ",VLOOKUP(H208,$CU$5:$CW$23,3),"error"))*AX208</f>
        <v>#N/A</v>
      </c>
      <c r="CN208" s="106" t="e">
        <f>IF(G208="AUS",VLOOKUP(H208,$CU$5:$CW$23,2),IF(G208="NZ",VLOOKUP(H208,$CU$5:$CW$23,3),"error"))*BK208</f>
        <v>#N/A</v>
      </c>
    </row>
    <row r="209" spans="1:92" s="108" customFormat="1" ht="305.25">
      <c r="A209" s="83" t="str">
        <f t="shared" si="29"/>
        <v>Tobacco</v>
      </c>
      <c r="B209" s="84" t="s">
        <v>170</v>
      </c>
      <c r="C209" s="85"/>
      <c r="D209" s="86"/>
      <c r="E209" s="85" t="s">
        <v>172</v>
      </c>
      <c r="F209" s="85" t="str">
        <f t="shared" si="32"/>
        <v xml:space="preserve">Tobacco; ; Prevention ; </v>
      </c>
      <c r="G209" s="85" t="s">
        <v>205</v>
      </c>
      <c r="H209" s="85">
        <v>2011</v>
      </c>
      <c r="I209" s="85" t="str">
        <f>CONCATENATE(A209,", ",G209,": ",J209)</f>
        <v>Tobacco, NZ: Tax increased by 20% per year until 2025, tobacco retail outlets reduced by 95% and tobacco-free generation strategy implemented</v>
      </c>
      <c r="J209" s="121" t="s">
        <v>395</v>
      </c>
      <c r="K209" s="121">
        <v>20</v>
      </c>
      <c r="L209" s="121">
        <v>95</v>
      </c>
      <c r="M209" s="87" t="s">
        <v>398</v>
      </c>
      <c r="N209" s="87" t="s">
        <v>233</v>
      </c>
      <c r="O209" s="121">
        <v>0</v>
      </c>
      <c r="P209" s="85" t="s">
        <v>215</v>
      </c>
      <c r="Q209" s="85" t="s">
        <v>409</v>
      </c>
      <c r="R209" s="85" t="s">
        <v>409</v>
      </c>
      <c r="S209" s="85" t="s">
        <v>247</v>
      </c>
      <c r="T209" s="85" t="s">
        <v>250</v>
      </c>
      <c r="U209" s="85" t="s">
        <v>236</v>
      </c>
      <c r="V209" s="88" t="s">
        <v>397</v>
      </c>
      <c r="W209" s="88" t="s">
        <v>368</v>
      </c>
      <c r="X209" s="88" t="s">
        <v>199</v>
      </c>
      <c r="Y209" s="85" t="s">
        <v>208</v>
      </c>
      <c r="Z209" s="85" t="s">
        <v>289</v>
      </c>
      <c r="AA209" s="85" t="s">
        <v>179</v>
      </c>
      <c r="AB209" s="85" t="s">
        <v>180</v>
      </c>
      <c r="AC209" s="89">
        <v>0.03</v>
      </c>
      <c r="AD209" s="122"/>
      <c r="AE209" s="83"/>
      <c r="AF209" s="83"/>
      <c r="AG209" s="130">
        <v>491</v>
      </c>
      <c r="AH209" s="130"/>
      <c r="AI209" s="130"/>
      <c r="AJ209" s="91">
        <v>301170</v>
      </c>
      <c r="AK209" s="94">
        <f t="shared" si="33"/>
        <v>1.6303084636583991</v>
      </c>
      <c r="AL209" s="94"/>
      <c r="AM209" s="94"/>
      <c r="AN209" s="91"/>
      <c r="AO209" s="94"/>
      <c r="AP209" s="94"/>
      <c r="AQ209" s="94"/>
      <c r="AR209" s="120">
        <v>3080000</v>
      </c>
      <c r="AS209" s="120"/>
      <c r="AT209" s="120"/>
      <c r="AU209" s="120">
        <f t="shared" si="34"/>
        <v>10226.782216024172</v>
      </c>
      <c r="AV209" s="120"/>
      <c r="AW209" s="120"/>
      <c r="AX209" s="120"/>
      <c r="AY209" s="120"/>
      <c r="AZ209" s="120"/>
      <c r="BA209" s="120"/>
      <c r="BB209" s="120"/>
      <c r="BC209" s="120"/>
      <c r="BD209" s="120"/>
      <c r="BE209" s="120"/>
      <c r="BF209" s="120"/>
      <c r="BG209" s="96"/>
      <c r="BH209" s="96"/>
      <c r="BI209" s="96"/>
      <c r="BJ209" s="83" t="s">
        <v>396</v>
      </c>
      <c r="BK209" s="98" t="str">
        <f t="shared" si="35"/>
        <v/>
      </c>
      <c r="BL209" s="98" t="str">
        <f t="shared" si="35"/>
        <v/>
      </c>
      <c r="BM209" s="98" t="str">
        <f t="shared" si="35"/>
        <v/>
      </c>
      <c r="BN209" s="100"/>
      <c r="BO209" s="100"/>
      <c r="BP209" s="100"/>
      <c r="BQ209" s="100"/>
      <c r="BR209" s="100"/>
      <c r="BS209" s="100"/>
      <c r="BT209" s="100"/>
      <c r="BU209" s="100"/>
      <c r="BV209" s="100"/>
      <c r="BW209" s="83"/>
      <c r="BX209" s="85" t="s">
        <v>409</v>
      </c>
      <c r="BY209" s="85" t="s">
        <v>409</v>
      </c>
      <c r="BZ209" s="102">
        <v>2016</v>
      </c>
      <c r="CA209" s="98"/>
      <c r="CB209" s="98"/>
      <c r="CC209" s="103">
        <f t="shared" si="36"/>
        <v>128</v>
      </c>
      <c r="CD209" s="98"/>
      <c r="CE209" s="98"/>
      <c r="CF209" s="98"/>
      <c r="CG209" s="105">
        <v>1</v>
      </c>
      <c r="CH209" s="105" t="str">
        <f>IF(CK209=0,"",IF(V209="Persistent",5,IF(V209="Once",1,IF(V209="One-off",1,"manual overwrite"))))</f>
        <v/>
      </c>
      <c r="CI209" s="105"/>
      <c r="CJ209" s="98">
        <f t="shared" si="30"/>
        <v>0</v>
      </c>
      <c r="CK209" s="98">
        <f>IF(CA209="C",0,IF(P209="Het",0,IF(SUM(AG209,AO209)=0,0,1)))</f>
        <v>0</v>
      </c>
      <c r="CL209" s="106" t="e">
        <f>IF(G209="AUS",VLOOKUP(H209,$CU$5:$CW$23,2),IF(G209="NZ",VLOOKUP(H209,$CU$5:$CW$23,3),"error"))*AU209</f>
        <v>#N/A</v>
      </c>
      <c r="CM209" s="107" t="e">
        <f>IF(G209="AUS",VLOOKUP(H209,$CU$5:$CW$23,2),IF(G209="NZ",VLOOKUP(H209,$CU$5:$CW$23,3),"error"))*AX209</f>
        <v>#N/A</v>
      </c>
      <c r="CN209" s="106" t="e">
        <f>IF(G209="AUS",VLOOKUP(H209,$CU$5:$CW$23,2),IF(G209="NZ",VLOOKUP(H209,$CU$5:$CW$23,3),"error"))*BK209</f>
        <v>#N/A</v>
      </c>
    </row>
    <row r="210" spans="1:92" s="108" customFormat="1" ht="305.25" hidden="1">
      <c r="A210" s="83" t="str">
        <f t="shared" si="29"/>
        <v>Tobacco</v>
      </c>
      <c r="B210" s="84" t="s">
        <v>170</v>
      </c>
      <c r="C210" s="85"/>
      <c r="D210" s="86"/>
      <c r="E210" s="85" t="s">
        <v>172</v>
      </c>
      <c r="F210" s="85" t="str">
        <f t="shared" si="32"/>
        <v xml:space="preserve">Tobacco; ; Prevention ; </v>
      </c>
      <c r="G210" s="85" t="s">
        <v>205</v>
      </c>
      <c r="H210" s="85">
        <v>2011</v>
      </c>
      <c r="I210" s="85" t="str">
        <f>CONCATENATE(A210,", ",G210,": ",J210)</f>
        <v>Tobacco, NZ: Tax increased by 20% per year until 2025, tobacco retail outlets reduced by 95% and tobacco-free generation strategy implemented</v>
      </c>
      <c r="J210" s="121" t="s">
        <v>395</v>
      </c>
      <c r="K210" s="121">
        <v>20</v>
      </c>
      <c r="L210" s="121">
        <v>95</v>
      </c>
      <c r="M210" s="87"/>
      <c r="N210" s="87" t="s">
        <v>233</v>
      </c>
      <c r="O210" s="121"/>
      <c r="P210" s="85" t="s">
        <v>215</v>
      </c>
      <c r="Q210" s="85" t="s">
        <v>410</v>
      </c>
      <c r="R210" s="85" t="s">
        <v>410</v>
      </c>
      <c r="S210" s="85"/>
      <c r="T210" s="85"/>
      <c r="U210" s="85"/>
      <c r="V210" s="88" t="s">
        <v>397</v>
      </c>
      <c r="W210" s="88"/>
      <c r="X210" s="88"/>
      <c r="Y210" s="85" t="s">
        <v>208</v>
      </c>
      <c r="Z210" s="85" t="s">
        <v>289</v>
      </c>
      <c r="AA210" s="85" t="s">
        <v>179</v>
      </c>
      <c r="AB210" s="85" t="s">
        <v>180</v>
      </c>
      <c r="AC210" s="89">
        <v>0.03</v>
      </c>
      <c r="AD210" s="122"/>
      <c r="AE210" s="83"/>
      <c r="AF210" s="83"/>
      <c r="AG210" s="130">
        <v>35100</v>
      </c>
      <c r="AH210" s="130"/>
      <c r="AI210" s="130"/>
      <c r="AJ210" s="91">
        <v>1897360</v>
      </c>
      <c r="AK210" s="94">
        <f t="shared" si="33"/>
        <v>18.499388624193614</v>
      </c>
      <c r="AL210" s="94"/>
      <c r="AM210" s="94"/>
      <c r="AN210" s="91"/>
      <c r="AO210" s="94"/>
      <c r="AP210" s="94"/>
      <c r="AQ210" s="94"/>
      <c r="AR210" s="120">
        <v>807000000</v>
      </c>
      <c r="AS210" s="120"/>
      <c r="AT210" s="120"/>
      <c r="AU210" s="120">
        <f t="shared" si="34"/>
        <v>425327.82392376778</v>
      </c>
      <c r="AV210" s="120"/>
      <c r="AW210" s="120"/>
      <c r="AX210" s="120"/>
      <c r="AY210" s="120"/>
      <c r="AZ210" s="120"/>
      <c r="BA210" s="120"/>
      <c r="BB210" s="120"/>
      <c r="BC210" s="120"/>
      <c r="BD210" s="120"/>
      <c r="BE210" s="120"/>
      <c r="BF210" s="120"/>
      <c r="BG210" s="96"/>
      <c r="BH210" s="96"/>
      <c r="BI210" s="96"/>
      <c r="BJ210" s="83" t="s">
        <v>396</v>
      </c>
      <c r="BK210" s="98" t="str">
        <f t="shared" si="35"/>
        <v/>
      </c>
      <c r="BL210" s="98" t="str">
        <f t="shared" si="35"/>
        <v/>
      </c>
      <c r="BM210" s="98" t="str">
        <f t="shared" si="35"/>
        <v/>
      </c>
      <c r="BN210" s="100"/>
      <c r="BO210" s="100"/>
      <c r="BP210" s="100"/>
      <c r="BQ210" s="100"/>
      <c r="BR210" s="100"/>
      <c r="BS210" s="100"/>
      <c r="BT210" s="100"/>
      <c r="BU210" s="100"/>
      <c r="BV210" s="100"/>
      <c r="BW210" s="83"/>
      <c r="BX210" s="85" t="s">
        <v>410</v>
      </c>
      <c r="BY210" s="85" t="s">
        <v>410</v>
      </c>
      <c r="BZ210" s="102">
        <v>2016</v>
      </c>
      <c r="CA210" s="98"/>
      <c r="CB210" s="98"/>
      <c r="CC210" s="103">
        <f t="shared" si="36"/>
        <v>128</v>
      </c>
      <c r="CD210" s="98"/>
      <c r="CE210" s="98"/>
      <c r="CF210" s="98"/>
      <c r="CG210" s="105">
        <v>1</v>
      </c>
      <c r="CH210" s="105" t="str">
        <f>IF(CK210=0,"",IF(V210="Persistent",5,IF(V210="Once",1,IF(V210="One-off",1,"manual overwrite"))))</f>
        <v/>
      </c>
      <c r="CI210" s="105"/>
      <c r="CJ210" s="98">
        <f t="shared" si="30"/>
        <v>0</v>
      </c>
      <c r="CK210" s="98">
        <f>IF(CA210="C",0,IF(P210="Het",0,IF(SUM(AG210,AO210)=0,0,1)))</f>
        <v>0</v>
      </c>
      <c r="CL210" s="106" t="e">
        <f>IF(G210="AUS",VLOOKUP(H210,$CU$5:$CW$23,2),IF(G210="NZ",VLOOKUP(H210,$CU$5:$CW$23,3),"error"))*AU210</f>
        <v>#N/A</v>
      </c>
      <c r="CM210" s="107" t="e">
        <f>IF(G210="AUS",VLOOKUP(H210,$CU$5:$CW$23,2),IF(G210="NZ",VLOOKUP(H210,$CU$5:$CW$23,3),"error"))*AX210</f>
        <v>#N/A</v>
      </c>
      <c r="CN210" s="106" t="e">
        <f>IF(G210="AUS",VLOOKUP(H210,$CU$5:$CW$23,2),IF(G210="NZ",VLOOKUP(H210,$CU$5:$CW$23,3),"error"))*BK210</f>
        <v>#N/A</v>
      </c>
    </row>
    <row r="211" spans="1:92" s="108" customFormat="1" ht="305.25">
      <c r="A211" s="83" t="str">
        <f t="shared" si="29"/>
        <v>Tobacco</v>
      </c>
      <c r="B211" s="84" t="s">
        <v>170</v>
      </c>
      <c r="C211" s="85"/>
      <c r="D211" s="86"/>
      <c r="E211" s="85" t="s">
        <v>172</v>
      </c>
      <c r="F211" s="85" t="str">
        <f t="shared" si="32"/>
        <v xml:space="preserve">Tobacco; ; Prevention ; </v>
      </c>
      <c r="G211" s="85" t="s">
        <v>205</v>
      </c>
      <c r="H211" s="85">
        <v>2011</v>
      </c>
      <c r="I211" s="85" t="str">
        <f>CONCATENATE(A211,", ",G211,": ",J211)</f>
        <v>Tobacco, NZ: Tax increased by 20% per year until 2025, tobacco retail outlets reduced by 95% and tobacco-free generation strategy implemented</v>
      </c>
      <c r="J211" s="121" t="s">
        <v>395</v>
      </c>
      <c r="K211" s="121">
        <v>20</v>
      </c>
      <c r="L211" s="121">
        <v>95</v>
      </c>
      <c r="M211" s="87" t="s">
        <v>411</v>
      </c>
      <c r="N211" s="87" t="s">
        <v>233</v>
      </c>
      <c r="O211" s="121">
        <v>0</v>
      </c>
      <c r="P211" s="85" t="s">
        <v>215</v>
      </c>
      <c r="Q211" s="85" t="s">
        <v>412</v>
      </c>
      <c r="R211" s="85" t="s">
        <v>412</v>
      </c>
      <c r="S211" s="85" t="s">
        <v>234</v>
      </c>
      <c r="T211" s="85" t="s">
        <v>235</v>
      </c>
      <c r="U211" s="85" t="s">
        <v>259</v>
      </c>
      <c r="V211" s="88" t="s">
        <v>397</v>
      </c>
      <c r="W211" s="88" t="s">
        <v>368</v>
      </c>
      <c r="X211" s="88" t="s">
        <v>199</v>
      </c>
      <c r="Y211" s="85" t="s">
        <v>208</v>
      </c>
      <c r="Z211" s="85" t="s">
        <v>289</v>
      </c>
      <c r="AA211" s="85" t="s">
        <v>179</v>
      </c>
      <c r="AB211" s="85" t="s">
        <v>180</v>
      </c>
      <c r="AC211" s="89">
        <v>0.03</v>
      </c>
      <c r="AD211" s="122"/>
      <c r="AE211" s="83"/>
      <c r="AF211" s="83"/>
      <c r="AG211" s="130">
        <v>11900</v>
      </c>
      <c r="AH211" s="130"/>
      <c r="AI211" s="130"/>
      <c r="AJ211" s="91">
        <v>118100</v>
      </c>
      <c r="AK211" s="94">
        <f t="shared" si="33"/>
        <v>100.76206604572397</v>
      </c>
      <c r="AL211" s="94"/>
      <c r="AM211" s="94"/>
      <c r="AN211" s="91"/>
      <c r="AO211" s="94"/>
      <c r="AP211" s="94"/>
      <c r="AQ211" s="94"/>
      <c r="AR211" s="120">
        <v>289000000</v>
      </c>
      <c r="AS211" s="120"/>
      <c r="AT211" s="120"/>
      <c r="AU211" s="120">
        <f t="shared" si="34"/>
        <v>2447078.7468247251</v>
      </c>
      <c r="AV211" s="120"/>
      <c r="AW211" s="120"/>
      <c r="AX211" s="120"/>
      <c r="AY211" s="120"/>
      <c r="AZ211" s="120"/>
      <c r="BA211" s="120"/>
      <c r="BB211" s="120"/>
      <c r="BC211" s="120"/>
      <c r="BD211" s="120"/>
      <c r="BE211" s="120"/>
      <c r="BF211" s="120"/>
      <c r="BG211" s="96"/>
      <c r="BH211" s="96"/>
      <c r="BI211" s="96"/>
      <c r="BJ211" s="83" t="s">
        <v>396</v>
      </c>
      <c r="BK211" s="98" t="str">
        <f t="shared" si="35"/>
        <v/>
      </c>
      <c r="BL211" s="98" t="str">
        <f t="shared" si="35"/>
        <v/>
      </c>
      <c r="BM211" s="98" t="str">
        <f t="shared" si="35"/>
        <v/>
      </c>
      <c r="BN211" s="100"/>
      <c r="BO211" s="100"/>
      <c r="BP211" s="100"/>
      <c r="BQ211" s="100"/>
      <c r="BR211" s="100"/>
      <c r="BS211" s="100"/>
      <c r="BT211" s="100"/>
      <c r="BU211" s="100"/>
      <c r="BV211" s="100"/>
      <c r="BW211" s="83"/>
      <c r="BX211" s="85" t="s">
        <v>412</v>
      </c>
      <c r="BY211" s="85" t="s">
        <v>412</v>
      </c>
      <c r="BZ211" s="102">
        <v>2016</v>
      </c>
      <c r="CA211" s="98"/>
      <c r="CB211" s="98"/>
      <c r="CC211" s="103">
        <f t="shared" si="36"/>
        <v>128</v>
      </c>
      <c r="CD211" s="98"/>
      <c r="CE211" s="98"/>
      <c r="CF211" s="98"/>
      <c r="CG211" s="105">
        <v>1</v>
      </c>
      <c r="CH211" s="105" t="str">
        <f>IF(CK211=0,"",IF(V211="Persistent",5,IF(V211="Once",1,IF(V211="One-off",1,"manual overwrite"))))</f>
        <v/>
      </c>
      <c r="CI211" s="105"/>
      <c r="CJ211" s="98">
        <f t="shared" si="30"/>
        <v>0</v>
      </c>
      <c r="CK211" s="98">
        <f>IF(CA211="C",0,IF(P211="Het",0,IF(SUM(AG211,AO211)=0,0,1)))</f>
        <v>0</v>
      </c>
      <c r="CL211" s="106" t="e">
        <f>IF(G211="AUS",VLOOKUP(H211,$CU$5:$CW$23,2),IF(G211="NZ",VLOOKUP(H211,$CU$5:$CW$23,3),"error"))*AU211</f>
        <v>#N/A</v>
      </c>
      <c r="CM211" s="107" t="e">
        <f>IF(G211="AUS",VLOOKUP(H211,$CU$5:$CW$23,2),IF(G211="NZ",VLOOKUP(H211,$CU$5:$CW$23,3),"error"))*AX211</f>
        <v>#N/A</v>
      </c>
      <c r="CN211" s="106" t="e">
        <f>IF(G211="AUS",VLOOKUP(H211,$CU$5:$CW$23,2),IF(G211="NZ",VLOOKUP(H211,$CU$5:$CW$23,3),"error"))*BK211</f>
        <v>#N/A</v>
      </c>
    </row>
    <row r="212" spans="1:92" s="108" customFormat="1" ht="305.25">
      <c r="A212" s="83" t="str">
        <f t="shared" si="29"/>
        <v>Tobacco</v>
      </c>
      <c r="B212" s="84" t="s">
        <v>170</v>
      </c>
      <c r="C212" s="85"/>
      <c r="D212" s="86"/>
      <c r="E212" s="85" t="s">
        <v>172</v>
      </c>
      <c r="F212" s="85" t="str">
        <f t="shared" si="32"/>
        <v xml:space="preserve">Tobacco; ; Prevention ; </v>
      </c>
      <c r="G212" s="85" t="s">
        <v>205</v>
      </c>
      <c r="H212" s="85">
        <v>2011</v>
      </c>
      <c r="I212" s="85" t="str">
        <f>CONCATENATE(A212,", ",G212,": ",J212)</f>
        <v>Tobacco, NZ: Tax increased by 20% per year until 2025, tobacco retail outlets reduced by 95% and tobacco-free generation strategy implemented</v>
      </c>
      <c r="J212" s="121" t="s">
        <v>395</v>
      </c>
      <c r="K212" s="121">
        <v>20</v>
      </c>
      <c r="L212" s="121">
        <v>95</v>
      </c>
      <c r="M212" s="87" t="s">
        <v>411</v>
      </c>
      <c r="N212" s="87" t="s">
        <v>233</v>
      </c>
      <c r="O212" s="121">
        <v>0</v>
      </c>
      <c r="P212" s="85" t="s">
        <v>215</v>
      </c>
      <c r="Q212" s="85" t="s">
        <v>413</v>
      </c>
      <c r="R212" s="85" t="s">
        <v>413</v>
      </c>
      <c r="S212" s="85" t="s">
        <v>239</v>
      </c>
      <c r="T212" s="85" t="s">
        <v>235</v>
      </c>
      <c r="U212" s="85" t="s">
        <v>259</v>
      </c>
      <c r="V212" s="88" t="s">
        <v>397</v>
      </c>
      <c r="W212" s="88" t="s">
        <v>368</v>
      </c>
      <c r="X212" s="88" t="s">
        <v>199</v>
      </c>
      <c r="Y212" s="85" t="s">
        <v>208</v>
      </c>
      <c r="Z212" s="85" t="s">
        <v>289</v>
      </c>
      <c r="AA212" s="85" t="s">
        <v>179</v>
      </c>
      <c r="AB212" s="85" t="s">
        <v>180</v>
      </c>
      <c r="AC212" s="89">
        <v>0.03</v>
      </c>
      <c r="AD212" s="122"/>
      <c r="AE212" s="83"/>
      <c r="AF212" s="83"/>
      <c r="AG212" s="130">
        <v>7790</v>
      </c>
      <c r="AH212" s="130"/>
      <c r="AI212" s="130"/>
      <c r="AJ212" s="91">
        <v>64800</v>
      </c>
      <c r="AK212" s="94">
        <f t="shared" si="33"/>
        <v>120.21604938271605</v>
      </c>
      <c r="AL212" s="94"/>
      <c r="AM212" s="94"/>
      <c r="AN212" s="91"/>
      <c r="AO212" s="94"/>
      <c r="AP212" s="94"/>
      <c r="AQ212" s="94"/>
      <c r="AR212" s="120">
        <v>181000000</v>
      </c>
      <c r="AS212" s="120"/>
      <c r="AT212" s="120"/>
      <c r="AU212" s="120">
        <f t="shared" ref="AU212:AU235" si="37">(AR212/$AJ212)*1000</f>
        <v>2793209.8765432099</v>
      </c>
      <c r="AV212" s="120"/>
      <c r="AW212" s="120"/>
      <c r="AX212" s="120"/>
      <c r="AY212" s="120"/>
      <c r="AZ212" s="120"/>
      <c r="BA212" s="120"/>
      <c r="BB212" s="120"/>
      <c r="BC212" s="120"/>
      <c r="BD212" s="120"/>
      <c r="BE212" s="120"/>
      <c r="BF212" s="120"/>
      <c r="BG212" s="96"/>
      <c r="BH212" s="96"/>
      <c r="BI212" s="96"/>
      <c r="BJ212" s="83" t="s">
        <v>396</v>
      </c>
      <c r="BK212" s="98" t="str">
        <f t="shared" si="35"/>
        <v/>
      </c>
      <c r="BL212" s="98" t="str">
        <f t="shared" si="35"/>
        <v/>
      </c>
      <c r="BM212" s="98" t="str">
        <f t="shared" si="35"/>
        <v/>
      </c>
      <c r="BN212" s="100"/>
      <c r="BO212" s="100"/>
      <c r="BP212" s="100"/>
      <c r="BQ212" s="100"/>
      <c r="BR212" s="100"/>
      <c r="BS212" s="100"/>
      <c r="BT212" s="100"/>
      <c r="BU212" s="100"/>
      <c r="BV212" s="100"/>
      <c r="BW212" s="83"/>
      <c r="BX212" s="85" t="s">
        <v>413</v>
      </c>
      <c r="BY212" s="85" t="s">
        <v>413</v>
      </c>
      <c r="BZ212" s="102">
        <v>2016</v>
      </c>
      <c r="CA212" s="98"/>
      <c r="CB212" s="98"/>
      <c r="CC212" s="103">
        <f t="shared" si="36"/>
        <v>128</v>
      </c>
      <c r="CD212" s="98"/>
      <c r="CE212" s="98"/>
      <c r="CF212" s="98"/>
      <c r="CG212" s="105">
        <v>1</v>
      </c>
      <c r="CH212" s="105" t="str">
        <f>IF(CK212=0,"",IF(V212="Persistent",5,IF(V212="Once",1,IF(V212="One-off",1,"manual overwrite"))))</f>
        <v/>
      </c>
      <c r="CI212" s="105"/>
      <c r="CJ212" s="98">
        <f t="shared" si="30"/>
        <v>0</v>
      </c>
      <c r="CK212" s="98">
        <f>IF(CA212="C",0,IF(P212="Het",0,IF(SUM(AG212,AO212)=0,0,1)))</f>
        <v>0</v>
      </c>
      <c r="CL212" s="106" t="e">
        <f>IF(G212="AUS",VLOOKUP(H212,$CU$5:$CW$23,2),IF(G212="NZ",VLOOKUP(H212,$CU$5:$CW$23,3),"error"))*AU212</f>
        <v>#N/A</v>
      </c>
      <c r="CM212" s="107" t="e">
        <f>IF(G212="AUS",VLOOKUP(H212,$CU$5:$CW$23,2),IF(G212="NZ",VLOOKUP(H212,$CU$5:$CW$23,3),"error"))*AX212</f>
        <v>#N/A</v>
      </c>
      <c r="CN212" s="106" t="e">
        <f>IF(G212="AUS",VLOOKUP(H212,$CU$5:$CW$23,2),IF(G212="NZ",VLOOKUP(H212,$CU$5:$CW$23,3),"error"))*BK212</f>
        <v>#N/A</v>
      </c>
    </row>
    <row r="213" spans="1:92" s="108" customFormat="1" ht="305.25">
      <c r="A213" s="83" t="str">
        <f t="shared" si="29"/>
        <v>Tobacco</v>
      </c>
      <c r="B213" s="84" t="s">
        <v>170</v>
      </c>
      <c r="C213" s="85"/>
      <c r="D213" s="86"/>
      <c r="E213" s="85" t="s">
        <v>172</v>
      </c>
      <c r="F213" s="85" t="str">
        <f t="shared" si="32"/>
        <v xml:space="preserve">Tobacco; ; Prevention ; </v>
      </c>
      <c r="G213" s="85" t="s">
        <v>205</v>
      </c>
      <c r="H213" s="85">
        <v>2011</v>
      </c>
      <c r="I213" s="85" t="str">
        <f>CONCATENATE(A213,", ",G213,": ",J213)</f>
        <v>Tobacco, NZ: Tax increased by 20% per year until 2025, tobacco retail outlets reduced by 95% and tobacco-free generation strategy implemented</v>
      </c>
      <c r="J213" s="121" t="s">
        <v>395</v>
      </c>
      <c r="K213" s="121">
        <v>20</v>
      </c>
      <c r="L213" s="121">
        <v>95</v>
      </c>
      <c r="M213" s="87" t="s">
        <v>411</v>
      </c>
      <c r="N213" s="87" t="s">
        <v>233</v>
      </c>
      <c r="O213" s="121">
        <v>0</v>
      </c>
      <c r="P213" s="85" t="s">
        <v>215</v>
      </c>
      <c r="Q213" s="85" t="s">
        <v>414</v>
      </c>
      <c r="R213" s="85" t="s">
        <v>414</v>
      </c>
      <c r="S213" s="85" t="s">
        <v>241</v>
      </c>
      <c r="T213" s="85" t="s">
        <v>235</v>
      </c>
      <c r="U213" s="85" t="s">
        <v>259</v>
      </c>
      <c r="V213" s="88" t="s">
        <v>397</v>
      </c>
      <c r="W213" s="88" t="s">
        <v>368</v>
      </c>
      <c r="X213" s="88" t="s">
        <v>199</v>
      </c>
      <c r="Y213" s="85" t="s">
        <v>208</v>
      </c>
      <c r="Z213" s="85" t="s">
        <v>289</v>
      </c>
      <c r="AA213" s="85" t="s">
        <v>179</v>
      </c>
      <c r="AB213" s="85" t="s">
        <v>180</v>
      </c>
      <c r="AC213" s="89">
        <v>0.03</v>
      </c>
      <c r="AD213" s="122"/>
      <c r="AE213" s="83"/>
      <c r="AF213" s="83"/>
      <c r="AG213" s="130">
        <v>4320</v>
      </c>
      <c r="AH213" s="130"/>
      <c r="AI213" s="130"/>
      <c r="AJ213" s="91">
        <v>78600</v>
      </c>
      <c r="AK213" s="94">
        <f t="shared" si="33"/>
        <v>54.961832061068698</v>
      </c>
      <c r="AL213" s="94"/>
      <c r="AM213" s="94"/>
      <c r="AN213" s="91"/>
      <c r="AO213" s="94"/>
      <c r="AP213" s="94"/>
      <c r="AQ213" s="94"/>
      <c r="AR213" s="120">
        <v>82000000</v>
      </c>
      <c r="AS213" s="120"/>
      <c r="AT213" s="120"/>
      <c r="AU213" s="120">
        <f t="shared" si="37"/>
        <v>1043256.9974554708</v>
      </c>
      <c r="AV213" s="120"/>
      <c r="AW213" s="120"/>
      <c r="AX213" s="120"/>
      <c r="AY213" s="120"/>
      <c r="AZ213" s="120"/>
      <c r="BA213" s="120"/>
      <c r="BB213" s="120"/>
      <c r="BC213" s="120"/>
      <c r="BD213" s="120"/>
      <c r="BE213" s="120"/>
      <c r="BF213" s="120"/>
      <c r="BG213" s="96"/>
      <c r="BH213" s="96"/>
      <c r="BI213" s="96"/>
      <c r="BJ213" s="83" t="s">
        <v>396</v>
      </c>
      <c r="BK213" s="98" t="str">
        <f t="shared" si="35"/>
        <v/>
      </c>
      <c r="BL213" s="98" t="str">
        <f t="shared" si="35"/>
        <v/>
      </c>
      <c r="BM213" s="98" t="str">
        <f t="shared" si="35"/>
        <v/>
      </c>
      <c r="BN213" s="100"/>
      <c r="BO213" s="100"/>
      <c r="BP213" s="100"/>
      <c r="BQ213" s="100"/>
      <c r="BR213" s="100"/>
      <c r="BS213" s="100"/>
      <c r="BT213" s="100"/>
      <c r="BU213" s="100"/>
      <c r="BV213" s="100"/>
      <c r="BW213" s="83"/>
      <c r="BX213" s="85" t="s">
        <v>414</v>
      </c>
      <c r="BY213" s="85" t="s">
        <v>414</v>
      </c>
      <c r="BZ213" s="102">
        <v>2016</v>
      </c>
      <c r="CA213" s="98"/>
      <c r="CB213" s="98"/>
      <c r="CC213" s="103">
        <f t="shared" si="36"/>
        <v>128</v>
      </c>
      <c r="CD213" s="98"/>
      <c r="CE213" s="98"/>
      <c r="CF213" s="98"/>
      <c r="CG213" s="105">
        <v>1</v>
      </c>
      <c r="CH213" s="105" t="str">
        <f>IF(CK213=0,"",IF(V213="Persistent",5,IF(V213="Once",1,IF(V213="One-off",1,"manual overwrite"))))</f>
        <v/>
      </c>
      <c r="CI213" s="105"/>
      <c r="CJ213" s="98">
        <f t="shared" si="30"/>
        <v>0</v>
      </c>
      <c r="CK213" s="98">
        <f>IF(CA213="C",0,IF(P213="Het",0,IF(SUM(AG213,AO213)=0,0,1)))</f>
        <v>0</v>
      </c>
      <c r="CL213" s="106" t="e">
        <f>IF(G213="AUS",VLOOKUP(H213,$CU$5:$CW$23,2),IF(G213="NZ",VLOOKUP(H213,$CU$5:$CW$23,3),"error"))*AU213</f>
        <v>#N/A</v>
      </c>
      <c r="CM213" s="107" t="e">
        <f>IF(G213="AUS",VLOOKUP(H213,$CU$5:$CW$23,2),IF(G213="NZ",VLOOKUP(H213,$CU$5:$CW$23,3),"error"))*AX213</f>
        <v>#N/A</v>
      </c>
      <c r="CN213" s="106" t="e">
        <f>IF(G213="AUS",VLOOKUP(H213,$CU$5:$CW$23,2),IF(G213="NZ",VLOOKUP(H213,$CU$5:$CW$23,3),"error"))*BK213</f>
        <v>#N/A</v>
      </c>
    </row>
    <row r="214" spans="1:92" s="108" customFormat="1" ht="305.25">
      <c r="A214" s="83" t="str">
        <f t="shared" si="29"/>
        <v>Tobacco</v>
      </c>
      <c r="B214" s="84" t="s">
        <v>170</v>
      </c>
      <c r="C214" s="85"/>
      <c r="D214" s="86"/>
      <c r="E214" s="85" t="s">
        <v>172</v>
      </c>
      <c r="F214" s="85" t="str">
        <f t="shared" si="32"/>
        <v xml:space="preserve">Tobacco; ; Prevention ; </v>
      </c>
      <c r="G214" s="85" t="s">
        <v>205</v>
      </c>
      <c r="H214" s="85">
        <v>2011</v>
      </c>
      <c r="I214" s="85" t="str">
        <f>CONCATENATE(A214,", ",G214,": ",J214)</f>
        <v>Tobacco, NZ: Tax increased by 20% per year until 2025, tobacco retail outlets reduced by 95% and tobacco-free generation strategy implemented</v>
      </c>
      <c r="J214" s="121" t="s">
        <v>395</v>
      </c>
      <c r="K214" s="121">
        <v>20</v>
      </c>
      <c r="L214" s="121">
        <v>95</v>
      </c>
      <c r="M214" s="87" t="s">
        <v>411</v>
      </c>
      <c r="N214" s="87" t="s">
        <v>233</v>
      </c>
      <c r="O214" s="121">
        <v>0</v>
      </c>
      <c r="P214" s="85" t="s">
        <v>215</v>
      </c>
      <c r="Q214" s="85" t="s">
        <v>415</v>
      </c>
      <c r="R214" s="85" t="s">
        <v>415</v>
      </c>
      <c r="S214" s="85" t="s">
        <v>244</v>
      </c>
      <c r="T214" s="85" t="s">
        <v>235</v>
      </c>
      <c r="U214" s="85" t="s">
        <v>259</v>
      </c>
      <c r="V214" s="88" t="s">
        <v>397</v>
      </c>
      <c r="W214" s="88" t="s">
        <v>368</v>
      </c>
      <c r="X214" s="88" t="s">
        <v>199</v>
      </c>
      <c r="Y214" s="85" t="s">
        <v>208</v>
      </c>
      <c r="Z214" s="85" t="s">
        <v>289</v>
      </c>
      <c r="AA214" s="85" t="s">
        <v>179</v>
      </c>
      <c r="AB214" s="85" t="s">
        <v>180</v>
      </c>
      <c r="AC214" s="89">
        <v>0.03</v>
      </c>
      <c r="AD214" s="122"/>
      <c r="AE214" s="83"/>
      <c r="AF214" s="83"/>
      <c r="AG214" s="130">
        <v>1400</v>
      </c>
      <c r="AH214" s="130"/>
      <c r="AI214" s="130"/>
      <c r="AJ214" s="91">
        <v>54800</v>
      </c>
      <c r="AK214" s="94">
        <f t="shared" si="33"/>
        <v>25.547445255474454</v>
      </c>
      <c r="AL214" s="94"/>
      <c r="AM214" s="94"/>
      <c r="AN214" s="91"/>
      <c r="AO214" s="94"/>
      <c r="AP214" s="94"/>
      <c r="AQ214" s="94"/>
      <c r="AR214" s="120">
        <v>19300000</v>
      </c>
      <c r="AS214" s="120"/>
      <c r="AT214" s="120"/>
      <c r="AU214" s="120">
        <f t="shared" si="37"/>
        <v>352189.78102189786</v>
      </c>
      <c r="AV214" s="120"/>
      <c r="AW214" s="120"/>
      <c r="AX214" s="120"/>
      <c r="AY214" s="120"/>
      <c r="AZ214" s="120"/>
      <c r="BA214" s="120"/>
      <c r="BB214" s="120"/>
      <c r="BC214" s="120"/>
      <c r="BD214" s="120"/>
      <c r="BE214" s="120"/>
      <c r="BF214" s="120"/>
      <c r="BG214" s="96"/>
      <c r="BH214" s="96"/>
      <c r="BI214" s="96"/>
      <c r="BJ214" s="83" t="s">
        <v>396</v>
      </c>
      <c r="BK214" s="98" t="str">
        <f t="shared" si="35"/>
        <v/>
      </c>
      <c r="BL214" s="98" t="str">
        <f t="shared" si="35"/>
        <v/>
      </c>
      <c r="BM214" s="98" t="str">
        <f t="shared" si="35"/>
        <v/>
      </c>
      <c r="BN214" s="100"/>
      <c r="BO214" s="100"/>
      <c r="BP214" s="100"/>
      <c r="BQ214" s="100"/>
      <c r="BR214" s="100"/>
      <c r="BS214" s="100"/>
      <c r="BT214" s="100"/>
      <c r="BU214" s="100"/>
      <c r="BV214" s="100"/>
      <c r="BW214" s="83"/>
      <c r="BX214" s="85" t="s">
        <v>415</v>
      </c>
      <c r="BY214" s="85" t="s">
        <v>415</v>
      </c>
      <c r="BZ214" s="102">
        <v>2016</v>
      </c>
      <c r="CA214" s="98"/>
      <c r="CB214" s="98"/>
      <c r="CC214" s="103">
        <f t="shared" si="36"/>
        <v>128</v>
      </c>
      <c r="CD214" s="98"/>
      <c r="CE214" s="98"/>
      <c r="CF214" s="98"/>
      <c r="CG214" s="105">
        <v>1</v>
      </c>
      <c r="CH214" s="105" t="str">
        <f>IF(CK214=0,"",IF(V214="Persistent",5,IF(V214="Once",1,IF(V214="One-off",1,"manual overwrite"))))</f>
        <v/>
      </c>
      <c r="CI214" s="105"/>
      <c r="CJ214" s="98">
        <f t="shared" si="30"/>
        <v>0</v>
      </c>
      <c r="CK214" s="98">
        <f>IF(CA214="C",0,IF(P214="Het",0,IF(SUM(AG214,AO214)=0,0,1)))</f>
        <v>0</v>
      </c>
      <c r="CL214" s="106" t="e">
        <f>IF(G214="AUS",VLOOKUP(H214,$CU$5:$CW$23,2),IF(G214="NZ",VLOOKUP(H214,$CU$5:$CW$23,3),"error"))*AU214</f>
        <v>#N/A</v>
      </c>
      <c r="CM214" s="107" t="e">
        <f>IF(G214="AUS",VLOOKUP(H214,$CU$5:$CW$23,2),IF(G214="NZ",VLOOKUP(H214,$CU$5:$CW$23,3),"error"))*AX214</f>
        <v>#N/A</v>
      </c>
      <c r="CN214" s="106" t="e">
        <f>IF(G214="AUS",VLOOKUP(H214,$CU$5:$CW$23,2),IF(G214="NZ",VLOOKUP(H214,$CU$5:$CW$23,3),"error"))*BK214</f>
        <v>#N/A</v>
      </c>
    </row>
    <row r="215" spans="1:92" s="108" customFormat="1" ht="305.25">
      <c r="A215" s="83" t="str">
        <f t="shared" si="29"/>
        <v>Tobacco</v>
      </c>
      <c r="B215" s="84" t="s">
        <v>170</v>
      </c>
      <c r="C215" s="85"/>
      <c r="D215" s="86"/>
      <c r="E215" s="85" t="s">
        <v>172</v>
      </c>
      <c r="F215" s="85" t="str">
        <f t="shared" si="32"/>
        <v xml:space="preserve">Tobacco; ; Prevention ; </v>
      </c>
      <c r="G215" s="85" t="s">
        <v>205</v>
      </c>
      <c r="H215" s="85">
        <v>2011</v>
      </c>
      <c r="I215" s="85" t="str">
        <f>CONCATENATE(A215,", ",G215,": ",J215)</f>
        <v>Tobacco, NZ: Tax increased by 20% per year until 2025, tobacco retail outlets reduced by 95% and tobacco-free generation strategy implemented</v>
      </c>
      <c r="J215" s="121" t="s">
        <v>395</v>
      </c>
      <c r="K215" s="121">
        <v>20</v>
      </c>
      <c r="L215" s="121">
        <v>95</v>
      </c>
      <c r="M215" s="87" t="s">
        <v>411</v>
      </c>
      <c r="N215" s="87" t="s">
        <v>233</v>
      </c>
      <c r="O215" s="121">
        <v>0</v>
      </c>
      <c r="P215" s="85" t="s">
        <v>215</v>
      </c>
      <c r="Q215" s="85" t="s">
        <v>416</v>
      </c>
      <c r="R215" s="85" t="s">
        <v>416</v>
      </c>
      <c r="S215" s="85" t="s">
        <v>247</v>
      </c>
      <c r="T215" s="85" t="s">
        <v>235</v>
      </c>
      <c r="U215" s="85" t="s">
        <v>259</v>
      </c>
      <c r="V215" s="88" t="s">
        <v>397</v>
      </c>
      <c r="W215" s="88" t="s">
        <v>368</v>
      </c>
      <c r="X215" s="88" t="s">
        <v>199</v>
      </c>
      <c r="Y215" s="85" t="s">
        <v>208</v>
      </c>
      <c r="Z215" s="85" t="s">
        <v>289</v>
      </c>
      <c r="AA215" s="85" t="s">
        <v>179</v>
      </c>
      <c r="AB215" s="85" t="s">
        <v>180</v>
      </c>
      <c r="AC215" s="89">
        <v>0.03</v>
      </c>
      <c r="AD215" s="122"/>
      <c r="AE215" s="83"/>
      <c r="AF215" s="83"/>
      <c r="AG215" s="130">
        <v>39</v>
      </c>
      <c r="AH215" s="130"/>
      <c r="AI215" s="130"/>
      <c r="AJ215" s="91">
        <v>14600</v>
      </c>
      <c r="AK215" s="94">
        <f t="shared" si="33"/>
        <v>2.6712328767123288</v>
      </c>
      <c r="AL215" s="94"/>
      <c r="AM215" s="94"/>
      <c r="AN215" s="91"/>
      <c r="AO215" s="94"/>
      <c r="AP215" s="94"/>
      <c r="AQ215" s="94"/>
      <c r="AR215" s="120">
        <v>330000</v>
      </c>
      <c r="AS215" s="120"/>
      <c r="AT215" s="120"/>
      <c r="AU215" s="120">
        <f t="shared" si="37"/>
        <v>22602.739726027397</v>
      </c>
      <c r="AV215" s="120"/>
      <c r="AW215" s="120"/>
      <c r="AX215" s="120"/>
      <c r="AY215" s="120"/>
      <c r="AZ215" s="120"/>
      <c r="BA215" s="120"/>
      <c r="BB215" s="120"/>
      <c r="BC215" s="120"/>
      <c r="BD215" s="120"/>
      <c r="BE215" s="120"/>
      <c r="BF215" s="120"/>
      <c r="BG215" s="96"/>
      <c r="BH215" s="96"/>
      <c r="BI215" s="96"/>
      <c r="BJ215" s="83" t="s">
        <v>396</v>
      </c>
      <c r="BK215" s="98" t="str">
        <f t="shared" si="35"/>
        <v/>
      </c>
      <c r="BL215" s="98" t="str">
        <f t="shared" si="35"/>
        <v/>
      </c>
      <c r="BM215" s="98" t="str">
        <f t="shared" si="35"/>
        <v/>
      </c>
      <c r="BN215" s="100"/>
      <c r="BO215" s="100"/>
      <c r="BP215" s="100"/>
      <c r="BQ215" s="100"/>
      <c r="BR215" s="100"/>
      <c r="BS215" s="100"/>
      <c r="BT215" s="100"/>
      <c r="BU215" s="100"/>
      <c r="BV215" s="100"/>
      <c r="BW215" s="83"/>
      <c r="BX215" s="85" t="s">
        <v>416</v>
      </c>
      <c r="BY215" s="85" t="s">
        <v>416</v>
      </c>
      <c r="BZ215" s="102">
        <v>2016</v>
      </c>
      <c r="CA215" s="98"/>
      <c r="CB215" s="98"/>
      <c r="CC215" s="103">
        <f t="shared" si="36"/>
        <v>128</v>
      </c>
      <c r="CD215" s="98"/>
      <c r="CE215" s="98"/>
      <c r="CF215" s="98"/>
      <c r="CG215" s="105">
        <v>1</v>
      </c>
      <c r="CH215" s="105" t="str">
        <f>IF(CK215=0,"",IF(V215="Persistent",5,IF(V215="Once",1,IF(V215="One-off",1,"manual overwrite"))))</f>
        <v/>
      </c>
      <c r="CI215" s="105"/>
      <c r="CJ215" s="98">
        <f t="shared" si="30"/>
        <v>0</v>
      </c>
      <c r="CK215" s="98">
        <f>IF(CA215="C",0,IF(P215="Het",0,IF(SUM(AG215,AO215)=0,0,1)))</f>
        <v>0</v>
      </c>
      <c r="CL215" s="106" t="e">
        <f>IF(G215="AUS",VLOOKUP(H215,$CU$5:$CW$23,2),IF(G215="NZ",VLOOKUP(H215,$CU$5:$CW$23,3),"error"))*AU215</f>
        <v>#N/A</v>
      </c>
      <c r="CM215" s="107" t="e">
        <f>IF(G215="AUS",VLOOKUP(H215,$CU$5:$CW$23,2),IF(G215="NZ",VLOOKUP(H215,$CU$5:$CW$23,3),"error"))*AX215</f>
        <v>#N/A</v>
      </c>
      <c r="CN215" s="106" t="e">
        <f>IF(G215="AUS",VLOOKUP(H215,$CU$5:$CW$23,2),IF(G215="NZ",VLOOKUP(H215,$CU$5:$CW$23,3),"error"))*BK215</f>
        <v>#N/A</v>
      </c>
    </row>
    <row r="216" spans="1:92" s="108" customFormat="1" ht="305.25" hidden="1">
      <c r="A216" s="83" t="str">
        <f t="shared" si="29"/>
        <v>Tobacco</v>
      </c>
      <c r="B216" s="84" t="s">
        <v>170</v>
      </c>
      <c r="C216" s="85"/>
      <c r="D216" s="86"/>
      <c r="E216" s="85" t="s">
        <v>172</v>
      </c>
      <c r="F216" s="85" t="str">
        <f t="shared" si="32"/>
        <v xml:space="preserve">Tobacco; ; Prevention ; </v>
      </c>
      <c r="G216" s="85" t="s">
        <v>205</v>
      </c>
      <c r="H216" s="85">
        <v>2011</v>
      </c>
      <c r="I216" s="85" t="str">
        <f>CONCATENATE(A216,", ",G216,": ",J216)</f>
        <v>Tobacco, NZ: Tax increased by 20% per year until 2025, tobacco retail outlets reduced by 95% and tobacco-free generation strategy implemented</v>
      </c>
      <c r="J216" s="121" t="s">
        <v>395</v>
      </c>
      <c r="K216" s="121"/>
      <c r="L216" s="121">
        <v>95</v>
      </c>
      <c r="M216" s="121"/>
      <c r="N216" s="121"/>
      <c r="O216" s="121"/>
      <c r="P216" s="85" t="s">
        <v>215</v>
      </c>
      <c r="Q216" s="85" t="s">
        <v>417</v>
      </c>
      <c r="R216" s="85" t="s">
        <v>417</v>
      </c>
      <c r="S216" s="98"/>
      <c r="T216" s="98"/>
      <c r="U216" s="98"/>
      <c r="V216" s="88" t="s">
        <v>397</v>
      </c>
      <c r="W216" s="88"/>
      <c r="X216" s="88"/>
      <c r="Y216" s="85" t="s">
        <v>208</v>
      </c>
      <c r="Z216" s="85" t="s">
        <v>289</v>
      </c>
      <c r="AA216" s="85" t="s">
        <v>179</v>
      </c>
      <c r="AB216" s="85" t="s">
        <v>180</v>
      </c>
      <c r="AC216" s="89">
        <v>0.03</v>
      </c>
      <c r="AD216" s="122"/>
      <c r="AE216" s="83"/>
      <c r="AF216" s="83"/>
      <c r="AG216" s="130">
        <v>25400</v>
      </c>
      <c r="AH216" s="130"/>
      <c r="AI216" s="130"/>
      <c r="AJ216" s="91">
        <v>330900</v>
      </c>
      <c r="AK216" s="94">
        <f t="shared" si="33"/>
        <v>76.760350559081303</v>
      </c>
      <c r="AL216" s="94"/>
      <c r="AM216" s="94"/>
      <c r="AN216" s="91"/>
      <c r="AO216" s="94"/>
      <c r="AP216" s="94"/>
      <c r="AQ216" s="94"/>
      <c r="AR216" s="120">
        <v>572000000</v>
      </c>
      <c r="AS216" s="120"/>
      <c r="AT216" s="120"/>
      <c r="AU216" s="120">
        <f t="shared" si="37"/>
        <v>1728618.9181021457</v>
      </c>
      <c r="AV216" s="120"/>
      <c r="AW216" s="120"/>
      <c r="AX216" s="120"/>
      <c r="AY216" s="120"/>
      <c r="AZ216" s="120"/>
      <c r="BA216" s="120"/>
      <c r="BB216" s="120"/>
      <c r="BC216" s="120"/>
      <c r="BD216" s="120"/>
      <c r="BE216" s="120"/>
      <c r="BF216" s="120"/>
      <c r="BG216" s="96"/>
      <c r="BH216" s="96"/>
      <c r="BI216" s="96"/>
      <c r="BJ216" s="83" t="s">
        <v>396</v>
      </c>
      <c r="BK216" s="98" t="str">
        <f t="shared" si="35"/>
        <v/>
      </c>
      <c r="BL216" s="98" t="str">
        <f t="shared" si="35"/>
        <v/>
      </c>
      <c r="BM216" s="98" t="str">
        <f t="shared" si="35"/>
        <v/>
      </c>
      <c r="BN216" s="100"/>
      <c r="BO216" s="100"/>
      <c r="BP216" s="100"/>
      <c r="BQ216" s="100"/>
      <c r="BR216" s="100"/>
      <c r="BS216" s="100"/>
      <c r="BT216" s="100"/>
      <c r="BU216" s="100"/>
      <c r="BV216" s="100"/>
      <c r="BW216" s="83"/>
      <c r="BX216" s="85" t="s">
        <v>417</v>
      </c>
      <c r="BY216" s="85" t="s">
        <v>417</v>
      </c>
      <c r="BZ216" s="102">
        <v>2016</v>
      </c>
      <c r="CA216" s="98"/>
      <c r="CB216" s="98"/>
      <c r="CC216" s="103">
        <f t="shared" si="36"/>
        <v>128</v>
      </c>
      <c r="CD216" s="98"/>
      <c r="CE216" s="98"/>
      <c r="CF216" s="98"/>
      <c r="CG216" s="105">
        <v>1</v>
      </c>
      <c r="CH216" s="105" t="str">
        <f>IF(CK216=0,"",IF(V216="Persistent",5,IF(V216="Once",1,IF(V216="One-off",1,"manual overwrite"))))</f>
        <v/>
      </c>
      <c r="CI216" s="105"/>
      <c r="CJ216" s="98">
        <f t="shared" si="30"/>
        <v>0</v>
      </c>
      <c r="CK216" s="98">
        <f>IF(CA216="C",0,IF(P216="Het",0,IF(SUM(AG216,AO216)=0,0,1)))</f>
        <v>0</v>
      </c>
      <c r="CL216" s="106" t="e">
        <f>IF(G216="AUS",VLOOKUP(H216,$CU$5:$CW$23,2),IF(G216="NZ",VLOOKUP(H216,$CU$5:$CW$23,3),"error"))*AU216</f>
        <v>#N/A</v>
      </c>
      <c r="CM216" s="107" t="e">
        <f>IF(G216="AUS",VLOOKUP(H216,$CU$5:$CW$23,2),IF(G216="NZ",VLOOKUP(H216,$CU$5:$CW$23,3),"error"))*AX216</f>
        <v>#N/A</v>
      </c>
      <c r="CN216" s="106" t="e">
        <f>IF(G216="AUS",VLOOKUP(H216,$CU$5:$CW$23,2),IF(G216="NZ",VLOOKUP(H216,$CU$5:$CW$23,3),"error"))*BK216</f>
        <v>#N/A</v>
      </c>
    </row>
    <row r="217" spans="1:92" s="108" customFormat="1" ht="305.25">
      <c r="A217" s="83" t="str">
        <f t="shared" si="29"/>
        <v>Tobacco</v>
      </c>
      <c r="B217" s="84" t="s">
        <v>170</v>
      </c>
      <c r="C217" s="85"/>
      <c r="D217" s="86"/>
      <c r="E217" s="85" t="s">
        <v>172</v>
      </c>
      <c r="F217" s="85" t="str">
        <f t="shared" si="32"/>
        <v xml:space="preserve">Tobacco; ; Prevention ; </v>
      </c>
      <c r="G217" s="85" t="s">
        <v>205</v>
      </c>
      <c r="H217" s="85">
        <v>2011</v>
      </c>
      <c r="I217" s="85" t="str">
        <f>CONCATENATE(A217,", ",G217,": ",J217)</f>
        <v>Tobacco, NZ: Tax increased by 20% per year until 2025, tobacco retail outlets reduced by 95% and tobacco-free generation strategy implemented</v>
      </c>
      <c r="J217" s="121" t="s">
        <v>395</v>
      </c>
      <c r="K217" s="121">
        <v>20</v>
      </c>
      <c r="L217" s="121">
        <v>95</v>
      </c>
      <c r="M217" s="87" t="s">
        <v>411</v>
      </c>
      <c r="N217" s="87" t="s">
        <v>233</v>
      </c>
      <c r="O217" s="121">
        <v>0</v>
      </c>
      <c r="P217" s="85" t="s">
        <v>215</v>
      </c>
      <c r="Q217" s="85" t="s">
        <v>418</v>
      </c>
      <c r="R217" s="85" t="s">
        <v>418</v>
      </c>
      <c r="S217" s="85" t="s">
        <v>234</v>
      </c>
      <c r="T217" s="85" t="s">
        <v>250</v>
      </c>
      <c r="U217" s="85" t="s">
        <v>259</v>
      </c>
      <c r="V217" s="88" t="s">
        <v>397</v>
      </c>
      <c r="W217" s="88" t="s">
        <v>368</v>
      </c>
      <c r="X217" s="88" t="s">
        <v>199</v>
      </c>
      <c r="Y217" s="85" t="s">
        <v>208</v>
      </c>
      <c r="Z217" s="85" t="s">
        <v>289</v>
      </c>
      <c r="AA217" s="85" t="s">
        <v>179</v>
      </c>
      <c r="AB217" s="85" t="s">
        <v>180</v>
      </c>
      <c r="AC217" s="89">
        <v>0.03</v>
      </c>
      <c r="AD217" s="122"/>
      <c r="AE217" s="83"/>
      <c r="AF217" s="83"/>
      <c r="AG217" s="130">
        <v>16600</v>
      </c>
      <c r="AH217" s="130"/>
      <c r="AI217" s="130"/>
      <c r="AJ217" s="91">
        <v>112600</v>
      </c>
      <c r="AK217" s="94">
        <f t="shared" si="33"/>
        <v>147.42451154529306</v>
      </c>
      <c r="AL217" s="94"/>
      <c r="AM217" s="94"/>
      <c r="AN217" s="91"/>
      <c r="AO217" s="94"/>
      <c r="AP217" s="94"/>
      <c r="AQ217" s="94"/>
      <c r="AR217" s="120">
        <v>221000000</v>
      </c>
      <c r="AS217" s="120"/>
      <c r="AT217" s="120"/>
      <c r="AU217" s="120">
        <f t="shared" si="37"/>
        <v>1962699.8223801064</v>
      </c>
      <c r="AV217" s="120"/>
      <c r="AW217" s="120"/>
      <c r="AX217" s="120"/>
      <c r="AY217" s="120"/>
      <c r="AZ217" s="120"/>
      <c r="BA217" s="120"/>
      <c r="BB217" s="120"/>
      <c r="BC217" s="120"/>
      <c r="BD217" s="120"/>
      <c r="BE217" s="120"/>
      <c r="BF217" s="120"/>
      <c r="BG217" s="96"/>
      <c r="BH217" s="96"/>
      <c r="BI217" s="96"/>
      <c r="BJ217" s="83" t="s">
        <v>396</v>
      </c>
      <c r="BK217" s="98" t="str">
        <f t="shared" si="35"/>
        <v/>
      </c>
      <c r="BL217" s="98" t="str">
        <f t="shared" si="35"/>
        <v/>
      </c>
      <c r="BM217" s="98" t="str">
        <f t="shared" si="35"/>
        <v/>
      </c>
      <c r="BN217" s="100"/>
      <c r="BO217" s="100"/>
      <c r="BP217" s="100"/>
      <c r="BQ217" s="100"/>
      <c r="BR217" s="100"/>
      <c r="BS217" s="100"/>
      <c r="BT217" s="100"/>
      <c r="BU217" s="100"/>
      <c r="BV217" s="100"/>
      <c r="BW217" s="83"/>
      <c r="BX217" s="85" t="s">
        <v>418</v>
      </c>
      <c r="BY217" s="85" t="s">
        <v>418</v>
      </c>
      <c r="BZ217" s="102">
        <v>2016</v>
      </c>
      <c r="CA217" s="98"/>
      <c r="CB217" s="98"/>
      <c r="CC217" s="103">
        <f t="shared" si="36"/>
        <v>128</v>
      </c>
      <c r="CD217" s="98"/>
      <c r="CE217" s="98"/>
      <c r="CF217" s="98"/>
      <c r="CG217" s="105">
        <v>1</v>
      </c>
      <c r="CH217" s="105" t="str">
        <f>IF(CK217=0,"",IF(V217="Persistent",5,IF(V217="Once",1,IF(V217="One-off",1,"manual overwrite"))))</f>
        <v/>
      </c>
      <c r="CI217" s="105"/>
      <c r="CJ217" s="98">
        <f t="shared" si="30"/>
        <v>0</v>
      </c>
      <c r="CK217" s="98">
        <f>IF(CA217="C",0,IF(P217="Het",0,IF(SUM(AG217,AO217)=0,0,1)))</f>
        <v>0</v>
      </c>
      <c r="CL217" s="106" t="e">
        <f>IF(G217="AUS",VLOOKUP(H217,$CU$5:$CW$23,2),IF(G217="NZ",VLOOKUP(H217,$CU$5:$CW$23,3),"error"))*AU217</f>
        <v>#N/A</v>
      </c>
      <c r="CM217" s="107" t="e">
        <f>IF(G217="AUS",VLOOKUP(H217,$CU$5:$CW$23,2),IF(G217="NZ",VLOOKUP(H217,$CU$5:$CW$23,3),"error"))*AX217</f>
        <v>#N/A</v>
      </c>
      <c r="CN217" s="106" t="e">
        <f>IF(G217="AUS",VLOOKUP(H217,$CU$5:$CW$23,2),IF(G217="NZ",VLOOKUP(H217,$CU$5:$CW$23,3),"error"))*BK217</f>
        <v>#N/A</v>
      </c>
    </row>
    <row r="218" spans="1:92" s="108" customFormat="1" ht="305.25">
      <c r="A218" s="83" t="str">
        <f t="shared" si="29"/>
        <v>Tobacco</v>
      </c>
      <c r="B218" s="84" t="s">
        <v>170</v>
      </c>
      <c r="C218" s="85"/>
      <c r="D218" s="86"/>
      <c r="E218" s="85" t="s">
        <v>172</v>
      </c>
      <c r="F218" s="85" t="str">
        <f t="shared" si="32"/>
        <v xml:space="preserve">Tobacco; ; Prevention ; </v>
      </c>
      <c r="G218" s="85" t="s">
        <v>205</v>
      </c>
      <c r="H218" s="85">
        <v>2011</v>
      </c>
      <c r="I218" s="85" t="str">
        <f>CONCATENATE(A218,", ",G218,": ",J218)</f>
        <v>Tobacco, NZ: Tax increased by 20% per year until 2025, tobacco retail outlets reduced by 95% and tobacco-free generation strategy implemented</v>
      </c>
      <c r="J218" s="121" t="s">
        <v>395</v>
      </c>
      <c r="K218" s="121">
        <v>20</v>
      </c>
      <c r="L218" s="121">
        <v>95</v>
      </c>
      <c r="M218" s="87" t="s">
        <v>411</v>
      </c>
      <c r="N218" s="87" t="s">
        <v>233</v>
      </c>
      <c r="O218" s="121">
        <v>0</v>
      </c>
      <c r="P218" s="85" t="s">
        <v>215</v>
      </c>
      <c r="Q218" s="85" t="s">
        <v>419</v>
      </c>
      <c r="R218" s="85" t="s">
        <v>419</v>
      </c>
      <c r="S218" s="85" t="s">
        <v>239</v>
      </c>
      <c r="T218" s="85" t="s">
        <v>250</v>
      </c>
      <c r="U218" s="85" t="s">
        <v>259</v>
      </c>
      <c r="V218" s="88" t="s">
        <v>397</v>
      </c>
      <c r="W218" s="88" t="s">
        <v>368</v>
      </c>
      <c r="X218" s="88" t="s">
        <v>199</v>
      </c>
      <c r="Y218" s="85" t="s">
        <v>208</v>
      </c>
      <c r="Z218" s="85" t="s">
        <v>289</v>
      </c>
      <c r="AA218" s="85" t="s">
        <v>179</v>
      </c>
      <c r="AB218" s="85" t="s">
        <v>180</v>
      </c>
      <c r="AC218" s="89">
        <v>0.03</v>
      </c>
      <c r="AD218" s="122"/>
      <c r="AE218" s="83"/>
      <c r="AF218" s="83"/>
      <c r="AG218" s="130">
        <v>10690</v>
      </c>
      <c r="AH218" s="130"/>
      <c r="AI218" s="130"/>
      <c r="AJ218" s="91">
        <v>62700</v>
      </c>
      <c r="AK218" s="94">
        <f t="shared" si="33"/>
        <v>170.49441786283893</v>
      </c>
      <c r="AL218" s="94"/>
      <c r="AM218" s="94"/>
      <c r="AN218" s="91"/>
      <c r="AO218" s="94"/>
      <c r="AP218" s="94"/>
      <c r="AQ218" s="94"/>
      <c r="AR218" s="120">
        <v>137000000</v>
      </c>
      <c r="AS218" s="120"/>
      <c r="AT218" s="120"/>
      <c r="AU218" s="120">
        <f t="shared" si="37"/>
        <v>2185007.9744816585</v>
      </c>
      <c r="AV218" s="120"/>
      <c r="AW218" s="120"/>
      <c r="AX218" s="120"/>
      <c r="AY218" s="120"/>
      <c r="AZ218" s="120"/>
      <c r="BA218" s="120"/>
      <c r="BB218" s="120"/>
      <c r="BC218" s="120"/>
      <c r="BD218" s="120"/>
      <c r="BE218" s="120"/>
      <c r="BF218" s="120"/>
      <c r="BG218" s="96"/>
      <c r="BH218" s="96"/>
      <c r="BI218" s="96"/>
      <c r="BJ218" s="83" t="s">
        <v>396</v>
      </c>
      <c r="BK218" s="98" t="str">
        <f t="shared" si="35"/>
        <v/>
      </c>
      <c r="BL218" s="98" t="str">
        <f t="shared" si="35"/>
        <v/>
      </c>
      <c r="BM218" s="98" t="str">
        <f t="shared" si="35"/>
        <v/>
      </c>
      <c r="BN218" s="100"/>
      <c r="BO218" s="100"/>
      <c r="BP218" s="100"/>
      <c r="BQ218" s="100"/>
      <c r="BR218" s="100"/>
      <c r="BS218" s="100"/>
      <c r="BT218" s="100"/>
      <c r="BU218" s="100"/>
      <c r="BV218" s="100"/>
      <c r="BW218" s="83"/>
      <c r="BX218" s="85" t="s">
        <v>419</v>
      </c>
      <c r="BY218" s="85" t="s">
        <v>419</v>
      </c>
      <c r="BZ218" s="102">
        <v>2016</v>
      </c>
      <c r="CA218" s="98"/>
      <c r="CB218" s="98"/>
      <c r="CC218" s="103">
        <f t="shared" si="36"/>
        <v>128</v>
      </c>
      <c r="CD218" s="98"/>
      <c r="CE218" s="98"/>
      <c r="CF218" s="98"/>
      <c r="CG218" s="105">
        <v>1</v>
      </c>
      <c r="CH218" s="105" t="str">
        <f>IF(CK218=0,"",IF(V218="Persistent",5,IF(V218="Once",1,IF(V218="One-off",1,"manual overwrite"))))</f>
        <v/>
      </c>
      <c r="CI218" s="105"/>
      <c r="CJ218" s="98">
        <f t="shared" si="30"/>
        <v>0</v>
      </c>
      <c r="CK218" s="98">
        <f>IF(CA218="C",0,IF(P218="Het",0,IF(SUM(AG218,AO218)=0,0,1)))</f>
        <v>0</v>
      </c>
      <c r="CL218" s="106" t="e">
        <f>IF(G218="AUS",VLOOKUP(H218,$CU$5:$CW$23,2),IF(G218="NZ",VLOOKUP(H218,$CU$5:$CW$23,3),"error"))*AU218</f>
        <v>#N/A</v>
      </c>
      <c r="CM218" s="107" t="e">
        <f>IF(G218="AUS",VLOOKUP(H218,$CU$5:$CW$23,2),IF(G218="NZ",VLOOKUP(H218,$CU$5:$CW$23,3),"error"))*AX218</f>
        <v>#N/A</v>
      </c>
      <c r="CN218" s="106" t="e">
        <f>IF(G218="AUS",VLOOKUP(H218,$CU$5:$CW$23,2),IF(G218="NZ",VLOOKUP(H218,$CU$5:$CW$23,3),"error"))*BK218</f>
        <v>#N/A</v>
      </c>
    </row>
    <row r="219" spans="1:92" s="108" customFormat="1" ht="305.25">
      <c r="A219" s="83" t="str">
        <f t="shared" si="29"/>
        <v>Tobacco</v>
      </c>
      <c r="B219" s="84" t="s">
        <v>170</v>
      </c>
      <c r="C219" s="85"/>
      <c r="D219" s="86"/>
      <c r="E219" s="85" t="s">
        <v>172</v>
      </c>
      <c r="F219" s="85" t="str">
        <f t="shared" si="32"/>
        <v xml:space="preserve">Tobacco; ; Prevention ; </v>
      </c>
      <c r="G219" s="85" t="s">
        <v>205</v>
      </c>
      <c r="H219" s="85">
        <v>2011</v>
      </c>
      <c r="I219" s="85" t="str">
        <f>CONCATENATE(A219,", ",G219,": ",J219)</f>
        <v>Tobacco, NZ: Tax increased by 20% per year until 2025, tobacco retail outlets reduced by 95% and tobacco-free generation strategy implemented</v>
      </c>
      <c r="J219" s="121" t="s">
        <v>395</v>
      </c>
      <c r="K219" s="121">
        <v>20</v>
      </c>
      <c r="L219" s="121">
        <v>95</v>
      </c>
      <c r="M219" s="87" t="s">
        <v>411</v>
      </c>
      <c r="N219" s="87" t="s">
        <v>233</v>
      </c>
      <c r="O219" s="121">
        <v>0</v>
      </c>
      <c r="P219" s="85" t="s">
        <v>215</v>
      </c>
      <c r="Q219" s="85" t="s">
        <v>420</v>
      </c>
      <c r="R219" s="85" t="s">
        <v>420</v>
      </c>
      <c r="S219" s="85" t="s">
        <v>241</v>
      </c>
      <c r="T219" s="85" t="s">
        <v>250</v>
      </c>
      <c r="U219" s="85" t="s">
        <v>259</v>
      </c>
      <c r="V219" s="88" t="s">
        <v>397</v>
      </c>
      <c r="W219" s="88" t="s">
        <v>368</v>
      </c>
      <c r="X219" s="88" t="s">
        <v>199</v>
      </c>
      <c r="Y219" s="85" t="s">
        <v>208</v>
      </c>
      <c r="Z219" s="85" t="s">
        <v>289</v>
      </c>
      <c r="AA219" s="85" t="s">
        <v>179</v>
      </c>
      <c r="AB219" s="85" t="s">
        <v>180</v>
      </c>
      <c r="AC219" s="89">
        <v>0.03</v>
      </c>
      <c r="AD219" s="122"/>
      <c r="AE219" s="83"/>
      <c r="AF219" s="83"/>
      <c r="AG219" s="130">
        <v>6850</v>
      </c>
      <c r="AH219" s="130"/>
      <c r="AI219" s="130"/>
      <c r="AJ219" s="91">
        <v>89100</v>
      </c>
      <c r="AK219" s="94">
        <f t="shared" si="33"/>
        <v>76.879910213243548</v>
      </c>
      <c r="AL219" s="94"/>
      <c r="AM219" s="94"/>
      <c r="AN219" s="91"/>
      <c r="AO219" s="94"/>
      <c r="AP219" s="94"/>
      <c r="AQ219" s="94"/>
      <c r="AR219" s="120">
        <v>70000000</v>
      </c>
      <c r="AS219" s="120"/>
      <c r="AT219" s="120"/>
      <c r="AU219" s="120">
        <f t="shared" si="37"/>
        <v>785634.11896745232</v>
      </c>
      <c r="AV219" s="120"/>
      <c r="AW219" s="120"/>
      <c r="AX219" s="120"/>
      <c r="AY219" s="120"/>
      <c r="AZ219" s="120"/>
      <c r="BA219" s="120"/>
      <c r="BB219" s="120"/>
      <c r="BC219" s="120"/>
      <c r="BD219" s="120"/>
      <c r="BE219" s="120"/>
      <c r="BF219" s="120"/>
      <c r="BG219" s="96"/>
      <c r="BH219" s="96"/>
      <c r="BI219" s="96"/>
      <c r="BJ219" s="83" t="s">
        <v>396</v>
      </c>
      <c r="BK219" s="98" t="str">
        <f t="shared" si="35"/>
        <v/>
      </c>
      <c r="BL219" s="98" t="str">
        <f t="shared" si="35"/>
        <v/>
      </c>
      <c r="BM219" s="98" t="str">
        <f t="shared" si="35"/>
        <v/>
      </c>
      <c r="BN219" s="100"/>
      <c r="BO219" s="100"/>
      <c r="BP219" s="100"/>
      <c r="BQ219" s="100"/>
      <c r="BR219" s="100"/>
      <c r="BS219" s="100"/>
      <c r="BT219" s="100"/>
      <c r="BU219" s="100"/>
      <c r="BV219" s="100"/>
      <c r="BW219" s="83"/>
      <c r="BX219" s="85" t="s">
        <v>420</v>
      </c>
      <c r="BY219" s="85" t="s">
        <v>420</v>
      </c>
      <c r="BZ219" s="102">
        <v>2016</v>
      </c>
      <c r="CA219" s="98"/>
      <c r="CB219" s="98"/>
      <c r="CC219" s="103">
        <f t="shared" si="36"/>
        <v>128</v>
      </c>
      <c r="CD219" s="98"/>
      <c r="CE219" s="98"/>
      <c r="CF219" s="98"/>
      <c r="CG219" s="105">
        <v>1</v>
      </c>
      <c r="CH219" s="105" t="str">
        <f>IF(CK219=0,"",IF(V219="Persistent",5,IF(V219="Once",1,IF(V219="One-off",1,"manual overwrite"))))</f>
        <v/>
      </c>
      <c r="CI219" s="105"/>
      <c r="CJ219" s="98">
        <f t="shared" si="30"/>
        <v>0</v>
      </c>
      <c r="CK219" s="98">
        <f>IF(CA219="C",0,IF(P219="Het",0,IF(SUM(AG219,AO219)=0,0,1)))</f>
        <v>0</v>
      </c>
      <c r="CL219" s="106" t="e">
        <f>IF(G219="AUS",VLOOKUP(H219,$CU$5:$CW$23,2),IF(G219="NZ",VLOOKUP(H219,$CU$5:$CW$23,3),"error"))*AU219</f>
        <v>#N/A</v>
      </c>
      <c r="CM219" s="107" t="e">
        <f>IF(G219="AUS",VLOOKUP(H219,$CU$5:$CW$23,2),IF(G219="NZ",VLOOKUP(H219,$CU$5:$CW$23,3),"error"))*AX219</f>
        <v>#N/A</v>
      </c>
      <c r="CN219" s="106" t="e">
        <f>IF(G219="AUS",VLOOKUP(H219,$CU$5:$CW$23,2),IF(G219="NZ",VLOOKUP(H219,$CU$5:$CW$23,3),"error"))*BK219</f>
        <v>#N/A</v>
      </c>
    </row>
    <row r="220" spans="1:92" s="108" customFormat="1" ht="305.25">
      <c r="A220" s="83" t="str">
        <f t="shared" si="29"/>
        <v>Tobacco</v>
      </c>
      <c r="B220" s="84" t="s">
        <v>170</v>
      </c>
      <c r="C220" s="85"/>
      <c r="D220" s="86"/>
      <c r="E220" s="85" t="s">
        <v>172</v>
      </c>
      <c r="F220" s="85" t="str">
        <f t="shared" si="32"/>
        <v xml:space="preserve">Tobacco; ; Prevention ; </v>
      </c>
      <c r="G220" s="85" t="s">
        <v>205</v>
      </c>
      <c r="H220" s="85">
        <v>2011</v>
      </c>
      <c r="I220" s="85" t="str">
        <f>CONCATENATE(A220,", ",G220,": ",J220)</f>
        <v>Tobacco, NZ: Tax increased by 20% per year until 2025, tobacco retail outlets reduced by 95% and tobacco-free generation strategy implemented</v>
      </c>
      <c r="J220" s="121" t="s">
        <v>395</v>
      </c>
      <c r="K220" s="121">
        <v>20</v>
      </c>
      <c r="L220" s="121">
        <v>95</v>
      </c>
      <c r="M220" s="87" t="s">
        <v>411</v>
      </c>
      <c r="N220" s="87" t="s">
        <v>233</v>
      </c>
      <c r="O220" s="121">
        <v>0</v>
      </c>
      <c r="P220" s="85" t="s">
        <v>215</v>
      </c>
      <c r="Q220" s="85" t="s">
        <v>421</v>
      </c>
      <c r="R220" s="85" t="s">
        <v>421</v>
      </c>
      <c r="S220" s="85" t="s">
        <v>244</v>
      </c>
      <c r="T220" s="85" t="s">
        <v>250</v>
      </c>
      <c r="U220" s="85" t="s">
        <v>259</v>
      </c>
      <c r="V220" s="88" t="s">
        <v>397</v>
      </c>
      <c r="W220" s="88" t="s">
        <v>368</v>
      </c>
      <c r="X220" s="88" t="s">
        <v>199</v>
      </c>
      <c r="Y220" s="85" t="s">
        <v>208</v>
      </c>
      <c r="Z220" s="85" t="s">
        <v>289</v>
      </c>
      <c r="AA220" s="85" t="s">
        <v>179</v>
      </c>
      <c r="AB220" s="85" t="s">
        <v>180</v>
      </c>
      <c r="AC220" s="89">
        <v>0.03</v>
      </c>
      <c r="AD220" s="122"/>
      <c r="AE220" s="83"/>
      <c r="AF220" s="83"/>
      <c r="AG220" s="130">
        <v>2380</v>
      </c>
      <c r="AH220" s="130"/>
      <c r="AI220" s="130"/>
      <c r="AJ220" s="91">
        <v>61400</v>
      </c>
      <c r="AK220" s="94">
        <f t="shared" si="33"/>
        <v>38.762214983713356</v>
      </c>
      <c r="AL220" s="94"/>
      <c r="AM220" s="94"/>
      <c r="AN220" s="91"/>
      <c r="AO220" s="94"/>
      <c r="AP220" s="94"/>
      <c r="AQ220" s="94"/>
      <c r="AR220" s="120">
        <v>17000000</v>
      </c>
      <c r="AS220" s="120"/>
      <c r="AT220" s="120"/>
      <c r="AU220" s="120">
        <f t="shared" si="37"/>
        <v>276872.96416938113</v>
      </c>
      <c r="AV220" s="120"/>
      <c r="AW220" s="120"/>
      <c r="AX220" s="120"/>
      <c r="AY220" s="120"/>
      <c r="AZ220" s="120"/>
      <c r="BA220" s="120"/>
      <c r="BB220" s="120"/>
      <c r="BC220" s="120"/>
      <c r="BD220" s="120"/>
      <c r="BE220" s="120"/>
      <c r="BF220" s="120"/>
      <c r="BG220" s="96"/>
      <c r="BH220" s="96"/>
      <c r="BI220" s="96"/>
      <c r="BJ220" s="83" t="s">
        <v>396</v>
      </c>
      <c r="BK220" s="98" t="str">
        <f t="shared" si="35"/>
        <v/>
      </c>
      <c r="BL220" s="98" t="str">
        <f t="shared" si="35"/>
        <v/>
      </c>
      <c r="BM220" s="98" t="str">
        <f t="shared" si="35"/>
        <v/>
      </c>
      <c r="BN220" s="100"/>
      <c r="BO220" s="100"/>
      <c r="BP220" s="100"/>
      <c r="BQ220" s="100"/>
      <c r="BR220" s="100"/>
      <c r="BS220" s="100"/>
      <c r="BT220" s="100"/>
      <c r="BU220" s="100"/>
      <c r="BV220" s="100"/>
      <c r="BW220" s="83"/>
      <c r="BX220" s="85" t="s">
        <v>421</v>
      </c>
      <c r="BY220" s="85" t="s">
        <v>421</v>
      </c>
      <c r="BZ220" s="102">
        <v>2016</v>
      </c>
      <c r="CA220" s="98"/>
      <c r="CB220" s="98"/>
      <c r="CC220" s="103">
        <f t="shared" si="36"/>
        <v>128</v>
      </c>
      <c r="CD220" s="98"/>
      <c r="CE220" s="98"/>
      <c r="CF220" s="98"/>
      <c r="CG220" s="105">
        <v>1</v>
      </c>
      <c r="CH220" s="105" t="str">
        <f>IF(CK220=0,"",IF(V220="Persistent",5,IF(V220="Once",1,IF(V220="One-off",1,"manual overwrite"))))</f>
        <v/>
      </c>
      <c r="CI220" s="105"/>
      <c r="CJ220" s="98">
        <f t="shared" si="30"/>
        <v>0</v>
      </c>
      <c r="CK220" s="98">
        <f>IF(CA220="C",0,IF(P220="Het",0,IF(SUM(AG220,AO220)=0,0,1)))</f>
        <v>0</v>
      </c>
      <c r="CL220" s="106" t="e">
        <f>IF(G220="AUS",VLOOKUP(H220,$CU$5:$CW$23,2),IF(G220="NZ",VLOOKUP(H220,$CU$5:$CW$23,3),"error"))*AU220</f>
        <v>#N/A</v>
      </c>
      <c r="CM220" s="107" t="e">
        <f>IF(G220="AUS",VLOOKUP(H220,$CU$5:$CW$23,2),IF(G220="NZ",VLOOKUP(H220,$CU$5:$CW$23,3),"error"))*AX220</f>
        <v>#N/A</v>
      </c>
      <c r="CN220" s="106" t="e">
        <f>IF(G220="AUS",VLOOKUP(H220,$CU$5:$CW$23,2),IF(G220="NZ",VLOOKUP(H220,$CU$5:$CW$23,3),"error"))*BK220</f>
        <v>#N/A</v>
      </c>
    </row>
    <row r="221" spans="1:92" s="108" customFormat="1" ht="305.25">
      <c r="A221" s="83" t="str">
        <f t="shared" si="29"/>
        <v>Tobacco</v>
      </c>
      <c r="B221" s="84" t="s">
        <v>170</v>
      </c>
      <c r="C221" s="85"/>
      <c r="D221" s="86"/>
      <c r="E221" s="85" t="s">
        <v>172</v>
      </c>
      <c r="F221" s="85" t="str">
        <f t="shared" si="32"/>
        <v xml:space="preserve">Tobacco; ; Prevention ; </v>
      </c>
      <c r="G221" s="85" t="s">
        <v>205</v>
      </c>
      <c r="H221" s="85">
        <v>2011</v>
      </c>
      <c r="I221" s="85" t="str">
        <f>CONCATENATE(A221,", ",G221,": ",J221)</f>
        <v>Tobacco, NZ: Tax increased by 20% per year until 2025, tobacco retail outlets reduced by 95% and tobacco-free generation strategy implemented</v>
      </c>
      <c r="J221" s="121" t="s">
        <v>395</v>
      </c>
      <c r="K221" s="121">
        <v>20</v>
      </c>
      <c r="L221" s="121">
        <v>95</v>
      </c>
      <c r="M221" s="87" t="s">
        <v>411</v>
      </c>
      <c r="N221" s="87" t="s">
        <v>233</v>
      </c>
      <c r="O221" s="121">
        <v>0</v>
      </c>
      <c r="P221" s="85" t="s">
        <v>215</v>
      </c>
      <c r="Q221" s="85" t="s">
        <v>422</v>
      </c>
      <c r="R221" s="85" t="s">
        <v>422</v>
      </c>
      <c r="S221" s="85" t="s">
        <v>247</v>
      </c>
      <c r="T221" s="85" t="s">
        <v>250</v>
      </c>
      <c r="U221" s="85" t="s">
        <v>259</v>
      </c>
      <c r="V221" s="88" t="s">
        <v>397</v>
      </c>
      <c r="W221" s="88" t="s">
        <v>368</v>
      </c>
      <c r="X221" s="88" t="s">
        <v>199</v>
      </c>
      <c r="Y221" s="85" t="s">
        <v>208</v>
      </c>
      <c r="Z221" s="85" t="s">
        <v>289</v>
      </c>
      <c r="AA221" s="85" t="s">
        <v>179</v>
      </c>
      <c r="AB221" s="85" t="s">
        <v>180</v>
      </c>
      <c r="AC221" s="89">
        <v>0.03</v>
      </c>
      <c r="AD221" s="122"/>
      <c r="AE221" s="83"/>
      <c r="AF221" s="83"/>
      <c r="AG221" s="130">
        <v>86</v>
      </c>
      <c r="AH221" s="130"/>
      <c r="AI221" s="130"/>
      <c r="AJ221" s="91">
        <v>17500</v>
      </c>
      <c r="AK221" s="94">
        <f t="shared" si="33"/>
        <v>4.9142857142857137</v>
      </c>
      <c r="AL221" s="94"/>
      <c r="AM221" s="94"/>
      <c r="AN221" s="91"/>
      <c r="AO221" s="94"/>
      <c r="AP221" s="94"/>
      <c r="AQ221" s="94"/>
      <c r="AR221" s="120">
        <v>350000</v>
      </c>
      <c r="AS221" s="120"/>
      <c r="AT221" s="120"/>
      <c r="AU221" s="120">
        <f t="shared" si="37"/>
        <v>20000</v>
      </c>
      <c r="AV221" s="120"/>
      <c r="AW221" s="120"/>
      <c r="AX221" s="120"/>
      <c r="AY221" s="120"/>
      <c r="AZ221" s="120"/>
      <c r="BA221" s="120"/>
      <c r="BB221" s="120"/>
      <c r="BC221" s="120"/>
      <c r="BD221" s="120"/>
      <c r="BE221" s="120"/>
      <c r="BF221" s="120"/>
      <c r="BG221" s="96"/>
      <c r="BH221" s="96"/>
      <c r="BI221" s="96"/>
      <c r="BJ221" s="83" t="s">
        <v>396</v>
      </c>
      <c r="BK221" s="98" t="str">
        <f t="shared" si="35"/>
        <v/>
      </c>
      <c r="BL221" s="98" t="str">
        <f t="shared" si="35"/>
        <v/>
      </c>
      <c r="BM221" s="98" t="str">
        <f t="shared" si="35"/>
        <v/>
      </c>
      <c r="BN221" s="100"/>
      <c r="BO221" s="100"/>
      <c r="BP221" s="100"/>
      <c r="BQ221" s="100"/>
      <c r="BR221" s="100"/>
      <c r="BS221" s="100"/>
      <c r="BT221" s="100"/>
      <c r="BU221" s="100"/>
      <c r="BV221" s="100"/>
      <c r="BW221" s="83"/>
      <c r="BX221" s="85" t="s">
        <v>422</v>
      </c>
      <c r="BY221" s="85" t="s">
        <v>422</v>
      </c>
      <c r="BZ221" s="102">
        <v>2016</v>
      </c>
      <c r="CA221" s="98"/>
      <c r="CB221" s="98"/>
      <c r="CC221" s="103">
        <f t="shared" si="36"/>
        <v>128</v>
      </c>
      <c r="CD221" s="98"/>
      <c r="CE221" s="98"/>
      <c r="CF221" s="98"/>
      <c r="CG221" s="105">
        <v>1</v>
      </c>
      <c r="CH221" s="105" t="str">
        <f>IF(CK221=0,"",IF(V221="Persistent",5,IF(V221="Once",1,IF(V221="One-off",1,"manual overwrite"))))</f>
        <v/>
      </c>
      <c r="CI221" s="105"/>
      <c r="CJ221" s="98">
        <f t="shared" si="30"/>
        <v>0</v>
      </c>
      <c r="CK221" s="98">
        <f>IF(CA221="C",0,IF(P221="Het",0,IF(SUM(AG221,AO221)=0,0,1)))</f>
        <v>0</v>
      </c>
      <c r="CL221" s="106" t="e">
        <f>IF(G221="AUS",VLOOKUP(H221,$CU$5:$CW$23,2),IF(G221="NZ",VLOOKUP(H221,$CU$5:$CW$23,3),"error"))*AU221</f>
        <v>#N/A</v>
      </c>
      <c r="CM221" s="107" t="e">
        <f>IF(G221="AUS",VLOOKUP(H221,$CU$5:$CW$23,2),IF(G221="NZ",VLOOKUP(H221,$CU$5:$CW$23,3),"error"))*AX221</f>
        <v>#N/A</v>
      </c>
      <c r="CN221" s="106" t="e">
        <f>IF(G221="AUS",VLOOKUP(H221,$CU$5:$CW$23,2),IF(G221="NZ",VLOOKUP(H221,$CU$5:$CW$23,3),"error"))*BK221</f>
        <v>#N/A</v>
      </c>
    </row>
    <row r="222" spans="1:92" s="108" customFormat="1" ht="305.25">
      <c r="A222" s="83" t="str">
        <f t="shared" si="29"/>
        <v>Tobacco</v>
      </c>
      <c r="B222" s="84" t="s">
        <v>170</v>
      </c>
      <c r="C222" s="85"/>
      <c r="D222" s="86"/>
      <c r="E222" s="85" t="s">
        <v>172</v>
      </c>
      <c r="F222" s="85" t="str">
        <f t="shared" si="32"/>
        <v xml:space="preserve">Tobacco; ; Prevention ; </v>
      </c>
      <c r="G222" s="85" t="s">
        <v>205</v>
      </c>
      <c r="H222" s="85">
        <v>2011</v>
      </c>
      <c r="I222" s="85" t="str">
        <f>CONCATENATE(A222,", ",G222,": ",J222)</f>
        <v>Tobacco, NZ: Tax increased by 20% per year until 2025, tobacco retail outlets reduced by 95% and tobacco-free generation strategy implemented</v>
      </c>
      <c r="J222" s="121" t="s">
        <v>395</v>
      </c>
      <c r="K222" s="121"/>
      <c r="L222" s="121"/>
      <c r="M222" s="121"/>
      <c r="N222" s="121"/>
      <c r="O222" s="121"/>
      <c r="P222" s="85" t="s">
        <v>215</v>
      </c>
      <c r="Q222" s="85" t="s">
        <v>423</v>
      </c>
      <c r="R222" s="85" t="s">
        <v>423</v>
      </c>
      <c r="S222" s="98"/>
      <c r="T222" s="98"/>
      <c r="U222" s="98"/>
      <c r="V222" s="88" t="s">
        <v>397</v>
      </c>
      <c r="W222" s="88"/>
      <c r="X222" s="88"/>
      <c r="Y222" s="85" t="s">
        <v>208</v>
      </c>
      <c r="Z222" s="85" t="s">
        <v>289</v>
      </c>
      <c r="AA222" s="85" t="s">
        <v>179</v>
      </c>
      <c r="AB222" s="85" t="s">
        <v>180</v>
      </c>
      <c r="AC222" s="89">
        <v>0.03</v>
      </c>
      <c r="AD222" s="122"/>
      <c r="AE222" s="83"/>
      <c r="AF222" s="83"/>
      <c r="AG222" s="130">
        <v>36600</v>
      </c>
      <c r="AH222" s="130"/>
      <c r="AI222" s="130"/>
      <c r="AJ222" s="91">
        <v>343300</v>
      </c>
      <c r="AK222" s="94">
        <f t="shared" si="33"/>
        <v>106.61229245557821</v>
      </c>
      <c r="AL222" s="94"/>
      <c r="AM222" s="94"/>
      <c r="AN222" s="91"/>
      <c r="AO222" s="94"/>
      <c r="AP222" s="94"/>
      <c r="AQ222" s="94"/>
      <c r="AR222" s="120">
        <v>1507000000</v>
      </c>
      <c r="AS222" s="120"/>
      <c r="AT222" s="120"/>
      <c r="AU222" s="120">
        <f t="shared" si="37"/>
        <v>4389746.5773376049</v>
      </c>
      <c r="AV222" s="120"/>
      <c r="AW222" s="120"/>
      <c r="AX222" s="120"/>
      <c r="AY222" s="120"/>
      <c r="AZ222" s="120"/>
      <c r="BA222" s="120"/>
      <c r="BB222" s="120"/>
      <c r="BC222" s="120"/>
      <c r="BD222" s="120"/>
      <c r="BE222" s="120"/>
      <c r="BF222" s="120"/>
      <c r="BG222" s="96"/>
      <c r="BH222" s="96"/>
      <c r="BI222" s="96"/>
      <c r="BJ222" s="83" t="s">
        <v>396</v>
      </c>
      <c r="BK222" s="98" t="str">
        <f t="shared" si="35"/>
        <v/>
      </c>
      <c r="BL222" s="98" t="str">
        <f t="shared" si="35"/>
        <v/>
      </c>
      <c r="BM222" s="98" t="str">
        <f t="shared" si="35"/>
        <v/>
      </c>
      <c r="BN222" s="100"/>
      <c r="BO222" s="100"/>
      <c r="BP222" s="100"/>
      <c r="BQ222" s="100"/>
      <c r="BR222" s="100"/>
      <c r="BS222" s="100"/>
      <c r="BT222" s="100"/>
      <c r="BU222" s="100"/>
      <c r="BV222" s="100"/>
      <c r="BW222" s="83"/>
      <c r="BX222" s="85" t="s">
        <v>423</v>
      </c>
      <c r="BY222" s="85" t="s">
        <v>423</v>
      </c>
      <c r="BZ222" s="102">
        <v>2016</v>
      </c>
      <c r="CA222" s="98"/>
      <c r="CB222" s="98"/>
      <c r="CC222" s="103">
        <f t="shared" si="36"/>
        <v>128</v>
      </c>
      <c r="CD222" s="98"/>
      <c r="CE222" s="98"/>
      <c r="CF222" s="98"/>
      <c r="CG222" s="105">
        <v>1</v>
      </c>
      <c r="CH222" s="105" t="str">
        <f>IF(CK222=0,"",IF(V222="Persistent",5,IF(V222="Once",1,IF(V222="One-off",1,"manual overwrite"))))</f>
        <v/>
      </c>
      <c r="CI222" s="105"/>
      <c r="CJ222" s="98">
        <f t="shared" si="30"/>
        <v>0</v>
      </c>
      <c r="CK222" s="98">
        <f>IF(CA222="C",0,IF(P222="Het",0,IF(SUM(AG222,AO222)=0,0,1)))</f>
        <v>0</v>
      </c>
      <c r="CL222" s="106" t="e">
        <f>IF(G222="AUS",VLOOKUP(H222,$CU$5:$CW$23,2),IF(G222="NZ",VLOOKUP(H222,$CU$5:$CW$23,3),"error"))*AU222</f>
        <v>#N/A</v>
      </c>
      <c r="CM222" s="107" t="e">
        <f>IF(G222="AUS",VLOOKUP(H222,$CU$5:$CW$23,2),IF(G222="NZ",VLOOKUP(H222,$CU$5:$CW$23,3),"error"))*AX222</f>
        <v>#N/A</v>
      </c>
      <c r="CN222" s="106" t="e">
        <f>IF(G222="AUS",VLOOKUP(H222,$CU$5:$CW$23,2),IF(G222="NZ",VLOOKUP(H222,$CU$5:$CW$23,3),"error"))*BK222</f>
        <v>#N/A</v>
      </c>
    </row>
    <row r="223" spans="1:92" s="108" customFormat="1" ht="91.5">
      <c r="A223" s="83" t="str">
        <f t="shared" si="29"/>
        <v>Tobacco</v>
      </c>
      <c r="B223" s="86" t="s">
        <v>170</v>
      </c>
      <c r="C223" s="86"/>
      <c r="D223" s="86" t="s">
        <v>321</v>
      </c>
      <c r="E223" s="86" t="s">
        <v>172</v>
      </c>
      <c r="F223" s="85" t="str">
        <f t="shared" si="32"/>
        <v>Tobacco; ; Prevention ; Taxes and Subsidies</v>
      </c>
      <c r="G223" s="86" t="s">
        <v>173</v>
      </c>
      <c r="H223" s="86">
        <v>2003</v>
      </c>
      <c r="I223" s="86" t="str">
        <f>CONCATENATE(A223,", ",G223,": ",J223)</f>
        <v>Tobacco, AUS: Tobacco taxation of 10%</v>
      </c>
      <c r="J223" s="115" t="s">
        <v>424</v>
      </c>
      <c r="K223" s="115"/>
      <c r="L223" s="115"/>
      <c r="M223" s="115"/>
      <c r="N223" s="115"/>
      <c r="O223" s="115"/>
      <c r="P223" s="86" t="s">
        <v>175</v>
      </c>
      <c r="Q223" s="86" t="str">
        <f>IF($P223="Main",J223,BX223)</f>
        <v>Tobacco taxation of 10%</v>
      </c>
      <c r="R223" s="86" t="str">
        <f>IF($P223="Main",CONCATENATE(J223,": ",G223),BY223)</f>
        <v>Tobacco taxation of 10%: AUS</v>
      </c>
      <c r="S223" s="86"/>
      <c r="T223" s="86"/>
      <c r="U223" s="86"/>
      <c r="V223" s="88" t="s">
        <v>199</v>
      </c>
      <c r="W223" s="88"/>
      <c r="X223" s="88"/>
      <c r="Y223" s="86" t="s">
        <v>177</v>
      </c>
      <c r="Z223" s="86" t="s">
        <v>177</v>
      </c>
      <c r="AA223" s="86" t="s">
        <v>177</v>
      </c>
      <c r="AB223" s="86" t="s">
        <v>177</v>
      </c>
      <c r="AC223" s="116">
        <v>0.03</v>
      </c>
      <c r="AD223" s="98" t="s">
        <v>193</v>
      </c>
      <c r="AE223" s="98"/>
      <c r="AF223" s="98"/>
      <c r="AG223" s="131">
        <v>17000</v>
      </c>
      <c r="AH223" s="118"/>
      <c r="AI223" s="118"/>
      <c r="AJ223" s="128">
        <v>19881469</v>
      </c>
      <c r="AK223" s="92">
        <f t="shared" si="33"/>
        <v>0.85506760089005496</v>
      </c>
      <c r="AL223" s="98"/>
      <c r="AM223" s="98"/>
      <c r="AN223" s="98"/>
      <c r="AO223" s="98"/>
      <c r="AP223" s="98"/>
      <c r="AQ223" s="98"/>
      <c r="AR223" s="107">
        <f>(18-140)*1000000</f>
        <v>-122000000</v>
      </c>
      <c r="AS223" s="107"/>
      <c r="AT223" s="107"/>
      <c r="AU223" s="99">
        <f t="shared" ref="AU223:AU232" si="38">AR223/$AJ223*1000</f>
        <v>-6136.3674887403949</v>
      </c>
      <c r="AV223" s="107"/>
      <c r="AW223" s="107"/>
      <c r="AX223" s="107"/>
      <c r="AY223" s="107"/>
      <c r="AZ223" s="107"/>
      <c r="BA223" s="107">
        <f t="shared" ref="BA223:BA232" si="39">(18)*1000000</f>
        <v>18000000</v>
      </c>
      <c r="BB223" s="107"/>
      <c r="BC223" s="107"/>
      <c r="BD223" s="99">
        <f t="shared" ref="BD223:BD232" si="40">BA223/$AJ223*1000</f>
        <v>905.3656950600581</v>
      </c>
      <c r="BE223" s="107"/>
      <c r="BF223" s="107"/>
      <c r="BG223" s="107"/>
      <c r="BH223" s="107"/>
      <c r="BI223" s="107"/>
      <c r="BJ223" s="97" t="s">
        <v>182</v>
      </c>
      <c r="BK223" s="98" t="str">
        <f t="shared" si="35"/>
        <v>Cost-saving</v>
      </c>
      <c r="BL223" s="98" t="str">
        <f t="shared" si="35"/>
        <v>Cost-saving</v>
      </c>
      <c r="BM223" s="98" t="str">
        <f t="shared" si="35"/>
        <v>Cost-saving</v>
      </c>
      <c r="BN223" s="107" t="s">
        <v>183</v>
      </c>
      <c r="BO223" s="107" t="s">
        <v>183</v>
      </c>
      <c r="BP223" s="107" t="s">
        <v>183</v>
      </c>
      <c r="BQ223" s="107"/>
      <c r="BR223" s="107"/>
      <c r="BS223" s="107"/>
      <c r="BT223" s="107"/>
      <c r="BU223" s="107"/>
      <c r="BV223" s="107"/>
      <c r="BW223" s="113" t="s">
        <v>200</v>
      </c>
      <c r="BX223" s="86"/>
      <c r="BY223" s="98"/>
      <c r="BZ223" s="98">
        <v>2010</v>
      </c>
      <c r="CA223" s="119" t="s">
        <v>201</v>
      </c>
      <c r="CB223" s="119"/>
      <c r="CC223" s="103">
        <f t="shared" si="36"/>
        <v>23</v>
      </c>
      <c r="CD223" s="86" t="s">
        <v>202</v>
      </c>
      <c r="CE223" s="86"/>
      <c r="CF223" s="86"/>
      <c r="CG223" s="105">
        <v>1</v>
      </c>
      <c r="CH223" s="105">
        <f>IF(CK223=0,"",IF(V223="Persistent",5,IF(V223="Once",1,IF(V223="One-off",1,"manual overwrite"))))</f>
        <v>5</v>
      </c>
      <c r="CI223" s="105">
        <f>IF(AA223="Lifetime",2,IF(CJ223=1,2,"manual entry"))</f>
        <v>2</v>
      </c>
      <c r="CJ223" s="98">
        <f t="shared" si="30"/>
        <v>1</v>
      </c>
      <c r="CK223" s="98">
        <f>IF(CA223="C",0,IF(P223="Het",0,IF(SUM(AG223,AO223)=0,0,1)))</f>
        <v>1</v>
      </c>
      <c r="CL223" s="106" t="e">
        <f>IF(G223="AUS",VLOOKUP(H223,$CU$5:$CW$23,2),IF(G223="NZ",VLOOKUP(H223,$CU$5:$CW$23,3),"error"))*AU223</f>
        <v>#N/A</v>
      </c>
      <c r="CM223" s="107" t="e">
        <f>IF(G223="AUS",VLOOKUP(H223,$CU$5:$CW$23,2),IF(G223="NZ",VLOOKUP(H223,$CU$5:$CW$23,3),"error"))*AX223</f>
        <v>#N/A</v>
      </c>
      <c r="CN223" s="106" t="e">
        <f>IF(G223="AUS",VLOOKUP(H223,$CU$5:$CW$23,2),IF(G223="NZ",VLOOKUP(H223,$CU$5:$CW$23,3),"error"))*BK223</f>
        <v>#N/A</v>
      </c>
    </row>
    <row r="224" spans="1:92" s="108" customFormat="1" ht="144.75">
      <c r="A224" s="83" t="str">
        <f t="shared" si="29"/>
        <v>Tobacco</v>
      </c>
      <c r="B224" s="86" t="s">
        <v>170</v>
      </c>
      <c r="C224" s="86"/>
      <c r="D224" s="86" t="s">
        <v>321</v>
      </c>
      <c r="E224" s="86" t="s">
        <v>172</v>
      </c>
      <c r="F224" s="85" t="str">
        <f t="shared" si="32"/>
        <v>Tobacco; ; Prevention ; Taxes and Subsidies</v>
      </c>
      <c r="G224" s="86" t="s">
        <v>173</v>
      </c>
      <c r="H224" s="86">
        <v>2003</v>
      </c>
      <c r="I224" s="86" t="str">
        <f>CONCATENATE(A224,", ",G224,": ",J224)</f>
        <v>Tobacco, AUS: Tobacco taxation of 10% with indexation in line with inflation</v>
      </c>
      <c r="J224" s="115" t="s">
        <v>425</v>
      </c>
      <c r="K224" s="115"/>
      <c r="L224" s="115"/>
      <c r="M224" s="115"/>
      <c r="N224" s="115"/>
      <c r="O224" s="115"/>
      <c r="P224" s="86" t="s">
        <v>175</v>
      </c>
      <c r="Q224" s="86" t="str">
        <f>IF($P224="Main",J224,BX224)</f>
        <v>Tobacco taxation of 10% with indexation in line with inflation</v>
      </c>
      <c r="R224" s="86" t="str">
        <f>IF($P224="Main",CONCATENATE(J224,": ",G224),BY224)</f>
        <v>Tobacco taxation of 10% with indexation in line with inflation: AUS</v>
      </c>
      <c r="S224" s="86"/>
      <c r="T224" s="86"/>
      <c r="U224" s="86"/>
      <c r="V224" s="88" t="s">
        <v>199</v>
      </c>
      <c r="W224" s="88"/>
      <c r="X224" s="88"/>
      <c r="Y224" s="86" t="s">
        <v>177</v>
      </c>
      <c r="Z224" s="86" t="s">
        <v>177</v>
      </c>
      <c r="AA224" s="86" t="s">
        <v>177</v>
      </c>
      <c r="AB224" s="86" t="s">
        <v>177</v>
      </c>
      <c r="AC224" s="116">
        <v>0.03</v>
      </c>
      <c r="AD224" s="98" t="s">
        <v>193</v>
      </c>
      <c r="AE224" s="98"/>
      <c r="AF224" s="98"/>
      <c r="AG224" s="131">
        <v>48000</v>
      </c>
      <c r="AH224" s="118"/>
      <c r="AI224" s="118"/>
      <c r="AJ224" s="128">
        <v>19881469</v>
      </c>
      <c r="AK224" s="92">
        <f t="shared" si="33"/>
        <v>2.4143085201601551</v>
      </c>
      <c r="AL224" s="98"/>
      <c r="AM224" s="98"/>
      <c r="AN224" s="98"/>
      <c r="AO224" s="98"/>
      <c r="AP224" s="98"/>
      <c r="AQ224" s="98"/>
      <c r="AR224" s="107">
        <f>(18-130)*1000000</f>
        <v>-112000000</v>
      </c>
      <c r="AS224" s="107"/>
      <c r="AT224" s="107"/>
      <c r="AU224" s="99">
        <f t="shared" si="38"/>
        <v>-5633.3865470403625</v>
      </c>
      <c r="AV224" s="107"/>
      <c r="AW224" s="107"/>
      <c r="AX224" s="107"/>
      <c r="AY224" s="107"/>
      <c r="AZ224" s="107"/>
      <c r="BA224" s="107">
        <f t="shared" si="39"/>
        <v>18000000</v>
      </c>
      <c r="BB224" s="107"/>
      <c r="BC224" s="107"/>
      <c r="BD224" s="99">
        <f t="shared" si="40"/>
        <v>905.3656950600581</v>
      </c>
      <c r="BE224" s="107"/>
      <c r="BF224" s="107"/>
      <c r="BG224" s="107"/>
      <c r="BH224" s="107"/>
      <c r="BI224" s="107"/>
      <c r="BJ224" s="97" t="s">
        <v>182</v>
      </c>
      <c r="BK224" s="98" t="str">
        <f t="shared" si="35"/>
        <v>Cost-saving</v>
      </c>
      <c r="BL224" s="98" t="str">
        <f t="shared" si="35"/>
        <v>Cost-saving</v>
      </c>
      <c r="BM224" s="98" t="str">
        <f t="shared" si="35"/>
        <v>Cost-saving</v>
      </c>
      <c r="BN224" s="107" t="s">
        <v>183</v>
      </c>
      <c r="BO224" s="107" t="s">
        <v>183</v>
      </c>
      <c r="BP224" s="107" t="s">
        <v>183</v>
      </c>
      <c r="BQ224" s="107"/>
      <c r="BR224" s="107"/>
      <c r="BS224" s="107"/>
      <c r="BT224" s="107"/>
      <c r="BU224" s="107"/>
      <c r="BV224" s="107"/>
      <c r="BW224" s="123" t="s">
        <v>200</v>
      </c>
      <c r="BX224" s="86"/>
      <c r="BY224" s="98"/>
      <c r="BZ224" s="98">
        <v>2010</v>
      </c>
      <c r="CA224" s="119" t="s">
        <v>201</v>
      </c>
      <c r="CB224" s="119"/>
      <c r="CC224" s="103">
        <f t="shared" si="36"/>
        <v>62</v>
      </c>
      <c r="CD224" s="86" t="s">
        <v>202</v>
      </c>
      <c r="CE224" s="86"/>
      <c r="CF224" s="86"/>
      <c r="CG224" s="105">
        <v>1</v>
      </c>
      <c r="CH224" s="105">
        <f>IF(CK224=0,"",IF(V224="Persistent",5,IF(V224="Once",1,IF(V224="One-off",1,"manual overwrite"))))</f>
        <v>5</v>
      </c>
      <c r="CI224" s="105">
        <f>IF(AA224="Lifetime",2,IF(CJ224=1,2,"manual entry"))</f>
        <v>2</v>
      </c>
      <c r="CJ224" s="98">
        <f t="shared" si="30"/>
        <v>1</v>
      </c>
      <c r="CK224" s="98">
        <f>IF(CA224="C",0,IF(P224="Het",0,IF(SUM(AG224,AO224)=0,0,1)))</f>
        <v>1</v>
      </c>
      <c r="CL224" s="106" t="e">
        <f>IF(G224="AUS",VLOOKUP(H224,$CU$5:$CW$23,2),IF(G224="NZ",VLOOKUP(H224,$CU$5:$CW$23,3),"error"))*AU224</f>
        <v>#N/A</v>
      </c>
      <c r="CM224" s="107" t="e">
        <f>IF(G224="AUS",VLOOKUP(H224,$CU$5:$CW$23,2),IF(G224="NZ",VLOOKUP(H224,$CU$5:$CW$23,3),"error"))*AX224</f>
        <v>#N/A</v>
      </c>
      <c r="CN224" s="106" t="e">
        <f>IF(G224="AUS",VLOOKUP(H224,$CU$5:$CW$23,2),IF(G224="NZ",VLOOKUP(H224,$CU$5:$CW$23,3),"error"))*BK224</f>
        <v>#N/A</v>
      </c>
    </row>
    <row r="225" spans="1:92" s="108" customFormat="1" ht="91.5">
      <c r="A225" s="83" t="str">
        <f t="shared" si="29"/>
        <v>Tobacco</v>
      </c>
      <c r="B225" s="86" t="s">
        <v>170</v>
      </c>
      <c r="C225" s="86"/>
      <c r="D225" s="86" t="s">
        <v>321</v>
      </c>
      <c r="E225" s="86" t="s">
        <v>172</v>
      </c>
      <c r="F225" s="85" t="str">
        <f t="shared" si="32"/>
        <v>Tobacco; ; Prevention ; Taxes and Subsidies</v>
      </c>
      <c r="G225" s="86" t="s">
        <v>173</v>
      </c>
      <c r="H225" s="86">
        <v>2003</v>
      </c>
      <c r="I225" s="86" t="str">
        <f>CONCATENATE(A225,", ",G225,": ",J225)</f>
        <v>Tobacco, AUS: Tobacco taxation of 15%</v>
      </c>
      <c r="J225" s="115" t="s">
        <v>426</v>
      </c>
      <c r="K225" s="115"/>
      <c r="L225" s="115"/>
      <c r="M225" s="115"/>
      <c r="N225" s="115"/>
      <c r="O225" s="115"/>
      <c r="P225" s="86" t="s">
        <v>175</v>
      </c>
      <c r="Q225" s="86" t="str">
        <f>IF($P225="Main",J225,BX225)</f>
        <v>Tobacco taxation of 15%</v>
      </c>
      <c r="R225" s="86" t="str">
        <f>IF($P225="Main",CONCATENATE(J225,": ",G225),BY225)</f>
        <v>Tobacco taxation of 15%: AUS</v>
      </c>
      <c r="S225" s="86"/>
      <c r="T225" s="86"/>
      <c r="U225" s="86"/>
      <c r="V225" s="88" t="s">
        <v>199</v>
      </c>
      <c r="W225" s="88"/>
      <c r="X225" s="88"/>
      <c r="Y225" s="86" t="s">
        <v>177</v>
      </c>
      <c r="Z225" s="86" t="s">
        <v>177</v>
      </c>
      <c r="AA225" s="86" t="s">
        <v>177</v>
      </c>
      <c r="AB225" s="86" t="s">
        <v>177</v>
      </c>
      <c r="AC225" s="116">
        <v>0.03</v>
      </c>
      <c r="AD225" s="98" t="s">
        <v>193</v>
      </c>
      <c r="AE225" s="98"/>
      <c r="AF225" s="98"/>
      <c r="AG225" s="131">
        <v>48000</v>
      </c>
      <c r="AH225" s="118"/>
      <c r="AI225" s="118"/>
      <c r="AJ225" s="128">
        <v>19881469</v>
      </c>
      <c r="AK225" s="92">
        <f t="shared" si="33"/>
        <v>2.4143085201601551</v>
      </c>
      <c r="AL225" s="98"/>
      <c r="AM225" s="98"/>
      <c r="AN225" s="98"/>
      <c r="AO225" s="98"/>
      <c r="AP225" s="98"/>
      <c r="AQ225" s="98"/>
      <c r="AR225" s="107">
        <f>(18-320)*1000000</f>
        <v>-302000000</v>
      </c>
      <c r="AS225" s="107"/>
      <c r="AT225" s="107"/>
      <c r="AU225" s="99">
        <f t="shared" si="38"/>
        <v>-15190.024439340978</v>
      </c>
      <c r="AV225" s="107"/>
      <c r="AW225" s="107"/>
      <c r="AX225" s="107"/>
      <c r="AY225" s="107"/>
      <c r="AZ225" s="107"/>
      <c r="BA225" s="107">
        <f t="shared" si="39"/>
        <v>18000000</v>
      </c>
      <c r="BB225" s="107"/>
      <c r="BC225" s="107"/>
      <c r="BD225" s="99">
        <f t="shared" si="40"/>
        <v>905.3656950600581</v>
      </c>
      <c r="BE225" s="107"/>
      <c r="BF225" s="107"/>
      <c r="BG225" s="107"/>
      <c r="BH225" s="107"/>
      <c r="BI225" s="107"/>
      <c r="BJ225" s="97" t="s">
        <v>182</v>
      </c>
      <c r="BK225" s="98" t="str">
        <f t="shared" si="35"/>
        <v>Cost-saving</v>
      </c>
      <c r="BL225" s="98" t="str">
        <f t="shared" si="35"/>
        <v>Cost-saving</v>
      </c>
      <c r="BM225" s="98" t="str">
        <f t="shared" si="35"/>
        <v>Cost-saving</v>
      </c>
      <c r="BN225" s="107" t="s">
        <v>183</v>
      </c>
      <c r="BO225" s="107" t="s">
        <v>183</v>
      </c>
      <c r="BP225" s="107" t="s">
        <v>183</v>
      </c>
      <c r="BQ225" s="107"/>
      <c r="BR225" s="107"/>
      <c r="BS225" s="107"/>
      <c r="BT225" s="107"/>
      <c r="BU225" s="107"/>
      <c r="BV225" s="107"/>
      <c r="BW225" s="123" t="s">
        <v>200</v>
      </c>
      <c r="BX225" s="86"/>
      <c r="BY225" s="98"/>
      <c r="BZ225" s="98">
        <v>2010</v>
      </c>
      <c r="CA225" s="119" t="s">
        <v>201</v>
      </c>
      <c r="CB225" s="119"/>
      <c r="CC225" s="103">
        <f t="shared" si="36"/>
        <v>23</v>
      </c>
      <c r="CD225" s="86" t="s">
        <v>202</v>
      </c>
      <c r="CE225" s="86"/>
      <c r="CF225" s="86"/>
      <c r="CG225" s="105">
        <v>1</v>
      </c>
      <c r="CH225" s="105">
        <f>IF(CK225=0,"",IF(V225="Persistent",5,IF(V225="Once",1,IF(V225="One-off",1,"manual overwrite"))))</f>
        <v>5</v>
      </c>
      <c r="CI225" s="105">
        <f>IF(AA225="Lifetime",2,IF(CJ225=1,2,"manual entry"))</f>
        <v>2</v>
      </c>
      <c r="CJ225" s="98">
        <f t="shared" si="30"/>
        <v>1</v>
      </c>
      <c r="CK225" s="98">
        <f>IF(CA225="C",0,IF(P225="Het",0,IF(SUM(AG225,AO225)=0,0,1)))</f>
        <v>1</v>
      </c>
      <c r="CL225" s="106" t="e">
        <f>IF(G225="AUS",VLOOKUP(H225,$CU$5:$CW$23,2),IF(G225="NZ",VLOOKUP(H225,$CU$5:$CW$23,3),"error"))*AU225</f>
        <v>#N/A</v>
      </c>
      <c r="CM225" s="107" t="e">
        <f>IF(G225="AUS",VLOOKUP(H225,$CU$5:$CW$23,2),IF(G225="NZ",VLOOKUP(H225,$CU$5:$CW$23,3),"error"))*AX225</f>
        <v>#N/A</v>
      </c>
      <c r="CN225" s="106" t="e">
        <f>IF(G225="AUS",VLOOKUP(H225,$CU$5:$CW$23,2),IF(G225="NZ",VLOOKUP(H225,$CU$5:$CW$23,3),"error"))*BK225</f>
        <v>#N/A</v>
      </c>
    </row>
    <row r="226" spans="1:92" s="108" customFormat="1" ht="144.75">
      <c r="A226" s="83" t="str">
        <f t="shared" si="29"/>
        <v>Tobacco</v>
      </c>
      <c r="B226" s="86" t="s">
        <v>170</v>
      </c>
      <c r="C226" s="86"/>
      <c r="D226" s="86" t="s">
        <v>321</v>
      </c>
      <c r="E226" s="86" t="s">
        <v>172</v>
      </c>
      <c r="F226" s="85" t="str">
        <f t="shared" si="32"/>
        <v>Tobacco; ; Prevention ; Taxes and Subsidies</v>
      </c>
      <c r="G226" s="86" t="s">
        <v>173</v>
      </c>
      <c r="H226" s="86">
        <v>2003</v>
      </c>
      <c r="I226" s="86" t="str">
        <f>CONCATENATE(A226,", ",G226,": ",J226)</f>
        <v>Tobacco, AUS: Tobacco taxation of 15% with indexation in line with inflation</v>
      </c>
      <c r="J226" s="115" t="s">
        <v>427</v>
      </c>
      <c r="K226" s="115"/>
      <c r="L226" s="115"/>
      <c r="M226" s="115"/>
      <c r="N226" s="115"/>
      <c r="O226" s="115"/>
      <c r="P226" s="86" t="s">
        <v>175</v>
      </c>
      <c r="Q226" s="86" t="str">
        <f>IF($P226="Main",J226,BX226)</f>
        <v>Tobacco taxation of 15% with indexation in line with inflation</v>
      </c>
      <c r="R226" s="86" t="str">
        <f>IF($P226="Main",CONCATENATE(J226,": ",G226),BY226)</f>
        <v>Tobacco taxation of 15% with indexation in line with inflation: AUS</v>
      </c>
      <c r="S226" s="86"/>
      <c r="T226" s="86"/>
      <c r="U226" s="86"/>
      <c r="V226" s="88" t="s">
        <v>199</v>
      </c>
      <c r="W226" s="88"/>
      <c r="X226" s="88"/>
      <c r="Y226" s="86" t="s">
        <v>177</v>
      </c>
      <c r="Z226" s="86" t="s">
        <v>177</v>
      </c>
      <c r="AA226" s="86" t="s">
        <v>177</v>
      </c>
      <c r="AB226" s="86" t="s">
        <v>177</v>
      </c>
      <c r="AC226" s="116">
        <v>0.03</v>
      </c>
      <c r="AD226" s="98" t="s">
        <v>193</v>
      </c>
      <c r="AE226" s="98"/>
      <c r="AF226" s="98"/>
      <c r="AG226" s="131">
        <v>120000</v>
      </c>
      <c r="AH226" s="118"/>
      <c r="AI226" s="118"/>
      <c r="AJ226" s="128">
        <v>19881469</v>
      </c>
      <c r="AK226" s="92">
        <f t="shared" si="33"/>
        <v>6.0357713004003886</v>
      </c>
      <c r="AL226" s="98"/>
      <c r="AM226" s="98"/>
      <c r="AN226" s="98"/>
      <c r="AO226" s="98"/>
      <c r="AP226" s="98"/>
      <c r="AQ226" s="98"/>
      <c r="AR226" s="107">
        <f>(18-320)*1000000</f>
        <v>-302000000</v>
      </c>
      <c r="AS226" s="107"/>
      <c r="AT226" s="107"/>
      <c r="AU226" s="99">
        <f t="shared" si="38"/>
        <v>-15190.024439340978</v>
      </c>
      <c r="AV226" s="107"/>
      <c r="AW226" s="107"/>
      <c r="AX226" s="107"/>
      <c r="AY226" s="107"/>
      <c r="AZ226" s="107"/>
      <c r="BA226" s="107">
        <f t="shared" si="39"/>
        <v>18000000</v>
      </c>
      <c r="BB226" s="107"/>
      <c r="BC226" s="107"/>
      <c r="BD226" s="99">
        <f t="shared" si="40"/>
        <v>905.3656950600581</v>
      </c>
      <c r="BE226" s="107"/>
      <c r="BF226" s="107"/>
      <c r="BG226" s="107"/>
      <c r="BH226" s="107"/>
      <c r="BI226" s="107"/>
      <c r="BJ226" s="97" t="s">
        <v>182</v>
      </c>
      <c r="BK226" s="98" t="str">
        <f t="shared" si="35"/>
        <v>Cost-saving</v>
      </c>
      <c r="BL226" s="98" t="str">
        <f t="shared" si="35"/>
        <v>Cost-saving</v>
      </c>
      <c r="BM226" s="98" t="str">
        <f t="shared" si="35"/>
        <v>Cost-saving</v>
      </c>
      <c r="BN226" s="107" t="s">
        <v>183</v>
      </c>
      <c r="BO226" s="107" t="s">
        <v>183</v>
      </c>
      <c r="BP226" s="107" t="s">
        <v>183</v>
      </c>
      <c r="BQ226" s="107"/>
      <c r="BR226" s="107"/>
      <c r="BS226" s="107"/>
      <c r="BT226" s="107"/>
      <c r="BU226" s="107"/>
      <c r="BV226" s="107"/>
      <c r="BW226" s="123" t="s">
        <v>200</v>
      </c>
      <c r="BX226" s="86"/>
      <c r="BY226" s="98"/>
      <c r="BZ226" s="98">
        <v>2010</v>
      </c>
      <c r="CA226" s="119" t="s">
        <v>201</v>
      </c>
      <c r="CB226" s="119"/>
      <c r="CC226" s="103">
        <f t="shared" si="36"/>
        <v>62</v>
      </c>
      <c r="CD226" s="86" t="s">
        <v>202</v>
      </c>
      <c r="CE226" s="86"/>
      <c r="CF226" s="86"/>
      <c r="CG226" s="105">
        <v>1</v>
      </c>
      <c r="CH226" s="105">
        <f>IF(CK226=0,"",IF(V226="Persistent",5,IF(V226="Once",1,IF(V226="One-off",1,"manual overwrite"))))</f>
        <v>5</v>
      </c>
      <c r="CI226" s="105">
        <f>IF(AA226="Lifetime",2,IF(CJ226=1,2,"manual entry"))</f>
        <v>2</v>
      </c>
      <c r="CJ226" s="98">
        <f t="shared" si="30"/>
        <v>1</v>
      </c>
      <c r="CK226" s="98">
        <f>IF(CA226="C",0,IF(P226="Het",0,IF(SUM(AG226,AO226)=0,0,1)))</f>
        <v>1</v>
      </c>
      <c r="CL226" s="106" t="e">
        <f>IF(G226="AUS",VLOOKUP(H226,$CU$5:$CW$23,2),IF(G226="NZ",VLOOKUP(H226,$CU$5:$CW$23,3),"error"))*AU226</f>
        <v>#N/A</v>
      </c>
      <c r="CM226" s="107" t="e">
        <f>IF(G226="AUS",VLOOKUP(H226,$CU$5:$CW$23,2),IF(G226="NZ",VLOOKUP(H226,$CU$5:$CW$23,3),"error"))*AX226</f>
        <v>#N/A</v>
      </c>
      <c r="CN226" s="106" t="e">
        <f>IF(G226="AUS",VLOOKUP(H226,$CU$5:$CW$23,2),IF(G226="NZ",VLOOKUP(H226,$CU$5:$CW$23,3),"error"))*BK226</f>
        <v>#N/A</v>
      </c>
    </row>
    <row r="227" spans="1:92" s="108" customFormat="1" ht="91.5">
      <c r="A227" s="83" t="str">
        <f t="shared" si="29"/>
        <v>Tobacco</v>
      </c>
      <c r="B227" s="86" t="s">
        <v>170</v>
      </c>
      <c r="C227" s="86"/>
      <c r="D227" s="86" t="s">
        <v>321</v>
      </c>
      <c r="E227" s="86" t="s">
        <v>172</v>
      </c>
      <c r="F227" s="85" t="str">
        <f t="shared" si="32"/>
        <v>Tobacco; ; Prevention ; Taxes and Subsidies</v>
      </c>
      <c r="G227" s="86" t="s">
        <v>173</v>
      </c>
      <c r="H227" s="86">
        <v>2003</v>
      </c>
      <c r="I227" s="86" t="str">
        <f>CONCATENATE(A227,", ",G227,": ",J227)</f>
        <v>Tobacco, AUS: Tobacco taxation of 30%</v>
      </c>
      <c r="J227" s="115" t="s">
        <v>428</v>
      </c>
      <c r="K227" s="115"/>
      <c r="L227" s="115"/>
      <c r="M227" s="115"/>
      <c r="N227" s="115"/>
      <c r="O227" s="115"/>
      <c r="P227" s="86" t="s">
        <v>175</v>
      </c>
      <c r="Q227" s="86" t="str">
        <f>IF($P227="Main",J227,BX227)</f>
        <v>Tobacco taxation of 30%</v>
      </c>
      <c r="R227" s="86" t="str">
        <f>IF($P227="Main",CONCATENATE(J227,": ",G227),BY227)</f>
        <v>Tobacco taxation of 30%: AUS</v>
      </c>
      <c r="S227" s="86"/>
      <c r="T227" s="86"/>
      <c r="U227" s="86"/>
      <c r="V227" s="88" t="s">
        <v>199</v>
      </c>
      <c r="W227" s="88"/>
      <c r="X227" s="88"/>
      <c r="Y227" s="86" t="s">
        <v>177</v>
      </c>
      <c r="Z227" s="86" t="s">
        <v>177</v>
      </c>
      <c r="AA227" s="86" t="s">
        <v>177</v>
      </c>
      <c r="AB227" s="86" t="s">
        <v>177</v>
      </c>
      <c r="AC227" s="116">
        <v>0.03</v>
      </c>
      <c r="AD227" s="98" t="s">
        <v>193</v>
      </c>
      <c r="AE227" s="98"/>
      <c r="AF227" s="98"/>
      <c r="AG227" s="131">
        <v>110000</v>
      </c>
      <c r="AH227" s="118"/>
      <c r="AI227" s="118"/>
      <c r="AJ227" s="128">
        <v>19881469</v>
      </c>
      <c r="AK227" s="92">
        <f t="shared" si="33"/>
        <v>5.532790358700356</v>
      </c>
      <c r="AL227" s="98"/>
      <c r="AM227" s="98"/>
      <c r="AN227" s="98"/>
      <c r="AO227" s="98"/>
      <c r="AP227" s="98"/>
      <c r="AQ227" s="98"/>
      <c r="AR227" s="107">
        <f>(18-690)*1000000</f>
        <v>-672000000</v>
      </c>
      <c r="AS227" s="107"/>
      <c r="AT227" s="107"/>
      <c r="AU227" s="99">
        <f t="shared" si="38"/>
        <v>-33800.31928224217</v>
      </c>
      <c r="AV227" s="107"/>
      <c r="AW227" s="107"/>
      <c r="AX227" s="107"/>
      <c r="AY227" s="107"/>
      <c r="AZ227" s="107"/>
      <c r="BA227" s="107">
        <f t="shared" si="39"/>
        <v>18000000</v>
      </c>
      <c r="BB227" s="107"/>
      <c r="BC227" s="107"/>
      <c r="BD227" s="99">
        <f t="shared" si="40"/>
        <v>905.3656950600581</v>
      </c>
      <c r="BE227" s="107"/>
      <c r="BF227" s="107"/>
      <c r="BG227" s="107"/>
      <c r="BH227" s="107"/>
      <c r="BI227" s="107"/>
      <c r="BJ227" s="97" t="s">
        <v>182</v>
      </c>
      <c r="BK227" s="98" t="str">
        <f t="shared" si="35"/>
        <v>Cost-saving</v>
      </c>
      <c r="BL227" s="98" t="str">
        <f t="shared" si="35"/>
        <v>Cost-saving</v>
      </c>
      <c r="BM227" s="98" t="str">
        <f t="shared" si="35"/>
        <v>Cost-saving</v>
      </c>
      <c r="BN227" s="107" t="s">
        <v>183</v>
      </c>
      <c r="BO227" s="107" t="s">
        <v>183</v>
      </c>
      <c r="BP227" s="107" t="s">
        <v>183</v>
      </c>
      <c r="BQ227" s="107"/>
      <c r="BR227" s="107"/>
      <c r="BS227" s="107"/>
      <c r="BT227" s="107"/>
      <c r="BU227" s="107"/>
      <c r="BV227" s="107"/>
      <c r="BW227" s="123" t="s">
        <v>200</v>
      </c>
      <c r="BX227" s="86"/>
      <c r="BY227" s="98"/>
      <c r="BZ227" s="98">
        <v>2010</v>
      </c>
      <c r="CA227" s="119" t="s">
        <v>201</v>
      </c>
      <c r="CB227" s="119"/>
      <c r="CC227" s="103">
        <f t="shared" si="36"/>
        <v>23</v>
      </c>
      <c r="CD227" s="86" t="s">
        <v>202</v>
      </c>
      <c r="CE227" s="86"/>
      <c r="CF227" s="86"/>
      <c r="CG227" s="105">
        <v>1</v>
      </c>
      <c r="CH227" s="105">
        <f>IF(CK227=0,"",IF(V227="Persistent",5,IF(V227="Once",1,IF(V227="One-off",1,"manual overwrite"))))</f>
        <v>5</v>
      </c>
      <c r="CI227" s="105">
        <f>IF(AA227="Lifetime",2,IF(CJ227=1,2,"manual entry"))</f>
        <v>2</v>
      </c>
      <c r="CJ227" s="98">
        <f t="shared" si="30"/>
        <v>1</v>
      </c>
      <c r="CK227" s="98">
        <f>IF(CA227="C",0,IF(P227="Het",0,IF(SUM(AG227,AO227)=0,0,1)))</f>
        <v>1</v>
      </c>
      <c r="CL227" s="106" t="e">
        <f>IF(G227="AUS",VLOOKUP(H227,$CU$5:$CW$23,2),IF(G227="NZ",VLOOKUP(H227,$CU$5:$CW$23,3),"error"))*AU227</f>
        <v>#N/A</v>
      </c>
      <c r="CM227" s="107" t="e">
        <f>IF(G227="AUS",VLOOKUP(H227,$CU$5:$CW$23,2),IF(G227="NZ",VLOOKUP(H227,$CU$5:$CW$23,3),"error"))*AX227</f>
        <v>#N/A</v>
      </c>
      <c r="CN227" s="106" t="e">
        <f>IF(G227="AUS",VLOOKUP(H227,$CU$5:$CW$23,2),IF(G227="NZ",VLOOKUP(H227,$CU$5:$CW$23,3),"error"))*BK227</f>
        <v>#N/A</v>
      </c>
    </row>
    <row r="228" spans="1:92" s="108" customFormat="1" ht="144.75">
      <c r="A228" s="83" t="str">
        <f t="shared" si="29"/>
        <v>Tobacco</v>
      </c>
      <c r="B228" s="86" t="s">
        <v>170</v>
      </c>
      <c r="C228" s="86"/>
      <c r="D228" s="86" t="s">
        <v>321</v>
      </c>
      <c r="E228" s="86" t="s">
        <v>172</v>
      </c>
      <c r="F228" s="85" t="str">
        <f t="shared" si="32"/>
        <v>Tobacco; ; Prevention ; Taxes and Subsidies</v>
      </c>
      <c r="G228" s="86" t="s">
        <v>173</v>
      </c>
      <c r="H228" s="86">
        <v>2003</v>
      </c>
      <c r="I228" s="86" t="str">
        <f>CONCATENATE(A228,", ",G228,": ",J228)</f>
        <v>Tobacco, AUS: Tobacco taxation of 30% with indexation in line with inflation</v>
      </c>
      <c r="J228" s="115" t="s">
        <v>429</v>
      </c>
      <c r="K228" s="115"/>
      <c r="L228" s="115"/>
      <c r="M228" s="115"/>
      <c r="N228" s="115"/>
      <c r="O228" s="115"/>
      <c r="P228" s="86" t="s">
        <v>175</v>
      </c>
      <c r="Q228" s="86" t="str">
        <f>IF($P228="Main",J228,BX228)</f>
        <v>Tobacco taxation of 30% with indexation in line with inflation</v>
      </c>
      <c r="R228" s="86" t="str">
        <f>IF($P228="Main",CONCATENATE(J228,": ",G228),BY228)</f>
        <v>Tobacco taxation of 30% with indexation in line with inflation: AUS</v>
      </c>
      <c r="S228" s="86"/>
      <c r="T228" s="86"/>
      <c r="U228" s="86"/>
      <c r="V228" s="88" t="s">
        <v>199</v>
      </c>
      <c r="W228" s="88"/>
      <c r="X228" s="88"/>
      <c r="Y228" s="86" t="s">
        <v>177</v>
      </c>
      <c r="Z228" s="86" t="s">
        <v>177</v>
      </c>
      <c r="AA228" s="86" t="s">
        <v>177</v>
      </c>
      <c r="AB228" s="86" t="s">
        <v>177</v>
      </c>
      <c r="AC228" s="116">
        <v>0.03</v>
      </c>
      <c r="AD228" s="98" t="s">
        <v>193</v>
      </c>
      <c r="AE228" s="98"/>
      <c r="AF228" s="98"/>
      <c r="AG228" s="131">
        <v>270000</v>
      </c>
      <c r="AH228" s="118"/>
      <c r="AI228" s="118"/>
      <c r="AJ228" s="128">
        <v>19881469</v>
      </c>
      <c r="AK228" s="92">
        <f t="shared" si="33"/>
        <v>13.580485425900873</v>
      </c>
      <c r="AL228" s="98"/>
      <c r="AM228" s="98"/>
      <c r="AN228" s="98"/>
      <c r="AO228" s="98"/>
      <c r="AP228" s="98"/>
      <c r="AQ228" s="98"/>
      <c r="AR228" s="107">
        <f>(18-690)*1000000</f>
        <v>-672000000</v>
      </c>
      <c r="AS228" s="107"/>
      <c r="AT228" s="107"/>
      <c r="AU228" s="99">
        <f t="shared" si="38"/>
        <v>-33800.31928224217</v>
      </c>
      <c r="AV228" s="107"/>
      <c r="AW228" s="107"/>
      <c r="AX228" s="107"/>
      <c r="AY228" s="107"/>
      <c r="AZ228" s="107"/>
      <c r="BA228" s="107">
        <f t="shared" si="39"/>
        <v>18000000</v>
      </c>
      <c r="BB228" s="107"/>
      <c r="BC228" s="107"/>
      <c r="BD228" s="99">
        <f t="shared" si="40"/>
        <v>905.3656950600581</v>
      </c>
      <c r="BE228" s="107"/>
      <c r="BF228" s="107"/>
      <c r="BG228" s="107"/>
      <c r="BH228" s="107"/>
      <c r="BI228" s="107"/>
      <c r="BJ228" s="97" t="s">
        <v>182</v>
      </c>
      <c r="BK228" s="98" t="str">
        <f t="shared" si="35"/>
        <v>Cost-saving</v>
      </c>
      <c r="BL228" s="98" t="str">
        <f t="shared" si="35"/>
        <v>Cost-saving</v>
      </c>
      <c r="BM228" s="98" t="str">
        <f t="shared" si="35"/>
        <v>Cost-saving</v>
      </c>
      <c r="BN228" s="107" t="s">
        <v>183</v>
      </c>
      <c r="BO228" s="107" t="s">
        <v>183</v>
      </c>
      <c r="BP228" s="107" t="s">
        <v>183</v>
      </c>
      <c r="BQ228" s="107"/>
      <c r="BR228" s="107"/>
      <c r="BS228" s="107"/>
      <c r="BT228" s="107"/>
      <c r="BU228" s="107"/>
      <c r="BV228" s="107"/>
      <c r="BW228" s="123" t="s">
        <v>200</v>
      </c>
      <c r="BX228" s="86"/>
      <c r="BY228" s="98"/>
      <c r="BZ228" s="98">
        <v>2010</v>
      </c>
      <c r="CA228" s="119" t="s">
        <v>201</v>
      </c>
      <c r="CB228" s="119"/>
      <c r="CC228" s="103">
        <f t="shared" si="36"/>
        <v>62</v>
      </c>
      <c r="CD228" s="86" t="s">
        <v>202</v>
      </c>
      <c r="CE228" s="86"/>
      <c r="CF228" s="86"/>
      <c r="CG228" s="105">
        <v>1</v>
      </c>
      <c r="CH228" s="105">
        <f>IF(CK228=0,"",IF(V228="Persistent",5,IF(V228="Once",1,IF(V228="One-off",1,"manual overwrite"))))</f>
        <v>5</v>
      </c>
      <c r="CI228" s="105">
        <f>IF(AA228="Lifetime",2,IF(CJ228=1,2,"manual entry"))</f>
        <v>2</v>
      </c>
      <c r="CJ228" s="98">
        <f t="shared" si="30"/>
        <v>1</v>
      </c>
      <c r="CK228" s="98">
        <f>IF(CA228="C",0,IF(P228="Het",0,IF(SUM(AG228,AO228)=0,0,1)))</f>
        <v>1</v>
      </c>
      <c r="CL228" s="106" t="e">
        <f>IF(G228="AUS",VLOOKUP(H228,$CU$5:$CW$23,2),IF(G228="NZ",VLOOKUP(H228,$CU$5:$CW$23,3),"error"))*AU228</f>
        <v>#N/A</v>
      </c>
      <c r="CM228" s="107" t="e">
        <f>IF(G228="AUS",VLOOKUP(H228,$CU$5:$CW$23,2),IF(G228="NZ",VLOOKUP(H228,$CU$5:$CW$23,3),"error"))*AX228</f>
        <v>#N/A</v>
      </c>
      <c r="CN228" s="106" t="e">
        <f>IF(G228="AUS",VLOOKUP(H228,$CU$5:$CW$23,2),IF(G228="NZ",VLOOKUP(H228,$CU$5:$CW$23,3),"error"))*BK228</f>
        <v>#N/A</v>
      </c>
    </row>
    <row r="229" spans="1:92" s="108" customFormat="1" ht="91.5">
      <c r="A229" s="83" t="str">
        <f t="shared" si="29"/>
        <v>Tobacco</v>
      </c>
      <c r="B229" s="86" t="s">
        <v>170</v>
      </c>
      <c r="C229" s="86"/>
      <c r="D229" s="86" t="s">
        <v>321</v>
      </c>
      <c r="E229" s="86" t="s">
        <v>172</v>
      </c>
      <c r="F229" s="85" t="str">
        <f t="shared" si="32"/>
        <v>Tobacco; ; Prevention ; Taxes and Subsidies</v>
      </c>
      <c r="G229" s="86" t="s">
        <v>173</v>
      </c>
      <c r="H229" s="86">
        <v>2003</v>
      </c>
      <c r="I229" s="86" t="str">
        <f>CONCATENATE(A229,", ",G229,": ",J229)</f>
        <v>Tobacco, AUS: Tobacco taxation of 50%</v>
      </c>
      <c r="J229" s="115" t="s">
        <v>430</v>
      </c>
      <c r="K229" s="115"/>
      <c r="L229" s="115"/>
      <c r="M229" s="115"/>
      <c r="N229" s="115"/>
      <c r="O229" s="115"/>
      <c r="P229" s="86" t="s">
        <v>175</v>
      </c>
      <c r="Q229" s="86" t="str">
        <f>IF($P229="Main",J229,BX229)</f>
        <v>Tobacco taxation of 50%</v>
      </c>
      <c r="R229" s="86" t="str">
        <f>IF($P229="Main",CONCATENATE(J229,": ",G229),BY229)</f>
        <v>Tobacco taxation of 50%: AUS</v>
      </c>
      <c r="S229" s="86"/>
      <c r="T229" s="86"/>
      <c r="U229" s="86"/>
      <c r="V229" s="88" t="s">
        <v>199</v>
      </c>
      <c r="W229" s="88"/>
      <c r="X229" s="88"/>
      <c r="Y229" s="86" t="s">
        <v>177</v>
      </c>
      <c r="Z229" s="86" t="s">
        <v>177</v>
      </c>
      <c r="AA229" s="86" t="s">
        <v>177</v>
      </c>
      <c r="AB229" s="86" t="s">
        <v>177</v>
      </c>
      <c r="AC229" s="116">
        <v>0.03</v>
      </c>
      <c r="AD229" s="98" t="s">
        <v>193</v>
      </c>
      <c r="AE229" s="98"/>
      <c r="AF229" s="98"/>
      <c r="AG229" s="131">
        <v>140000</v>
      </c>
      <c r="AH229" s="118"/>
      <c r="AI229" s="118"/>
      <c r="AJ229" s="128">
        <v>19881469</v>
      </c>
      <c r="AK229" s="92">
        <f t="shared" si="33"/>
        <v>7.0417331838004529</v>
      </c>
      <c r="AL229" s="98"/>
      <c r="AM229" s="98"/>
      <c r="AN229" s="98"/>
      <c r="AO229" s="98"/>
      <c r="AP229" s="98"/>
      <c r="AQ229" s="98"/>
      <c r="AR229" s="107">
        <f>(18-860)*1000000</f>
        <v>-842000000</v>
      </c>
      <c r="AS229" s="107"/>
      <c r="AT229" s="107"/>
      <c r="AU229" s="99">
        <f t="shared" si="38"/>
        <v>-42350.995291142724</v>
      </c>
      <c r="AV229" s="107"/>
      <c r="AW229" s="107"/>
      <c r="AX229" s="107"/>
      <c r="AY229" s="107"/>
      <c r="AZ229" s="107"/>
      <c r="BA229" s="107">
        <f t="shared" si="39"/>
        <v>18000000</v>
      </c>
      <c r="BB229" s="107"/>
      <c r="BC229" s="107"/>
      <c r="BD229" s="99">
        <f t="shared" si="40"/>
        <v>905.3656950600581</v>
      </c>
      <c r="BE229" s="107"/>
      <c r="BF229" s="107"/>
      <c r="BG229" s="107"/>
      <c r="BH229" s="107"/>
      <c r="BI229" s="107"/>
      <c r="BJ229" s="97" t="s">
        <v>182</v>
      </c>
      <c r="BK229" s="98" t="str">
        <f t="shared" si="35"/>
        <v>Cost-saving</v>
      </c>
      <c r="BL229" s="98" t="str">
        <f t="shared" si="35"/>
        <v>Cost-saving</v>
      </c>
      <c r="BM229" s="98" t="str">
        <f t="shared" si="35"/>
        <v>Cost-saving</v>
      </c>
      <c r="BN229" s="107" t="s">
        <v>183</v>
      </c>
      <c r="BO229" s="107" t="s">
        <v>183</v>
      </c>
      <c r="BP229" s="107" t="s">
        <v>183</v>
      </c>
      <c r="BQ229" s="107"/>
      <c r="BR229" s="107"/>
      <c r="BS229" s="107"/>
      <c r="BT229" s="107"/>
      <c r="BU229" s="107"/>
      <c r="BV229" s="107"/>
      <c r="BW229" s="123" t="s">
        <v>200</v>
      </c>
      <c r="BX229" s="86"/>
      <c r="BY229" s="98"/>
      <c r="BZ229" s="98">
        <v>2010</v>
      </c>
      <c r="CA229" s="119" t="s">
        <v>201</v>
      </c>
      <c r="CB229" s="119"/>
      <c r="CC229" s="103">
        <f t="shared" si="36"/>
        <v>23</v>
      </c>
      <c r="CD229" s="86" t="s">
        <v>202</v>
      </c>
      <c r="CE229" s="86"/>
      <c r="CF229" s="86"/>
      <c r="CG229" s="105">
        <v>1</v>
      </c>
      <c r="CH229" s="105">
        <f>IF(CK229=0,"",IF(V229="Persistent",5,IF(V229="Once",1,IF(V229="One-off",1,"manual overwrite"))))</f>
        <v>5</v>
      </c>
      <c r="CI229" s="105">
        <f>IF(AA229="Lifetime",2,IF(CJ229=1,2,"manual entry"))</f>
        <v>2</v>
      </c>
      <c r="CJ229" s="98">
        <f t="shared" si="30"/>
        <v>1</v>
      </c>
      <c r="CK229" s="98">
        <f>IF(CA229="C",0,IF(P229="Het",0,IF(SUM(AG229,AO229)=0,0,1)))</f>
        <v>1</v>
      </c>
      <c r="CL229" s="106" t="e">
        <f>IF(G229="AUS",VLOOKUP(H229,$CU$5:$CW$23,2),IF(G229="NZ",VLOOKUP(H229,$CU$5:$CW$23,3),"error"))*AU229</f>
        <v>#N/A</v>
      </c>
      <c r="CM229" s="107" t="e">
        <f>IF(G229="AUS",VLOOKUP(H229,$CU$5:$CW$23,2),IF(G229="NZ",VLOOKUP(H229,$CU$5:$CW$23,3),"error"))*AX229</f>
        <v>#N/A</v>
      </c>
      <c r="CN229" s="106" t="e">
        <f>IF(G229="AUS",VLOOKUP(H229,$CU$5:$CW$23,2),IF(G229="NZ",VLOOKUP(H229,$CU$5:$CW$23,3),"error"))*BK229</f>
        <v>#N/A</v>
      </c>
    </row>
    <row r="230" spans="1:92" s="108" customFormat="1" ht="144.75">
      <c r="A230" s="83" t="str">
        <f t="shared" si="29"/>
        <v>Tobacco</v>
      </c>
      <c r="B230" s="86" t="s">
        <v>170</v>
      </c>
      <c r="C230" s="86"/>
      <c r="D230" s="86" t="s">
        <v>321</v>
      </c>
      <c r="E230" s="86" t="s">
        <v>172</v>
      </c>
      <c r="F230" s="85" t="str">
        <f t="shared" si="32"/>
        <v>Tobacco; ; Prevention ; Taxes and Subsidies</v>
      </c>
      <c r="G230" s="86" t="s">
        <v>173</v>
      </c>
      <c r="H230" s="86">
        <v>2003</v>
      </c>
      <c r="I230" s="86" t="str">
        <f>CONCATENATE(A230,", ",G230,": ",J230)</f>
        <v>Tobacco, AUS: Tobacco taxation of 50% with indexation in line with inflation</v>
      </c>
      <c r="J230" s="115" t="s">
        <v>431</v>
      </c>
      <c r="K230" s="115"/>
      <c r="L230" s="115"/>
      <c r="M230" s="115"/>
      <c r="N230" s="115"/>
      <c r="O230" s="115"/>
      <c r="P230" s="86" t="s">
        <v>175</v>
      </c>
      <c r="Q230" s="86" t="str">
        <f>IF($P230="Main",J230,BX230)</f>
        <v>Tobacco taxation of 50% with indexation in line with inflation</v>
      </c>
      <c r="R230" s="86" t="str">
        <f>IF($P230="Main",CONCATENATE(J230,": ",G230),BY230)</f>
        <v>Tobacco taxation of 50% with indexation in line with inflation: AUS</v>
      </c>
      <c r="S230" s="86"/>
      <c r="T230" s="86"/>
      <c r="U230" s="86"/>
      <c r="V230" s="88" t="s">
        <v>199</v>
      </c>
      <c r="W230" s="88"/>
      <c r="X230" s="88"/>
      <c r="Y230" s="86" t="s">
        <v>177</v>
      </c>
      <c r="Z230" s="86" t="s">
        <v>177</v>
      </c>
      <c r="AA230" s="86" t="s">
        <v>177</v>
      </c>
      <c r="AB230" s="86" t="s">
        <v>177</v>
      </c>
      <c r="AC230" s="116">
        <v>0.03</v>
      </c>
      <c r="AD230" s="98" t="s">
        <v>193</v>
      </c>
      <c r="AE230" s="98"/>
      <c r="AF230" s="98"/>
      <c r="AG230" s="131">
        <v>340000</v>
      </c>
      <c r="AH230" s="118"/>
      <c r="AI230" s="118"/>
      <c r="AJ230" s="128">
        <v>19881469</v>
      </c>
      <c r="AK230" s="92">
        <f t="shared" si="33"/>
        <v>17.101352017801098</v>
      </c>
      <c r="AL230" s="98"/>
      <c r="AM230" s="98"/>
      <c r="AN230" s="98"/>
      <c r="AO230" s="98"/>
      <c r="AP230" s="98"/>
      <c r="AQ230" s="98"/>
      <c r="AR230" s="107">
        <f>(18-860)*1000000</f>
        <v>-842000000</v>
      </c>
      <c r="AS230" s="107"/>
      <c r="AT230" s="107"/>
      <c r="AU230" s="99">
        <f t="shared" si="38"/>
        <v>-42350.995291142724</v>
      </c>
      <c r="AV230" s="107"/>
      <c r="AW230" s="107"/>
      <c r="AX230" s="107"/>
      <c r="AY230" s="107"/>
      <c r="AZ230" s="107"/>
      <c r="BA230" s="107">
        <f t="shared" si="39"/>
        <v>18000000</v>
      </c>
      <c r="BB230" s="107"/>
      <c r="BC230" s="107"/>
      <c r="BD230" s="99">
        <f t="shared" si="40"/>
        <v>905.3656950600581</v>
      </c>
      <c r="BE230" s="107"/>
      <c r="BF230" s="107"/>
      <c r="BG230" s="107"/>
      <c r="BH230" s="107"/>
      <c r="BI230" s="107"/>
      <c r="BJ230" s="97" t="s">
        <v>182</v>
      </c>
      <c r="BK230" s="98" t="str">
        <f t="shared" si="35"/>
        <v>Cost-saving</v>
      </c>
      <c r="BL230" s="98" t="str">
        <f t="shared" si="35"/>
        <v>Cost-saving</v>
      </c>
      <c r="BM230" s="98" t="str">
        <f t="shared" si="35"/>
        <v>Cost-saving</v>
      </c>
      <c r="BN230" s="107" t="s">
        <v>183</v>
      </c>
      <c r="BO230" s="107" t="s">
        <v>183</v>
      </c>
      <c r="BP230" s="107" t="s">
        <v>183</v>
      </c>
      <c r="BQ230" s="107"/>
      <c r="BR230" s="107"/>
      <c r="BS230" s="107"/>
      <c r="BT230" s="107"/>
      <c r="BU230" s="107"/>
      <c r="BV230" s="107"/>
      <c r="BW230" s="123" t="s">
        <v>200</v>
      </c>
      <c r="BX230" s="86"/>
      <c r="BY230" s="98"/>
      <c r="BZ230" s="98">
        <v>2010</v>
      </c>
      <c r="CA230" s="119" t="s">
        <v>201</v>
      </c>
      <c r="CB230" s="119"/>
      <c r="CC230" s="103">
        <f t="shared" si="36"/>
        <v>62</v>
      </c>
      <c r="CD230" s="86" t="s">
        <v>202</v>
      </c>
      <c r="CE230" s="86"/>
      <c r="CF230" s="86"/>
      <c r="CG230" s="105">
        <v>1</v>
      </c>
      <c r="CH230" s="105">
        <f>IF(CK230=0,"",IF(V230="Persistent",5,IF(V230="Once",1,IF(V230="One-off",1,"manual overwrite"))))</f>
        <v>5</v>
      </c>
      <c r="CI230" s="105">
        <f>IF(AA230="Lifetime",2,IF(CJ230=1,2,"manual entry"))</f>
        <v>2</v>
      </c>
      <c r="CJ230" s="98">
        <f t="shared" si="30"/>
        <v>1</v>
      </c>
      <c r="CK230" s="98">
        <f>IF(CA230="C",0,IF(P230="Het",0,IF(SUM(AG230,AO230)=0,0,1)))</f>
        <v>1</v>
      </c>
      <c r="CL230" s="106" t="e">
        <f>IF(G230="AUS",VLOOKUP(H230,$CU$5:$CW$23,2),IF(G230="NZ",VLOOKUP(H230,$CU$5:$CW$23,3),"error"))*AU230</f>
        <v>#N/A</v>
      </c>
      <c r="CM230" s="107" t="e">
        <f>IF(G230="AUS",VLOOKUP(H230,$CU$5:$CW$23,2),IF(G230="NZ",VLOOKUP(H230,$CU$5:$CW$23,3),"error"))*AX230</f>
        <v>#N/A</v>
      </c>
      <c r="CN230" s="106" t="e">
        <f>IF(G230="AUS",VLOOKUP(H230,$CU$5:$CW$23,2),IF(G230="NZ",VLOOKUP(H230,$CU$5:$CW$23,3),"error"))*BK230</f>
        <v>#N/A</v>
      </c>
    </row>
    <row r="231" spans="1:92" s="108" customFormat="1" ht="91.5">
      <c r="A231" s="83" t="str">
        <f t="shared" si="29"/>
        <v>Tobacco</v>
      </c>
      <c r="B231" s="86" t="s">
        <v>170</v>
      </c>
      <c r="C231" s="86"/>
      <c r="D231" s="86" t="s">
        <v>321</v>
      </c>
      <c r="E231" s="86" t="s">
        <v>172</v>
      </c>
      <c r="F231" s="85" t="str">
        <f t="shared" si="32"/>
        <v>Tobacco; ; Prevention ; Taxes and Subsidies</v>
      </c>
      <c r="G231" s="86" t="s">
        <v>173</v>
      </c>
      <c r="H231" s="86">
        <v>2003</v>
      </c>
      <c r="I231" s="86" t="str">
        <f>CONCATENATE(A231,", ",G231,": ",J231)</f>
        <v>Tobacco, AUS: Tobacco taxation of 60%</v>
      </c>
      <c r="J231" s="115" t="s">
        <v>432</v>
      </c>
      <c r="K231" s="115"/>
      <c r="L231" s="115"/>
      <c r="M231" s="115"/>
      <c r="N231" s="115"/>
      <c r="O231" s="115"/>
      <c r="P231" s="86" t="s">
        <v>175</v>
      </c>
      <c r="Q231" s="86" t="str">
        <f>IF($P231="Main",J231,BX231)</f>
        <v>Tobacco taxation of 60%</v>
      </c>
      <c r="R231" s="86" t="str">
        <f>IF($P231="Main",CONCATENATE(J231,": ",G231),BY231)</f>
        <v>Tobacco taxation of 60%: AUS</v>
      </c>
      <c r="S231" s="86"/>
      <c r="T231" s="86"/>
      <c r="U231" s="86"/>
      <c r="V231" s="88" t="s">
        <v>199</v>
      </c>
      <c r="W231" s="88"/>
      <c r="X231" s="88"/>
      <c r="Y231" s="86" t="s">
        <v>177</v>
      </c>
      <c r="Z231" s="86" t="s">
        <v>177</v>
      </c>
      <c r="AA231" s="86" t="s">
        <v>177</v>
      </c>
      <c r="AB231" s="86" t="s">
        <v>177</v>
      </c>
      <c r="AC231" s="116">
        <v>0.03</v>
      </c>
      <c r="AD231" s="98" t="s">
        <v>193</v>
      </c>
      <c r="AE231" s="98"/>
      <c r="AF231" s="98"/>
      <c r="AG231" s="131">
        <v>270000</v>
      </c>
      <c r="AH231" s="118"/>
      <c r="AI231" s="118"/>
      <c r="AJ231" s="128">
        <v>19881469</v>
      </c>
      <c r="AK231" s="92">
        <f t="shared" si="33"/>
        <v>13.580485425900873</v>
      </c>
      <c r="AL231" s="98"/>
      <c r="AM231" s="98"/>
      <c r="AN231" s="98"/>
      <c r="AO231" s="98"/>
      <c r="AP231" s="98"/>
      <c r="AQ231" s="98"/>
      <c r="AR231" s="107">
        <f>(18-1600)*1000000</f>
        <v>-1582000000</v>
      </c>
      <c r="AS231" s="107"/>
      <c r="AT231" s="107"/>
      <c r="AU231" s="99">
        <f t="shared" si="38"/>
        <v>-79571.584976945116</v>
      </c>
      <c r="AV231" s="107"/>
      <c r="AW231" s="107"/>
      <c r="AX231" s="107"/>
      <c r="AY231" s="107"/>
      <c r="AZ231" s="107"/>
      <c r="BA231" s="107">
        <f t="shared" si="39"/>
        <v>18000000</v>
      </c>
      <c r="BB231" s="107"/>
      <c r="BC231" s="107"/>
      <c r="BD231" s="99">
        <f t="shared" si="40"/>
        <v>905.3656950600581</v>
      </c>
      <c r="BE231" s="107"/>
      <c r="BF231" s="107"/>
      <c r="BG231" s="107"/>
      <c r="BH231" s="107"/>
      <c r="BI231" s="107"/>
      <c r="BJ231" s="97" t="s">
        <v>182</v>
      </c>
      <c r="BK231" s="98" t="str">
        <f t="shared" si="35"/>
        <v>Cost-saving</v>
      </c>
      <c r="BL231" s="98" t="str">
        <f t="shared" si="35"/>
        <v>Cost-saving</v>
      </c>
      <c r="BM231" s="98" t="str">
        <f t="shared" si="35"/>
        <v>Cost-saving</v>
      </c>
      <c r="BN231" s="107" t="s">
        <v>183</v>
      </c>
      <c r="BO231" s="107" t="s">
        <v>183</v>
      </c>
      <c r="BP231" s="107" t="s">
        <v>183</v>
      </c>
      <c r="BQ231" s="107"/>
      <c r="BR231" s="107"/>
      <c r="BS231" s="107"/>
      <c r="BT231" s="107"/>
      <c r="BU231" s="107"/>
      <c r="BV231" s="107"/>
      <c r="BW231" s="123" t="s">
        <v>200</v>
      </c>
      <c r="BX231" s="86"/>
      <c r="BY231" s="98"/>
      <c r="BZ231" s="98">
        <v>2010</v>
      </c>
      <c r="CA231" s="119" t="s">
        <v>201</v>
      </c>
      <c r="CB231" s="119"/>
      <c r="CC231" s="103">
        <f t="shared" si="36"/>
        <v>23</v>
      </c>
      <c r="CD231" s="86" t="s">
        <v>202</v>
      </c>
      <c r="CE231" s="86"/>
      <c r="CF231" s="86"/>
      <c r="CG231" s="105">
        <v>1</v>
      </c>
      <c r="CH231" s="105">
        <f>IF(CK231=0,"",IF(V231="Persistent",5,IF(V231="Once",1,IF(V231="One-off",1,"manual overwrite"))))</f>
        <v>5</v>
      </c>
      <c r="CI231" s="105">
        <f>IF(AA231="Lifetime",2,IF(CJ231=1,2,"manual entry"))</f>
        <v>2</v>
      </c>
      <c r="CJ231" s="98">
        <f t="shared" si="30"/>
        <v>1</v>
      </c>
      <c r="CK231" s="98">
        <f>IF(CA231="C",0,IF(P231="Het",0,IF(SUM(AG231,AO231)=0,0,1)))</f>
        <v>1</v>
      </c>
      <c r="CL231" s="106" t="e">
        <f>IF(G231="AUS",VLOOKUP(H231,$CU$5:$CW$23,2),IF(G231="NZ",VLOOKUP(H231,$CU$5:$CW$23,3),"error"))*AU231</f>
        <v>#N/A</v>
      </c>
      <c r="CM231" s="107" t="e">
        <f>IF(G231="AUS",VLOOKUP(H231,$CU$5:$CW$23,2),IF(G231="NZ",VLOOKUP(H231,$CU$5:$CW$23,3),"error"))*AX231</f>
        <v>#N/A</v>
      </c>
      <c r="CN231" s="106" t="e">
        <f>IF(G231="AUS",VLOOKUP(H231,$CU$5:$CW$23,2),IF(G231="NZ",VLOOKUP(H231,$CU$5:$CW$23,3),"error"))*BK231</f>
        <v>#N/A</v>
      </c>
    </row>
    <row r="232" spans="1:92" s="108" customFormat="1" ht="144.75">
      <c r="A232" s="83" t="str">
        <f t="shared" si="29"/>
        <v>Tobacco</v>
      </c>
      <c r="B232" s="86" t="s">
        <v>170</v>
      </c>
      <c r="C232" s="86"/>
      <c r="D232" s="86" t="s">
        <v>321</v>
      </c>
      <c r="E232" s="86" t="s">
        <v>172</v>
      </c>
      <c r="F232" s="85" t="str">
        <f t="shared" si="32"/>
        <v>Tobacco; ; Prevention ; Taxes and Subsidies</v>
      </c>
      <c r="G232" s="86" t="s">
        <v>173</v>
      </c>
      <c r="H232" s="86">
        <v>2003</v>
      </c>
      <c r="I232" s="86" t="str">
        <f>CONCATENATE(A232,", ",G232,": ",J232)</f>
        <v>Tobacco, AUS: Tobacco taxation of 60% with indexation in Iine with inflation</v>
      </c>
      <c r="J232" s="115" t="s">
        <v>433</v>
      </c>
      <c r="K232" s="115"/>
      <c r="L232" s="115"/>
      <c r="M232" s="115"/>
      <c r="N232" s="115"/>
      <c r="O232" s="115"/>
      <c r="P232" s="86" t="s">
        <v>175</v>
      </c>
      <c r="Q232" s="86" t="str">
        <f>IF($P232="Main",J232,BX232)</f>
        <v>Tobacco taxation of 60% with indexation in Iine with inflation</v>
      </c>
      <c r="R232" s="86" t="str">
        <f>IF($P232="Main",CONCATENATE(J232,": ",G232),BY232)</f>
        <v>Tobacco taxation of 60% with indexation in Iine with inflation: AUS</v>
      </c>
      <c r="S232" s="86"/>
      <c r="T232" s="86"/>
      <c r="U232" s="86"/>
      <c r="V232" s="88" t="s">
        <v>199</v>
      </c>
      <c r="W232" s="88"/>
      <c r="X232" s="88"/>
      <c r="Y232" s="86" t="s">
        <v>177</v>
      </c>
      <c r="Z232" s="86" t="s">
        <v>177</v>
      </c>
      <c r="AA232" s="86" t="s">
        <v>177</v>
      </c>
      <c r="AB232" s="86" t="s">
        <v>177</v>
      </c>
      <c r="AC232" s="116">
        <v>0.03</v>
      </c>
      <c r="AD232" s="98" t="s">
        <v>193</v>
      </c>
      <c r="AE232" s="98"/>
      <c r="AF232" s="98"/>
      <c r="AG232" s="131">
        <v>640000</v>
      </c>
      <c r="AH232" s="118"/>
      <c r="AI232" s="118"/>
      <c r="AJ232" s="128">
        <v>19881469</v>
      </c>
      <c r="AK232" s="92">
        <f t="shared" si="33"/>
        <v>32.190780268802065</v>
      </c>
      <c r="AL232" s="98"/>
      <c r="AM232" s="98"/>
      <c r="AN232" s="98"/>
      <c r="AO232" s="98"/>
      <c r="AP232" s="98"/>
      <c r="AQ232" s="98"/>
      <c r="AR232" s="107">
        <f>(18-1600)*1000000</f>
        <v>-1582000000</v>
      </c>
      <c r="AS232" s="107"/>
      <c r="AT232" s="107"/>
      <c r="AU232" s="99">
        <f t="shared" si="38"/>
        <v>-79571.584976945116</v>
      </c>
      <c r="AV232" s="107"/>
      <c r="AW232" s="107"/>
      <c r="AX232" s="107"/>
      <c r="AY232" s="107"/>
      <c r="AZ232" s="107"/>
      <c r="BA232" s="107">
        <f t="shared" si="39"/>
        <v>18000000</v>
      </c>
      <c r="BB232" s="107"/>
      <c r="BC232" s="107"/>
      <c r="BD232" s="99">
        <f t="shared" si="40"/>
        <v>905.3656950600581</v>
      </c>
      <c r="BE232" s="107"/>
      <c r="BF232" s="107"/>
      <c r="BG232" s="107"/>
      <c r="BH232" s="107"/>
      <c r="BI232" s="107"/>
      <c r="BJ232" s="97" t="s">
        <v>182</v>
      </c>
      <c r="BK232" s="98" t="str">
        <f t="shared" si="35"/>
        <v>Cost-saving</v>
      </c>
      <c r="BL232" s="98" t="str">
        <f t="shared" si="35"/>
        <v>Cost-saving</v>
      </c>
      <c r="BM232" s="98" t="str">
        <f t="shared" si="35"/>
        <v>Cost-saving</v>
      </c>
      <c r="BN232" s="107" t="s">
        <v>183</v>
      </c>
      <c r="BO232" s="107" t="s">
        <v>183</v>
      </c>
      <c r="BP232" s="107" t="s">
        <v>183</v>
      </c>
      <c r="BQ232" s="107"/>
      <c r="BR232" s="107"/>
      <c r="BS232" s="107"/>
      <c r="BT232" s="107"/>
      <c r="BU232" s="107"/>
      <c r="BV232" s="107"/>
      <c r="BW232" s="123" t="s">
        <v>200</v>
      </c>
      <c r="BX232" s="86"/>
      <c r="BY232" s="98"/>
      <c r="BZ232" s="98">
        <v>2010</v>
      </c>
      <c r="CA232" s="119" t="s">
        <v>201</v>
      </c>
      <c r="CB232" s="119"/>
      <c r="CC232" s="103">
        <f t="shared" si="36"/>
        <v>62</v>
      </c>
      <c r="CD232" s="86" t="s">
        <v>202</v>
      </c>
      <c r="CE232" s="86"/>
      <c r="CF232" s="86"/>
      <c r="CG232" s="105">
        <v>1</v>
      </c>
      <c r="CH232" s="105">
        <f>IF(CK232=0,"",IF(V232="Persistent",5,IF(V232="Once",1,IF(V232="One-off",1,"manual overwrite"))))</f>
        <v>5</v>
      </c>
      <c r="CI232" s="105">
        <f>IF(AA232="Lifetime",2,IF(CJ232=1,2,"manual entry"))</f>
        <v>2</v>
      </c>
      <c r="CJ232" s="98">
        <f t="shared" si="30"/>
        <v>1</v>
      </c>
      <c r="CK232" s="98">
        <f>IF(CA232="C",0,IF(P232="Het",0,IF(SUM(AG232,AO232)=0,0,1)))</f>
        <v>1</v>
      </c>
      <c r="CL232" s="106" t="e">
        <f>IF(G232="AUS",VLOOKUP(H232,$CU$5:$CW$23,2),IF(G232="NZ",VLOOKUP(H232,$CU$5:$CW$23,3),"error"))*AU232</f>
        <v>#N/A</v>
      </c>
      <c r="CM232" s="107" t="e">
        <f>IF(G232="AUS",VLOOKUP(H232,$CU$5:$CW$23,2),IF(G232="NZ",VLOOKUP(H232,$CU$5:$CW$23,3),"error"))*AX232</f>
        <v>#N/A</v>
      </c>
      <c r="CN232" s="106" t="e">
        <f>IF(G232="AUS",VLOOKUP(H232,$CU$5:$CW$23,2),IF(G232="NZ",VLOOKUP(H232,$CU$5:$CW$23,3),"error"))*BK232</f>
        <v>#N/A</v>
      </c>
    </row>
    <row r="233" spans="1:92" s="108" customFormat="1" ht="259.5">
      <c r="A233" s="83" t="str">
        <f t="shared" si="29"/>
        <v>Tobacco</v>
      </c>
      <c r="B233" s="84" t="s">
        <v>170</v>
      </c>
      <c r="C233" s="85"/>
      <c r="D233" s="86"/>
      <c r="E233" s="85" t="s">
        <v>172</v>
      </c>
      <c r="F233" s="85" t="str">
        <f t="shared" si="32"/>
        <v xml:space="preserve">Tobacco; ; Prevention ; </v>
      </c>
      <c r="G233" s="85" t="s">
        <v>205</v>
      </c>
      <c r="H233" s="85">
        <v>2011</v>
      </c>
      <c r="I233" s="85" t="str">
        <f>CONCATENATE(A233,", ",G233,": ",J233)</f>
        <v>Tobacco, NZ: Tobacco-free generation (law change prohibiting tobacco sale and supply to individuals born from 1993 onwards)</v>
      </c>
      <c r="J233" s="87" t="s">
        <v>434</v>
      </c>
      <c r="K233" s="87"/>
      <c r="L233" s="87"/>
      <c r="M233" s="87"/>
      <c r="N233" s="87"/>
      <c r="O233" s="87"/>
      <c r="P233" s="85" t="s">
        <v>175</v>
      </c>
      <c r="Q233" s="85" t="str">
        <f>IF($P233="Main",J233,BX233)</f>
        <v>Tobacco-free generation (law change prohibiting tobacco sale and supply to individuals born from 1993 onwards)</v>
      </c>
      <c r="R233" s="85" t="str">
        <f>IF($P233="Main",CONCATENATE(J233,": ",G233),BY233)</f>
        <v>Tobacco-free generation (law change prohibiting tobacco sale and supply to individuals born from 1993 onwards): NZ</v>
      </c>
      <c r="S233" s="85"/>
      <c r="T233" s="85"/>
      <c r="U233" s="85"/>
      <c r="V233" s="88" t="s">
        <v>435</v>
      </c>
      <c r="W233" s="88"/>
      <c r="X233" s="88"/>
      <c r="Y233" s="85" t="s">
        <v>208</v>
      </c>
      <c r="Z233" s="85" t="s">
        <v>209</v>
      </c>
      <c r="AA233" s="85" t="s">
        <v>179</v>
      </c>
      <c r="AB233" s="85" t="s">
        <v>210</v>
      </c>
      <c r="AC233" s="89">
        <v>0.03</v>
      </c>
      <c r="AD233" s="122"/>
      <c r="AE233" s="83"/>
      <c r="AF233" s="83" t="s">
        <v>290</v>
      </c>
      <c r="AG233" s="90">
        <v>83200</v>
      </c>
      <c r="AH233" s="90">
        <v>55400</v>
      </c>
      <c r="AI233" s="90">
        <v>119000</v>
      </c>
      <c r="AJ233" s="91">
        <v>4410000</v>
      </c>
      <c r="AK233" s="92">
        <f t="shared" si="33"/>
        <v>18.86621315192744</v>
      </c>
      <c r="AL233" s="92">
        <f>AH233/$AJ233*1000</f>
        <v>12.562358276643991</v>
      </c>
      <c r="AM233" s="92">
        <f>AI233/$AJ233*1000</f>
        <v>26.984126984126984</v>
      </c>
      <c r="AN233" s="93"/>
      <c r="AO233" s="94">
        <v>1.9E-2</v>
      </c>
      <c r="AP233" s="94"/>
      <c r="AQ233" s="94"/>
      <c r="AR233" s="95">
        <v>-1940000000</v>
      </c>
      <c r="AS233" s="95">
        <v>-1300000000</v>
      </c>
      <c r="AT233" s="95">
        <v>-2810000000</v>
      </c>
      <c r="AU233" s="95">
        <f>1000*AR233/$AJ233</f>
        <v>-439909.2970521542</v>
      </c>
      <c r="AV233" s="95">
        <f>1000*AS233/$AJ233</f>
        <v>-294784.58049886621</v>
      </c>
      <c r="AW233" s="95">
        <f>1000*AT233/$AJ233</f>
        <v>-637188.20861678</v>
      </c>
      <c r="AX233" s="95">
        <v>-440</v>
      </c>
      <c r="AY233" s="95"/>
      <c r="AZ233" s="95"/>
      <c r="BA233" s="96"/>
      <c r="BB233" s="96"/>
      <c r="BC233" s="96"/>
      <c r="BD233" s="95"/>
      <c r="BE233" s="95"/>
      <c r="BF233" s="96"/>
      <c r="BG233" s="95"/>
      <c r="BH233" s="95"/>
      <c r="BI233" s="96"/>
      <c r="BJ233" s="97" t="s">
        <v>182</v>
      </c>
      <c r="BK233" s="98" t="str">
        <f t="shared" si="35"/>
        <v>Cost-saving</v>
      </c>
      <c r="BL233" s="98">
        <f t="shared" si="35"/>
        <v>0</v>
      </c>
      <c r="BM233" s="98">
        <f t="shared" si="35"/>
        <v>0</v>
      </c>
      <c r="BN233" s="99" t="s">
        <v>183</v>
      </c>
      <c r="BO233" s="100"/>
      <c r="BP233" s="100"/>
      <c r="BQ233" s="99" t="s">
        <v>183</v>
      </c>
      <c r="BR233" s="100"/>
      <c r="BS233" s="100"/>
      <c r="BT233" s="99" t="s">
        <v>183</v>
      </c>
      <c r="BU233" s="100"/>
      <c r="BV233" s="100"/>
      <c r="BW233" s="109" t="s">
        <v>211</v>
      </c>
      <c r="BX233" s="85" t="s">
        <v>434</v>
      </c>
      <c r="BY233" s="83" t="s">
        <v>436</v>
      </c>
      <c r="BZ233" s="102">
        <v>2018</v>
      </c>
      <c r="CA233" s="98"/>
      <c r="CB233" s="98"/>
      <c r="CC233" s="103">
        <f t="shared" si="36"/>
        <v>110</v>
      </c>
      <c r="CD233" s="98" t="s">
        <v>213</v>
      </c>
      <c r="CE233" s="98" t="s">
        <v>214</v>
      </c>
      <c r="CF233" s="98"/>
      <c r="CG233" s="105">
        <v>2</v>
      </c>
      <c r="CH233" s="105">
        <v>5</v>
      </c>
      <c r="CI233" s="105">
        <f>IF(AA233="Lifetime",2,IF(CJ233=1,2,"manual entry"))</f>
        <v>2</v>
      </c>
      <c r="CJ233" s="98">
        <f t="shared" si="30"/>
        <v>0</v>
      </c>
      <c r="CK233" s="98">
        <f>IF(CA233="C",0,IF(P233="Het",0,IF(SUM(AG233,AO233)=0,0,1)))</f>
        <v>1</v>
      </c>
      <c r="CL233" s="106" t="e">
        <f>IF(G233="AUS",VLOOKUP(H233,$CU$5:$CW$23,2),IF(G233="NZ",VLOOKUP(H233,$CU$5:$CW$23,3),"error"))*AU233</f>
        <v>#N/A</v>
      </c>
      <c r="CM233" s="107" t="e">
        <f>IF(G233="AUS",VLOOKUP(H233,$CU$5:$CW$23,2),IF(G233="NZ",VLOOKUP(H233,$CU$5:$CW$23,3),"error"))*AX233</f>
        <v>#N/A</v>
      </c>
      <c r="CN233" s="106" t="e">
        <f>IF(G233="AUS",VLOOKUP(H233,$CU$5:$CW$23,2),IF(G233="NZ",VLOOKUP(H233,$CU$5:$CW$23,3),"error"))*BK233</f>
        <v>#N/A</v>
      </c>
    </row>
    <row r="234" spans="1:92" s="108" customFormat="1" ht="259.5">
      <c r="A234" s="83" t="str">
        <f t="shared" si="29"/>
        <v>Tobacco</v>
      </c>
      <c r="B234" s="84" t="s">
        <v>170</v>
      </c>
      <c r="C234" s="85"/>
      <c r="D234" s="86"/>
      <c r="E234" s="85" t="s">
        <v>172</v>
      </c>
      <c r="F234" s="85" t="str">
        <f t="shared" si="32"/>
        <v xml:space="preserve">Tobacco; ; Prevention ; </v>
      </c>
      <c r="G234" s="85" t="s">
        <v>205</v>
      </c>
      <c r="H234" s="85">
        <v>2011</v>
      </c>
      <c r="I234" s="85" t="str">
        <f>CONCATENATE(A234,", ",G234,": ",J234)</f>
        <v>Tobacco, NZ: Tobacco-free generation (law change prohibiting tobacco sale and supply to individuals born from 1993 onwards)</v>
      </c>
      <c r="J234" s="87" t="s">
        <v>434</v>
      </c>
      <c r="K234" s="87"/>
      <c r="L234" s="87"/>
      <c r="M234" s="87"/>
      <c r="N234" s="87"/>
      <c r="O234" s="87"/>
      <c r="P234" s="85" t="s">
        <v>215</v>
      </c>
      <c r="Q234" s="85" t="str">
        <f>IF($P234="Main",J234,BX234)</f>
        <v>in men</v>
      </c>
      <c r="R234" s="85" t="str">
        <f>IF($P234="Main",CONCATENATE(J234,": ",G234),BY234)</f>
        <v>in men</v>
      </c>
      <c r="S234" s="85"/>
      <c r="T234" s="85"/>
      <c r="U234" s="85"/>
      <c r="V234" s="88"/>
      <c r="W234" s="88"/>
      <c r="X234" s="88"/>
      <c r="Y234" s="85"/>
      <c r="Z234" s="85"/>
      <c r="AA234" s="85"/>
      <c r="AB234" s="85"/>
      <c r="AC234" s="89">
        <v>0.03</v>
      </c>
      <c r="AD234" s="122"/>
      <c r="AE234" s="83"/>
      <c r="AF234" s="83"/>
      <c r="AG234" s="90">
        <v>40200</v>
      </c>
      <c r="AH234" s="90"/>
      <c r="AI234" s="90"/>
      <c r="AJ234" s="91">
        <v>2164610</v>
      </c>
      <c r="AK234" s="92">
        <f t="shared" si="33"/>
        <v>18.571474769127004</v>
      </c>
      <c r="AL234" s="92"/>
      <c r="AM234" s="92"/>
      <c r="AN234" s="93"/>
      <c r="AO234" s="94"/>
      <c r="AP234" s="94"/>
      <c r="AQ234" s="94"/>
      <c r="AR234" s="95">
        <v>-1128000000</v>
      </c>
      <c r="AS234" s="95"/>
      <c r="AT234" s="95"/>
      <c r="AU234" s="95">
        <f t="shared" ref="AU234:AU253" si="41">1000*AR234/$AJ234</f>
        <v>-521110.03829789202</v>
      </c>
      <c r="AV234" s="95"/>
      <c r="AW234" s="95"/>
      <c r="AX234" s="95"/>
      <c r="AY234" s="95"/>
      <c r="AZ234" s="95"/>
      <c r="BA234" s="96"/>
      <c r="BB234" s="96"/>
      <c r="BC234" s="96"/>
      <c r="BD234" s="95"/>
      <c r="BE234" s="95"/>
      <c r="BF234" s="96"/>
      <c r="BG234" s="95"/>
      <c r="BH234" s="95"/>
      <c r="BI234" s="96"/>
      <c r="BJ234" s="97" t="s">
        <v>182</v>
      </c>
      <c r="BK234" s="98" t="str">
        <f t="shared" si="35"/>
        <v>Cost-saving</v>
      </c>
      <c r="BL234" s="98">
        <f t="shared" si="35"/>
        <v>0</v>
      </c>
      <c r="BM234" s="98">
        <f t="shared" si="35"/>
        <v>0</v>
      </c>
      <c r="BN234" s="99" t="s">
        <v>183</v>
      </c>
      <c r="BO234" s="100"/>
      <c r="BP234" s="100"/>
      <c r="BQ234" s="99" t="s">
        <v>183</v>
      </c>
      <c r="BR234" s="100"/>
      <c r="BS234" s="100"/>
      <c r="BT234" s="99" t="s">
        <v>183</v>
      </c>
      <c r="BU234" s="100"/>
      <c r="BV234" s="100"/>
      <c r="BW234" s="109" t="s">
        <v>211</v>
      </c>
      <c r="BX234" s="85" t="s">
        <v>216</v>
      </c>
      <c r="BY234" s="83" t="s">
        <v>216</v>
      </c>
      <c r="BZ234" s="102">
        <v>2018</v>
      </c>
      <c r="CA234" s="98"/>
      <c r="CB234" s="98"/>
      <c r="CC234" s="103">
        <f t="shared" si="36"/>
        <v>110</v>
      </c>
      <c r="CD234" s="98" t="s">
        <v>213</v>
      </c>
      <c r="CE234" s="98" t="s">
        <v>214</v>
      </c>
      <c r="CF234" s="98"/>
      <c r="CG234" s="105">
        <v>2</v>
      </c>
      <c r="CH234" s="105" t="str">
        <f>IF(CK234=0,"",IF(V234="Persistent",5,IF(V234="Once",1,IF(V234="One-off",1,"manual overwrite"))))</f>
        <v/>
      </c>
      <c r="CI234" s="105"/>
      <c r="CJ234" s="98">
        <f t="shared" si="30"/>
        <v>0</v>
      </c>
      <c r="CK234" s="98">
        <f>IF(CA234="C",0,IF(P234="Het",0,IF(SUM(AG234,AO234)=0,0,1)))</f>
        <v>0</v>
      </c>
      <c r="CL234" s="106" t="e">
        <f>IF(G234="AUS",VLOOKUP(H234,$CU$5:$CW$23,2),IF(G234="NZ",VLOOKUP(H234,$CU$5:$CW$23,3),"error"))*AU234</f>
        <v>#N/A</v>
      </c>
      <c r="CM234" s="107" t="e">
        <f>IF(G234="AUS",VLOOKUP(H234,$CU$5:$CW$23,2),IF(G234="NZ",VLOOKUP(H234,$CU$5:$CW$23,3),"error"))*AX234</f>
        <v>#N/A</v>
      </c>
      <c r="CN234" s="106" t="e">
        <f>IF(G234="AUS",VLOOKUP(H234,$CU$5:$CW$23,2),IF(G234="NZ",VLOOKUP(H234,$CU$5:$CW$23,3),"error"))*BK234</f>
        <v>#N/A</v>
      </c>
    </row>
    <row r="235" spans="1:92" s="108" customFormat="1" ht="259.5">
      <c r="A235" s="83" t="str">
        <f t="shared" si="29"/>
        <v>Tobacco</v>
      </c>
      <c r="B235" s="84" t="s">
        <v>170</v>
      </c>
      <c r="C235" s="85"/>
      <c r="D235" s="86"/>
      <c r="E235" s="85" t="s">
        <v>172</v>
      </c>
      <c r="F235" s="85" t="str">
        <f t="shared" si="32"/>
        <v xml:space="preserve">Tobacco; ; Prevention ; </v>
      </c>
      <c r="G235" s="85" t="s">
        <v>205</v>
      </c>
      <c r="H235" s="85">
        <v>2011</v>
      </c>
      <c r="I235" s="85" t="str">
        <f>CONCATENATE(A235,", ",G235,": ",J235)</f>
        <v>Tobacco, NZ: Tobacco-free generation (law change prohibiting tobacco sale and supply to individuals born from 1993 onwards)</v>
      </c>
      <c r="J235" s="87" t="s">
        <v>434</v>
      </c>
      <c r="K235" s="87"/>
      <c r="L235" s="87"/>
      <c r="M235" s="87"/>
      <c r="N235" s="87"/>
      <c r="O235" s="87"/>
      <c r="P235" s="85" t="s">
        <v>215</v>
      </c>
      <c r="Q235" s="85" t="str">
        <f>IF($P235="Main",J235,BX235)</f>
        <v>in men age 0-14 yrs</v>
      </c>
      <c r="R235" s="85" t="str">
        <f>IF($P235="Main",CONCATENATE(J235,": ",G235),BY235)</f>
        <v>in men age 0-14 yrs</v>
      </c>
      <c r="S235" s="85"/>
      <c r="T235" s="85"/>
      <c r="U235" s="85"/>
      <c r="V235" s="88"/>
      <c r="W235" s="88"/>
      <c r="X235" s="88"/>
      <c r="Y235" s="85"/>
      <c r="Z235" s="85"/>
      <c r="AA235" s="85"/>
      <c r="AB235" s="85"/>
      <c r="AC235" s="89">
        <v>0.03</v>
      </c>
      <c r="AD235" s="122"/>
      <c r="AE235" s="83"/>
      <c r="AF235" s="83"/>
      <c r="AG235" s="90">
        <v>25700</v>
      </c>
      <c r="AH235" s="90"/>
      <c r="AI235" s="90"/>
      <c r="AJ235" s="91">
        <v>458240</v>
      </c>
      <c r="AK235" s="92">
        <f t="shared" si="33"/>
        <v>56.084148044692739</v>
      </c>
      <c r="AL235" s="92"/>
      <c r="AM235" s="92"/>
      <c r="AN235" s="93"/>
      <c r="AO235" s="94"/>
      <c r="AP235" s="94"/>
      <c r="AQ235" s="94"/>
      <c r="AR235" s="95">
        <v>-724000000</v>
      </c>
      <c r="AS235" s="95"/>
      <c r="AT235" s="95"/>
      <c r="AU235" s="95">
        <f t="shared" si="41"/>
        <v>-1579958.1005586593</v>
      </c>
      <c r="AV235" s="95"/>
      <c r="AW235" s="95"/>
      <c r="AX235" s="95"/>
      <c r="AY235" s="95"/>
      <c r="AZ235" s="95"/>
      <c r="BA235" s="96"/>
      <c r="BB235" s="96"/>
      <c r="BC235" s="96"/>
      <c r="BD235" s="95"/>
      <c r="BE235" s="95"/>
      <c r="BF235" s="96"/>
      <c r="BG235" s="95"/>
      <c r="BH235" s="95"/>
      <c r="BI235" s="96"/>
      <c r="BJ235" s="97" t="s">
        <v>182</v>
      </c>
      <c r="BK235" s="98" t="str">
        <f t="shared" ref="BK235:BM253" si="42">IF($BJ235="Y",IF(BN235="",IF(BQ235="",BT235,BQ235),BN235),"")</f>
        <v>Cost-saving</v>
      </c>
      <c r="BL235" s="98">
        <f t="shared" si="42"/>
        <v>0</v>
      </c>
      <c r="BM235" s="98">
        <f t="shared" si="42"/>
        <v>0</v>
      </c>
      <c r="BN235" s="99" t="s">
        <v>183</v>
      </c>
      <c r="BO235" s="100"/>
      <c r="BP235" s="100"/>
      <c r="BQ235" s="99" t="s">
        <v>183</v>
      </c>
      <c r="BR235" s="100"/>
      <c r="BS235" s="100"/>
      <c r="BT235" s="99" t="s">
        <v>183</v>
      </c>
      <c r="BU235" s="100"/>
      <c r="BV235" s="100"/>
      <c r="BW235" s="109" t="s">
        <v>211</v>
      </c>
      <c r="BX235" s="85" t="s">
        <v>327</v>
      </c>
      <c r="BY235" s="83" t="s">
        <v>327</v>
      </c>
      <c r="BZ235" s="102">
        <v>2018</v>
      </c>
      <c r="CA235" s="98"/>
      <c r="CB235" s="98"/>
      <c r="CC235" s="103">
        <f t="shared" si="36"/>
        <v>110</v>
      </c>
      <c r="CD235" s="98" t="s">
        <v>213</v>
      </c>
      <c r="CE235" s="98" t="s">
        <v>214</v>
      </c>
      <c r="CF235" s="98"/>
      <c r="CG235" s="105">
        <v>2</v>
      </c>
      <c r="CH235" s="105" t="str">
        <f>IF(CK235=0,"",IF(V235="Persistent",5,IF(V235="Once",1,IF(V235="One-off",1,"manual overwrite"))))</f>
        <v/>
      </c>
      <c r="CI235" s="105"/>
      <c r="CJ235" s="98">
        <f t="shared" si="30"/>
        <v>0</v>
      </c>
      <c r="CK235" s="98">
        <f>IF(CA235="C",0,IF(P235="Het",0,IF(SUM(AG235,AO235)=0,0,1)))</f>
        <v>0</v>
      </c>
      <c r="CL235" s="106" t="e">
        <f>IF(G235="AUS",VLOOKUP(H235,$CU$5:$CW$23,2),IF(G235="NZ",VLOOKUP(H235,$CU$5:$CW$23,3),"error"))*AU235</f>
        <v>#N/A</v>
      </c>
      <c r="CM235" s="107" t="e">
        <f>IF(G235="AUS",VLOOKUP(H235,$CU$5:$CW$23,2),IF(G235="NZ",VLOOKUP(H235,$CU$5:$CW$23,3),"error"))*AX235</f>
        <v>#N/A</v>
      </c>
      <c r="CN235" s="106" t="e">
        <f>IF(G235="AUS",VLOOKUP(H235,$CU$5:$CW$23,2),IF(G235="NZ",VLOOKUP(H235,$CU$5:$CW$23,3),"error"))*BK235</f>
        <v>#N/A</v>
      </c>
    </row>
    <row r="236" spans="1:92" s="108" customFormat="1" ht="259.5">
      <c r="A236" s="83" t="str">
        <f t="shared" si="29"/>
        <v>Tobacco</v>
      </c>
      <c r="B236" s="84" t="s">
        <v>170</v>
      </c>
      <c r="C236" s="85"/>
      <c r="D236" s="86"/>
      <c r="E236" s="85" t="s">
        <v>172</v>
      </c>
      <c r="F236" s="85" t="str">
        <f t="shared" si="32"/>
        <v xml:space="preserve">Tobacco; ; Prevention ; </v>
      </c>
      <c r="G236" s="85" t="s">
        <v>205</v>
      </c>
      <c r="H236" s="85">
        <v>2011</v>
      </c>
      <c r="I236" s="85" t="str">
        <f>CONCATENATE(A236,", ",G236,": ",J236)</f>
        <v>Tobacco, NZ: Tobacco-free generation (law change prohibiting tobacco sale and supply to individuals born from 1993 onwards)</v>
      </c>
      <c r="J236" s="87" t="s">
        <v>434</v>
      </c>
      <c r="K236" s="87"/>
      <c r="L236" s="87"/>
      <c r="M236" s="87"/>
      <c r="N236" s="87"/>
      <c r="O236" s="87"/>
      <c r="P236" s="85" t="s">
        <v>215</v>
      </c>
      <c r="Q236" s="85" t="str">
        <f>IF($P236="Main",J236,BX236)</f>
        <v>in men age 15-24 yrs</v>
      </c>
      <c r="R236" s="85" t="str">
        <f>IF($P236="Main",CONCATENATE(J236,": ",G236),BY236)</f>
        <v>in men age 15-24 yrs</v>
      </c>
      <c r="S236" s="85"/>
      <c r="T236" s="85"/>
      <c r="U236" s="85"/>
      <c r="V236" s="88"/>
      <c r="W236" s="88"/>
      <c r="X236" s="88"/>
      <c r="Y236" s="85"/>
      <c r="Z236" s="85"/>
      <c r="AA236" s="85"/>
      <c r="AB236" s="85"/>
      <c r="AC236" s="89">
        <v>0.03</v>
      </c>
      <c r="AD236" s="122"/>
      <c r="AE236" s="83"/>
      <c r="AF236" s="83"/>
      <c r="AG236" s="90">
        <v>14500</v>
      </c>
      <c r="AH236" s="90"/>
      <c r="AI236" s="90"/>
      <c r="AJ236" s="91">
        <v>330930</v>
      </c>
      <c r="AK236" s="92">
        <f t="shared" si="33"/>
        <v>43.815912730788988</v>
      </c>
      <c r="AL236" s="92"/>
      <c r="AM236" s="92"/>
      <c r="AN236" s="93"/>
      <c r="AO236" s="94"/>
      <c r="AP236" s="94"/>
      <c r="AQ236" s="94"/>
      <c r="AR236" s="95">
        <v>-404000000</v>
      </c>
      <c r="AS236" s="95"/>
      <c r="AT236" s="95"/>
      <c r="AU236" s="95">
        <f t="shared" si="41"/>
        <v>-1220801.9822923278</v>
      </c>
      <c r="AV236" s="95"/>
      <c r="AW236" s="95"/>
      <c r="AX236" s="95"/>
      <c r="AY236" s="95"/>
      <c r="AZ236" s="95"/>
      <c r="BA236" s="96"/>
      <c r="BB236" s="96"/>
      <c r="BC236" s="96"/>
      <c r="BD236" s="95"/>
      <c r="BE236" s="95"/>
      <c r="BF236" s="96"/>
      <c r="BG236" s="95"/>
      <c r="BH236" s="95"/>
      <c r="BI236" s="96"/>
      <c r="BJ236" s="97" t="s">
        <v>182</v>
      </c>
      <c r="BK236" s="98" t="str">
        <f t="shared" si="42"/>
        <v>Cost-saving</v>
      </c>
      <c r="BL236" s="98">
        <f t="shared" si="42"/>
        <v>0</v>
      </c>
      <c r="BM236" s="98">
        <f t="shared" si="42"/>
        <v>0</v>
      </c>
      <c r="BN236" s="99" t="s">
        <v>183</v>
      </c>
      <c r="BO236" s="100"/>
      <c r="BP236" s="100"/>
      <c r="BQ236" s="99" t="s">
        <v>183</v>
      </c>
      <c r="BR236" s="100"/>
      <c r="BS236" s="100"/>
      <c r="BT236" s="99" t="s">
        <v>183</v>
      </c>
      <c r="BU236" s="100"/>
      <c r="BV236" s="100"/>
      <c r="BW236" s="109" t="s">
        <v>211</v>
      </c>
      <c r="BX236" s="85" t="s">
        <v>328</v>
      </c>
      <c r="BY236" s="83" t="s">
        <v>328</v>
      </c>
      <c r="BZ236" s="102">
        <v>2018</v>
      </c>
      <c r="CA236" s="98"/>
      <c r="CB236" s="98"/>
      <c r="CC236" s="103">
        <f t="shared" si="36"/>
        <v>110</v>
      </c>
      <c r="CD236" s="98" t="s">
        <v>213</v>
      </c>
      <c r="CE236" s="98" t="s">
        <v>214</v>
      </c>
      <c r="CF236" s="98"/>
      <c r="CG236" s="105">
        <v>2</v>
      </c>
      <c r="CH236" s="105" t="str">
        <f>IF(CK236=0,"",IF(V236="Persistent",5,IF(V236="Once",1,IF(V236="One-off",1,"manual overwrite"))))</f>
        <v/>
      </c>
      <c r="CI236" s="105"/>
      <c r="CJ236" s="98">
        <f t="shared" si="30"/>
        <v>0</v>
      </c>
      <c r="CK236" s="98">
        <f>IF(CA236="C",0,IF(P236="Het",0,IF(SUM(AG236,AO236)=0,0,1)))</f>
        <v>0</v>
      </c>
      <c r="CL236" s="106" t="e">
        <f>IF(G236="AUS",VLOOKUP(H236,$CU$5:$CW$23,2),IF(G236="NZ",VLOOKUP(H236,$CU$5:$CW$23,3),"error"))*AU236</f>
        <v>#N/A</v>
      </c>
      <c r="CM236" s="107" t="e">
        <f>IF(G236="AUS",VLOOKUP(H236,$CU$5:$CW$23,2),IF(G236="NZ",VLOOKUP(H236,$CU$5:$CW$23,3),"error"))*AX236</f>
        <v>#N/A</v>
      </c>
      <c r="CN236" s="106" t="e">
        <f>IF(G236="AUS",VLOOKUP(H236,$CU$5:$CW$23,2),IF(G236="NZ",VLOOKUP(H236,$CU$5:$CW$23,3),"error"))*BK236</f>
        <v>#N/A</v>
      </c>
    </row>
    <row r="237" spans="1:92" s="108" customFormat="1" ht="259.5">
      <c r="A237" s="83" t="str">
        <f t="shared" si="29"/>
        <v>Tobacco</v>
      </c>
      <c r="B237" s="84" t="s">
        <v>170</v>
      </c>
      <c r="C237" s="85"/>
      <c r="D237" s="85"/>
      <c r="E237" s="85" t="s">
        <v>172</v>
      </c>
      <c r="F237" s="85" t="str">
        <f t="shared" si="32"/>
        <v xml:space="preserve">Tobacco; ; Prevention ; </v>
      </c>
      <c r="G237" s="85" t="s">
        <v>205</v>
      </c>
      <c r="H237" s="85">
        <v>2011</v>
      </c>
      <c r="I237" s="85" t="str">
        <f>CONCATENATE(A237,", ",G237,": ",J237)</f>
        <v>Tobacco, NZ: Tobacco-free generation (law change prohibiting tobacco sale and supply to individuals born from 1993 onwards)</v>
      </c>
      <c r="J237" s="87" t="s">
        <v>434</v>
      </c>
      <c r="K237" s="87"/>
      <c r="L237" s="87"/>
      <c r="M237" s="87"/>
      <c r="N237" s="87"/>
      <c r="O237" s="87"/>
      <c r="P237" s="85" t="s">
        <v>215</v>
      </c>
      <c r="Q237" s="85" t="str">
        <f>IF($P237="Main",J237,BX237)</f>
        <v xml:space="preserve">in women </v>
      </c>
      <c r="R237" s="85" t="str">
        <f>IF($P237="Main",CONCATENATE(J237,": ",G237),BY237)</f>
        <v xml:space="preserve">in women </v>
      </c>
      <c r="S237" s="85"/>
      <c r="T237" s="85"/>
      <c r="U237" s="85"/>
      <c r="V237" s="88"/>
      <c r="W237" s="88"/>
      <c r="X237" s="88"/>
      <c r="Y237" s="85"/>
      <c r="Z237" s="85"/>
      <c r="AA237" s="85"/>
      <c r="AB237" s="85"/>
      <c r="AC237" s="89">
        <v>0.03</v>
      </c>
      <c r="AD237" s="122"/>
      <c r="AE237" s="83"/>
      <c r="AF237" s="83"/>
      <c r="AG237" s="90">
        <v>43000</v>
      </c>
      <c r="AH237" s="90"/>
      <c r="AI237" s="90"/>
      <c r="AJ237" s="91">
        <v>2240660</v>
      </c>
      <c r="AK237" s="92">
        <f t="shared" si="33"/>
        <v>19.190774146903141</v>
      </c>
      <c r="AL237" s="92"/>
      <c r="AM237" s="92"/>
      <c r="AN237" s="93"/>
      <c r="AO237" s="94"/>
      <c r="AP237" s="94"/>
      <c r="AQ237" s="94"/>
      <c r="AR237" s="95">
        <v>-812000000</v>
      </c>
      <c r="AS237" s="95"/>
      <c r="AT237" s="95"/>
      <c r="AU237" s="95">
        <f t="shared" si="41"/>
        <v>-362393.22342524078</v>
      </c>
      <c r="AV237" s="95"/>
      <c r="AW237" s="95"/>
      <c r="AX237" s="95"/>
      <c r="AY237" s="95"/>
      <c r="AZ237" s="95"/>
      <c r="BA237" s="96"/>
      <c r="BB237" s="96"/>
      <c r="BC237" s="96"/>
      <c r="BD237" s="95"/>
      <c r="BE237" s="95"/>
      <c r="BF237" s="96"/>
      <c r="BG237" s="95"/>
      <c r="BH237" s="95"/>
      <c r="BI237" s="96"/>
      <c r="BJ237" s="97" t="s">
        <v>182</v>
      </c>
      <c r="BK237" s="98" t="str">
        <f t="shared" si="42"/>
        <v>Cost-saving</v>
      </c>
      <c r="BL237" s="98">
        <f t="shared" si="42"/>
        <v>0</v>
      </c>
      <c r="BM237" s="98">
        <f t="shared" si="42"/>
        <v>0</v>
      </c>
      <c r="BN237" s="99" t="s">
        <v>183</v>
      </c>
      <c r="BO237" s="100"/>
      <c r="BP237" s="100"/>
      <c r="BQ237" s="99" t="s">
        <v>183</v>
      </c>
      <c r="BR237" s="100"/>
      <c r="BS237" s="100"/>
      <c r="BT237" s="99" t="s">
        <v>183</v>
      </c>
      <c r="BU237" s="100"/>
      <c r="BV237" s="100"/>
      <c r="BW237" s="109" t="s">
        <v>211</v>
      </c>
      <c r="BX237" s="85" t="s">
        <v>382</v>
      </c>
      <c r="BY237" s="83" t="s">
        <v>382</v>
      </c>
      <c r="BZ237" s="102">
        <v>2018</v>
      </c>
      <c r="CA237" s="98"/>
      <c r="CB237" s="98"/>
      <c r="CC237" s="103">
        <f t="shared" si="36"/>
        <v>110</v>
      </c>
      <c r="CD237" s="98" t="s">
        <v>213</v>
      </c>
      <c r="CE237" s="98" t="s">
        <v>214</v>
      </c>
      <c r="CF237" s="98"/>
      <c r="CG237" s="105">
        <v>2</v>
      </c>
      <c r="CH237" s="105" t="str">
        <f>IF(CK237=0,"",IF(V237="Persistent",5,IF(V237="Once",1,IF(V237="One-off",1,"manual overwrite"))))</f>
        <v/>
      </c>
      <c r="CI237" s="105"/>
      <c r="CJ237" s="98">
        <f t="shared" si="30"/>
        <v>0</v>
      </c>
      <c r="CK237" s="98">
        <f>IF(CA237="C",0,IF(P237="Het",0,IF(SUM(AG237,AO237)=0,0,1)))</f>
        <v>0</v>
      </c>
      <c r="CL237" s="106" t="e">
        <f>IF(G237="AUS",VLOOKUP(H237,$CU$5:$CW$23,2),IF(G237="NZ",VLOOKUP(H237,$CU$5:$CW$23,3),"error"))*AU237</f>
        <v>#N/A</v>
      </c>
      <c r="CM237" s="107" t="e">
        <f>IF(G237="AUS",VLOOKUP(H237,$CU$5:$CW$23,2),IF(G237="NZ",VLOOKUP(H237,$CU$5:$CW$23,3),"error"))*AX237</f>
        <v>#N/A</v>
      </c>
      <c r="CN237" s="106" t="e">
        <f>IF(G237="AUS",VLOOKUP(H237,$CU$5:$CW$23,2),IF(G237="NZ",VLOOKUP(H237,$CU$5:$CW$23,3),"error"))*BK237</f>
        <v>#N/A</v>
      </c>
    </row>
    <row r="238" spans="1:92" s="108" customFormat="1" ht="259.5">
      <c r="A238" s="83" t="str">
        <f t="shared" si="29"/>
        <v>Tobacco</v>
      </c>
      <c r="B238" s="84" t="s">
        <v>170</v>
      </c>
      <c r="C238" s="85"/>
      <c r="D238" s="85"/>
      <c r="E238" s="85" t="s">
        <v>172</v>
      </c>
      <c r="F238" s="85" t="str">
        <f t="shared" si="32"/>
        <v xml:space="preserve">Tobacco; ; Prevention ; </v>
      </c>
      <c r="G238" s="85" t="s">
        <v>205</v>
      </c>
      <c r="H238" s="85">
        <v>2011</v>
      </c>
      <c r="I238" s="85" t="str">
        <f>CONCATENATE(A238,", ",G238,": ",J238)</f>
        <v>Tobacco, NZ: Tobacco-free generation (law change prohibiting tobacco sale and supply to individuals born from 1993 onwards)</v>
      </c>
      <c r="J238" s="87" t="s">
        <v>434</v>
      </c>
      <c r="K238" s="87"/>
      <c r="L238" s="87"/>
      <c r="M238" s="87"/>
      <c r="N238" s="87"/>
      <c r="O238" s="87"/>
      <c r="P238" s="85" t="s">
        <v>215</v>
      </c>
      <c r="Q238" s="85" t="str">
        <f>IF($P238="Main",J238,BX238)</f>
        <v>in women age 0-14 yrs</v>
      </c>
      <c r="R238" s="85" t="str">
        <f>IF($P238="Main",CONCATENATE(J238,": ",G238),BY238)</f>
        <v>in women age 0-14 yrs</v>
      </c>
      <c r="S238" s="85"/>
      <c r="T238" s="85"/>
      <c r="U238" s="85"/>
      <c r="V238" s="88"/>
      <c r="W238" s="88"/>
      <c r="X238" s="88"/>
      <c r="Y238" s="85"/>
      <c r="Z238" s="85"/>
      <c r="AA238" s="85"/>
      <c r="AB238" s="85"/>
      <c r="AC238" s="89">
        <v>0.03</v>
      </c>
      <c r="AD238" s="122"/>
      <c r="AE238" s="83"/>
      <c r="AF238" s="83"/>
      <c r="AG238" s="90">
        <v>28200</v>
      </c>
      <c r="AH238" s="90"/>
      <c r="AI238" s="90"/>
      <c r="AJ238" s="91">
        <v>436380</v>
      </c>
      <c r="AK238" s="92">
        <f t="shared" si="33"/>
        <v>64.622576653375489</v>
      </c>
      <c r="AL238" s="92"/>
      <c r="AM238" s="92"/>
      <c r="AN238" s="93"/>
      <c r="AO238" s="94"/>
      <c r="AP238" s="94"/>
      <c r="AQ238" s="94"/>
      <c r="AR238" s="95">
        <v>-528000000</v>
      </c>
      <c r="AS238" s="95"/>
      <c r="AT238" s="95"/>
      <c r="AU238" s="95">
        <f t="shared" si="41"/>
        <v>-1209954.6267014986</v>
      </c>
      <c r="AV238" s="95"/>
      <c r="AW238" s="95"/>
      <c r="AX238" s="95"/>
      <c r="AY238" s="95"/>
      <c r="AZ238" s="95"/>
      <c r="BA238" s="96"/>
      <c r="BB238" s="96"/>
      <c r="BC238" s="96"/>
      <c r="BD238" s="95"/>
      <c r="BE238" s="95"/>
      <c r="BF238" s="96"/>
      <c r="BG238" s="95"/>
      <c r="BH238" s="95"/>
      <c r="BI238" s="96"/>
      <c r="BJ238" s="97" t="s">
        <v>182</v>
      </c>
      <c r="BK238" s="98" t="str">
        <f t="shared" si="42"/>
        <v>Cost-saving</v>
      </c>
      <c r="BL238" s="98">
        <f t="shared" si="42"/>
        <v>0</v>
      </c>
      <c r="BM238" s="98">
        <f t="shared" si="42"/>
        <v>0</v>
      </c>
      <c r="BN238" s="99" t="s">
        <v>183</v>
      </c>
      <c r="BO238" s="100"/>
      <c r="BP238" s="100"/>
      <c r="BQ238" s="99" t="s">
        <v>183</v>
      </c>
      <c r="BR238" s="100"/>
      <c r="BS238" s="100"/>
      <c r="BT238" s="99" t="s">
        <v>183</v>
      </c>
      <c r="BU238" s="100"/>
      <c r="BV238" s="100"/>
      <c r="BW238" s="109" t="s">
        <v>211</v>
      </c>
      <c r="BX238" s="85" t="s">
        <v>223</v>
      </c>
      <c r="BY238" s="83" t="s">
        <v>223</v>
      </c>
      <c r="BZ238" s="102">
        <v>2018</v>
      </c>
      <c r="CA238" s="98"/>
      <c r="CB238" s="98"/>
      <c r="CC238" s="103">
        <f t="shared" si="36"/>
        <v>110</v>
      </c>
      <c r="CD238" s="98" t="s">
        <v>213</v>
      </c>
      <c r="CE238" s="98" t="s">
        <v>214</v>
      </c>
      <c r="CF238" s="98"/>
      <c r="CG238" s="105">
        <v>2</v>
      </c>
      <c r="CH238" s="105" t="str">
        <f>IF(CK238=0,"",IF(V238="Persistent",5,IF(V238="Once",1,IF(V238="One-off",1,"manual overwrite"))))</f>
        <v/>
      </c>
      <c r="CI238" s="105"/>
      <c r="CJ238" s="98">
        <f t="shared" si="30"/>
        <v>0</v>
      </c>
      <c r="CK238" s="98">
        <f>IF(CA238="C",0,IF(P238="Het",0,IF(SUM(AG238,AO238)=0,0,1)))</f>
        <v>0</v>
      </c>
      <c r="CL238" s="106" t="e">
        <f>IF(G238="AUS",VLOOKUP(H238,$CU$5:$CW$23,2),IF(G238="NZ",VLOOKUP(H238,$CU$5:$CW$23,3),"error"))*AU238</f>
        <v>#N/A</v>
      </c>
      <c r="CM238" s="107" t="e">
        <f>IF(G238="AUS",VLOOKUP(H238,$CU$5:$CW$23,2),IF(G238="NZ",VLOOKUP(H238,$CU$5:$CW$23,3),"error"))*AX238</f>
        <v>#N/A</v>
      </c>
      <c r="CN238" s="106" t="e">
        <f>IF(G238="AUS",VLOOKUP(H238,$CU$5:$CW$23,2),IF(G238="NZ",VLOOKUP(H238,$CU$5:$CW$23,3),"error"))*BK238</f>
        <v>#N/A</v>
      </c>
    </row>
    <row r="239" spans="1:92" s="108" customFormat="1" ht="259.5">
      <c r="A239" s="83" t="str">
        <f t="shared" si="29"/>
        <v>Tobacco</v>
      </c>
      <c r="B239" s="84" t="s">
        <v>170</v>
      </c>
      <c r="C239" s="85"/>
      <c r="D239" s="85"/>
      <c r="E239" s="85" t="s">
        <v>172</v>
      </c>
      <c r="F239" s="85" t="str">
        <f t="shared" si="32"/>
        <v xml:space="preserve">Tobacco; ; Prevention ; </v>
      </c>
      <c r="G239" s="85" t="s">
        <v>205</v>
      </c>
      <c r="H239" s="85">
        <v>2011</v>
      </c>
      <c r="I239" s="85" t="str">
        <f>CONCATENATE(A239,", ",G239,": ",J239)</f>
        <v>Tobacco, NZ: Tobacco-free generation (law change prohibiting tobacco sale and supply to individuals born from 1993 onwards)</v>
      </c>
      <c r="J239" s="87" t="s">
        <v>434</v>
      </c>
      <c r="K239" s="87"/>
      <c r="L239" s="87"/>
      <c r="M239" s="87"/>
      <c r="N239" s="87"/>
      <c r="O239" s="87"/>
      <c r="P239" s="85" t="s">
        <v>215</v>
      </c>
      <c r="Q239" s="85" t="str">
        <f>IF($P239="Main",J239,BX239)</f>
        <v>in women age 15-24 yrs</v>
      </c>
      <c r="R239" s="85" t="str">
        <f>IF($P239="Main",CONCATENATE(J239,": ",G239),BY239)</f>
        <v>in women age 15-24 yrs</v>
      </c>
      <c r="S239" s="85"/>
      <c r="T239" s="85"/>
      <c r="U239" s="85"/>
      <c r="V239" s="88"/>
      <c r="W239" s="88"/>
      <c r="X239" s="88"/>
      <c r="Y239" s="85"/>
      <c r="Z239" s="85"/>
      <c r="AA239" s="85"/>
      <c r="AB239" s="85"/>
      <c r="AC239" s="89">
        <v>0.03</v>
      </c>
      <c r="AD239" s="122"/>
      <c r="AE239" s="83"/>
      <c r="AF239" s="83"/>
      <c r="AG239" s="90">
        <v>14800</v>
      </c>
      <c r="AH239" s="90"/>
      <c r="AI239" s="90"/>
      <c r="AJ239" s="91">
        <v>311500</v>
      </c>
      <c r="AK239" s="92">
        <f t="shared" si="33"/>
        <v>47.512038523274477</v>
      </c>
      <c r="AL239" s="92"/>
      <c r="AM239" s="92"/>
      <c r="AN239" s="93"/>
      <c r="AO239" s="94"/>
      <c r="AP239" s="94"/>
      <c r="AQ239" s="94"/>
      <c r="AR239" s="95">
        <v>-284000000</v>
      </c>
      <c r="AS239" s="95"/>
      <c r="AT239" s="95"/>
      <c r="AU239" s="95">
        <f t="shared" si="41"/>
        <v>-911717.49598715885</v>
      </c>
      <c r="AV239" s="95"/>
      <c r="AW239" s="95"/>
      <c r="AX239" s="95"/>
      <c r="AY239" s="95"/>
      <c r="AZ239" s="95"/>
      <c r="BA239" s="96"/>
      <c r="BB239" s="96"/>
      <c r="BC239" s="96"/>
      <c r="BD239" s="95"/>
      <c r="BE239" s="95"/>
      <c r="BF239" s="96"/>
      <c r="BG239" s="95"/>
      <c r="BH239" s="95"/>
      <c r="BI239" s="96"/>
      <c r="BJ239" s="97" t="s">
        <v>182</v>
      </c>
      <c r="BK239" s="98" t="str">
        <f t="shared" si="42"/>
        <v>Cost-saving</v>
      </c>
      <c r="BL239" s="98">
        <f t="shared" si="42"/>
        <v>0</v>
      </c>
      <c r="BM239" s="98">
        <f t="shared" si="42"/>
        <v>0</v>
      </c>
      <c r="BN239" s="99" t="s">
        <v>183</v>
      </c>
      <c r="BO239" s="100"/>
      <c r="BP239" s="100"/>
      <c r="BQ239" s="99" t="s">
        <v>183</v>
      </c>
      <c r="BR239" s="100"/>
      <c r="BS239" s="100"/>
      <c r="BT239" s="99" t="s">
        <v>183</v>
      </c>
      <c r="BU239" s="100"/>
      <c r="BV239" s="100"/>
      <c r="BW239" s="109" t="s">
        <v>211</v>
      </c>
      <c r="BX239" s="85" t="s">
        <v>332</v>
      </c>
      <c r="BY239" s="83" t="s">
        <v>332</v>
      </c>
      <c r="BZ239" s="102">
        <v>2018</v>
      </c>
      <c r="CA239" s="98"/>
      <c r="CB239" s="98"/>
      <c r="CC239" s="103">
        <f t="shared" si="36"/>
        <v>110</v>
      </c>
      <c r="CD239" s="98" t="s">
        <v>213</v>
      </c>
      <c r="CE239" s="98" t="s">
        <v>214</v>
      </c>
      <c r="CF239" s="98"/>
      <c r="CG239" s="105">
        <v>2</v>
      </c>
      <c r="CH239" s="105" t="str">
        <f>IF(CK239=0,"",IF(V239="Persistent",5,IF(V239="Once",1,IF(V239="One-off",1,"manual overwrite"))))</f>
        <v/>
      </c>
      <c r="CI239" s="105"/>
      <c r="CJ239" s="98">
        <f t="shared" si="30"/>
        <v>0</v>
      </c>
      <c r="CK239" s="98">
        <f>IF(CA239="C",0,IF(P239="Het",0,IF(SUM(AG239,AO239)=0,0,1)))</f>
        <v>0</v>
      </c>
      <c r="CL239" s="106" t="e">
        <f>IF(G239="AUS",VLOOKUP(H239,$CU$5:$CW$23,2),IF(G239="NZ",VLOOKUP(H239,$CU$5:$CW$23,3),"error"))*AU239</f>
        <v>#N/A</v>
      </c>
      <c r="CM239" s="107" t="e">
        <f>IF(G239="AUS",VLOOKUP(H239,$CU$5:$CW$23,2),IF(G239="NZ",VLOOKUP(H239,$CU$5:$CW$23,3),"error"))*AX239</f>
        <v>#N/A</v>
      </c>
      <c r="CN239" s="106" t="e">
        <f>IF(G239="AUS",VLOOKUP(H239,$CU$5:$CW$23,2),IF(G239="NZ",VLOOKUP(H239,$CU$5:$CW$23,3),"error"))*BK239</f>
        <v>#N/A</v>
      </c>
    </row>
    <row r="240" spans="1:92" s="108" customFormat="1" ht="259.5">
      <c r="A240" s="83" t="str">
        <f t="shared" si="29"/>
        <v>Tobacco</v>
      </c>
      <c r="B240" s="84" t="s">
        <v>170</v>
      </c>
      <c r="C240" s="85"/>
      <c r="D240" s="85"/>
      <c r="E240" s="85" t="s">
        <v>172</v>
      </c>
      <c r="F240" s="85" t="str">
        <f t="shared" si="32"/>
        <v xml:space="preserve">Tobacco; ; Prevention ; </v>
      </c>
      <c r="G240" s="85" t="s">
        <v>205</v>
      </c>
      <c r="H240" s="85">
        <v>2011</v>
      </c>
      <c r="I240" s="85" t="str">
        <f>CONCATENATE(A240,", ",G240,": ",J240)</f>
        <v>Tobacco, NZ: Tobacco-free generation (law change prohibiting tobacco sale and supply to individuals born from 1993 onwards)</v>
      </c>
      <c r="J240" s="87" t="s">
        <v>434</v>
      </c>
      <c r="K240" s="87"/>
      <c r="L240" s="87"/>
      <c r="M240" s="87"/>
      <c r="N240" s="87"/>
      <c r="O240" s="87"/>
      <c r="P240" s="85" t="s">
        <v>215</v>
      </c>
      <c r="Q240" s="85" t="str">
        <f>IF($P240="Main",J240,BX240)</f>
        <v>in non-Māori</v>
      </c>
      <c r="R240" s="85" t="str">
        <f>IF($P240="Main",CONCATENATE(J240,": ",G240),BY240)</f>
        <v>in non-Māori</v>
      </c>
      <c r="S240" s="85"/>
      <c r="T240" s="85"/>
      <c r="U240" s="85"/>
      <c r="V240" s="88"/>
      <c r="W240" s="88"/>
      <c r="X240" s="88"/>
      <c r="Y240" s="85"/>
      <c r="Z240" s="85"/>
      <c r="AA240" s="85"/>
      <c r="AB240" s="85"/>
      <c r="AC240" s="89">
        <v>0.03</v>
      </c>
      <c r="AD240" s="122"/>
      <c r="AE240" s="83"/>
      <c r="AF240" s="83"/>
      <c r="AG240" s="90">
        <v>41300</v>
      </c>
      <c r="AH240" s="90">
        <v>26700</v>
      </c>
      <c r="AI240" s="90">
        <v>61000</v>
      </c>
      <c r="AJ240" s="91">
        <v>3731070</v>
      </c>
      <c r="AK240" s="92">
        <f t="shared" si="33"/>
        <v>11.069210708992326</v>
      </c>
      <c r="AL240" s="92">
        <f>AH240/$AJ240*1000</f>
        <v>7.1561241145301482</v>
      </c>
      <c r="AM240" s="92">
        <f>AI240/$AJ240*1000</f>
        <v>16.349197415218693</v>
      </c>
      <c r="AN240" s="93"/>
      <c r="AO240" s="94">
        <v>1.11E-2</v>
      </c>
      <c r="AP240" s="94"/>
      <c r="AQ240" s="94"/>
      <c r="AR240" s="95">
        <v>-1194000000</v>
      </c>
      <c r="AS240" s="95">
        <v>-780000000</v>
      </c>
      <c r="AT240" s="95">
        <v>-1766000000</v>
      </c>
      <c r="AU240" s="95">
        <f t="shared" si="41"/>
        <v>-320015.43793067406</v>
      </c>
      <c r="AV240" s="95">
        <f>1000*AS240/$AJ240</f>
        <v>-209055.3112109931</v>
      </c>
      <c r="AW240" s="95">
        <f>1000*AT240/$AJ240</f>
        <v>-473322.666152069</v>
      </c>
      <c r="AX240" s="95">
        <v>-320</v>
      </c>
      <c r="AY240" s="95"/>
      <c r="AZ240" s="95"/>
      <c r="BA240" s="96"/>
      <c r="BB240" s="96"/>
      <c r="BC240" s="96"/>
      <c r="BD240" s="95"/>
      <c r="BE240" s="95"/>
      <c r="BF240" s="96"/>
      <c r="BG240" s="95"/>
      <c r="BH240" s="95"/>
      <c r="BI240" s="96"/>
      <c r="BJ240" s="97" t="s">
        <v>182</v>
      </c>
      <c r="BK240" s="98" t="str">
        <f t="shared" si="42"/>
        <v>Cost-saving</v>
      </c>
      <c r="BL240" s="98">
        <f t="shared" si="42"/>
        <v>0</v>
      </c>
      <c r="BM240" s="98">
        <f t="shared" si="42"/>
        <v>0</v>
      </c>
      <c r="BN240" s="99" t="s">
        <v>183</v>
      </c>
      <c r="BO240" s="100"/>
      <c r="BP240" s="100"/>
      <c r="BQ240" s="99" t="s">
        <v>183</v>
      </c>
      <c r="BR240" s="100"/>
      <c r="BS240" s="100"/>
      <c r="BT240" s="99" t="s">
        <v>183</v>
      </c>
      <c r="BU240" s="100"/>
      <c r="BV240" s="100"/>
      <c r="BW240" s="109" t="s">
        <v>211</v>
      </c>
      <c r="BX240" s="85" t="s">
        <v>228</v>
      </c>
      <c r="BY240" s="83" t="s">
        <v>228</v>
      </c>
      <c r="BZ240" s="102">
        <v>2018</v>
      </c>
      <c r="CA240" s="98"/>
      <c r="CB240" s="98"/>
      <c r="CC240" s="103">
        <f t="shared" si="36"/>
        <v>110</v>
      </c>
      <c r="CD240" s="98" t="s">
        <v>213</v>
      </c>
      <c r="CE240" s="98" t="s">
        <v>214</v>
      </c>
      <c r="CF240" s="98"/>
      <c r="CG240" s="105">
        <v>2</v>
      </c>
      <c r="CH240" s="105" t="str">
        <f>IF(CK240=0,"",IF(V240="Persistent",5,IF(V240="Once",1,IF(V240="One-off",1,"manual overwrite"))))</f>
        <v/>
      </c>
      <c r="CI240" s="105"/>
      <c r="CJ240" s="98">
        <f t="shared" si="30"/>
        <v>0</v>
      </c>
      <c r="CK240" s="98">
        <f>IF(CA240="C",0,IF(P240="Het",0,IF(SUM(AG240,AO240)=0,0,1)))</f>
        <v>0</v>
      </c>
      <c r="CL240" s="106" t="e">
        <f>IF(G240="AUS",VLOOKUP(H240,$CU$5:$CW$23,2),IF(G240="NZ",VLOOKUP(H240,$CU$5:$CW$23,3),"error"))*AU240</f>
        <v>#N/A</v>
      </c>
      <c r="CM240" s="107" t="e">
        <f>IF(G240="AUS",VLOOKUP(H240,$CU$5:$CW$23,2),IF(G240="NZ",VLOOKUP(H240,$CU$5:$CW$23,3),"error"))*AX240</f>
        <v>#N/A</v>
      </c>
      <c r="CN240" s="106" t="e">
        <f>IF(G240="AUS",VLOOKUP(H240,$CU$5:$CW$23,2),IF(G240="NZ",VLOOKUP(H240,$CU$5:$CW$23,3),"error"))*BK240</f>
        <v>#N/A</v>
      </c>
    </row>
    <row r="241" spans="1:92" s="108" customFormat="1" ht="259.5">
      <c r="A241" s="83" t="str">
        <f t="shared" si="29"/>
        <v>Tobacco</v>
      </c>
      <c r="B241" s="84" t="s">
        <v>170</v>
      </c>
      <c r="C241" s="85"/>
      <c r="D241" s="85"/>
      <c r="E241" s="85" t="s">
        <v>172</v>
      </c>
      <c r="F241" s="85" t="str">
        <f t="shared" si="32"/>
        <v xml:space="preserve">Tobacco; ; Prevention ; </v>
      </c>
      <c r="G241" s="85" t="s">
        <v>205</v>
      </c>
      <c r="H241" s="85">
        <v>2011</v>
      </c>
      <c r="I241" s="85" t="str">
        <f>CONCATENATE(A241,", ",G241,": ",J241)</f>
        <v>Tobacco, NZ: Tobacco-free generation (law change prohibiting tobacco sale and supply to individuals born from 1993 onwards)</v>
      </c>
      <c r="J241" s="87" t="s">
        <v>434</v>
      </c>
      <c r="K241" s="87"/>
      <c r="L241" s="87"/>
      <c r="M241" s="87"/>
      <c r="N241" s="87"/>
      <c r="O241" s="87"/>
      <c r="P241" s="85" t="s">
        <v>215</v>
      </c>
      <c r="Q241" s="85" t="str">
        <f>IF($P241="Main",J241,BX241)</f>
        <v xml:space="preserve">in non-Māori men </v>
      </c>
      <c r="R241" s="85" t="str">
        <f>IF($P241="Main",CONCATENATE(J241,": ",G241),BY241)</f>
        <v xml:space="preserve">in non-Māori men </v>
      </c>
      <c r="S241" s="85"/>
      <c r="T241" s="85"/>
      <c r="U241" s="85"/>
      <c r="V241" s="88"/>
      <c r="W241" s="88"/>
      <c r="X241" s="88"/>
      <c r="Y241" s="85"/>
      <c r="Z241" s="85"/>
      <c r="AA241" s="85"/>
      <c r="AB241" s="85"/>
      <c r="AC241" s="89">
        <v>0.03</v>
      </c>
      <c r="AD241" s="122"/>
      <c r="AE241" s="83"/>
      <c r="AF241" s="83"/>
      <c r="AG241" s="90">
        <v>22600</v>
      </c>
      <c r="AH241" s="90"/>
      <c r="AI241" s="90"/>
      <c r="AJ241" s="91">
        <v>1833710</v>
      </c>
      <c r="AK241" s="92">
        <f t="shared" si="33"/>
        <v>12.324740553304503</v>
      </c>
      <c r="AL241" s="92"/>
      <c r="AM241" s="92"/>
      <c r="AN241" s="93"/>
      <c r="AO241" s="94"/>
      <c r="AP241" s="94"/>
      <c r="AQ241" s="94"/>
      <c r="AR241" s="95">
        <v>-704000000</v>
      </c>
      <c r="AS241" s="95"/>
      <c r="AT241" s="95"/>
      <c r="AU241" s="95">
        <f t="shared" si="41"/>
        <v>-383921.12166045886</v>
      </c>
      <c r="AV241" s="95"/>
      <c r="AW241" s="95"/>
      <c r="AX241" s="95"/>
      <c r="AY241" s="95"/>
      <c r="AZ241" s="95"/>
      <c r="BA241" s="96"/>
      <c r="BB241" s="96"/>
      <c r="BC241" s="96"/>
      <c r="BD241" s="95"/>
      <c r="BE241" s="95"/>
      <c r="BF241" s="96"/>
      <c r="BG241" s="95"/>
      <c r="BH241" s="95"/>
      <c r="BI241" s="96"/>
      <c r="BJ241" s="97" t="s">
        <v>182</v>
      </c>
      <c r="BK241" s="98" t="str">
        <f t="shared" si="42"/>
        <v>Cost-saving</v>
      </c>
      <c r="BL241" s="98">
        <f t="shared" si="42"/>
        <v>0</v>
      </c>
      <c r="BM241" s="98">
        <f t="shared" si="42"/>
        <v>0</v>
      </c>
      <c r="BN241" s="99" t="s">
        <v>183</v>
      </c>
      <c r="BO241" s="100"/>
      <c r="BP241" s="100"/>
      <c r="BQ241" s="99" t="s">
        <v>183</v>
      </c>
      <c r="BR241" s="100"/>
      <c r="BS241" s="100"/>
      <c r="BT241" s="99" t="s">
        <v>183</v>
      </c>
      <c r="BU241" s="100"/>
      <c r="BV241" s="100"/>
      <c r="BW241" s="109" t="s">
        <v>211</v>
      </c>
      <c r="BX241" s="85" t="s">
        <v>229</v>
      </c>
      <c r="BY241" s="83" t="s">
        <v>229</v>
      </c>
      <c r="BZ241" s="102">
        <v>2018</v>
      </c>
      <c r="CA241" s="98"/>
      <c r="CB241" s="98"/>
      <c r="CC241" s="103">
        <f t="shared" si="36"/>
        <v>110</v>
      </c>
      <c r="CD241" s="98" t="s">
        <v>213</v>
      </c>
      <c r="CE241" s="98" t="s">
        <v>214</v>
      </c>
      <c r="CF241" s="98"/>
      <c r="CG241" s="105">
        <v>2</v>
      </c>
      <c r="CH241" s="105" t="str">
        <f>IF(CK241=0,"",IF(V241="Persistent",5,IF(V241="Once",1,IF(V241="One-off",1,"manual overwrite"))))</f>
        <v/>
      </c>
      <c r="CI241" s="105"/>
      <c r="CJ241" s="98">
        <f t="shared" si="30"/>
        <v>0</v>
      </c>
      <c r="CK241" s="98">
        <f>IF(CA241="C",0,IF(P241="Het",0,IF(SUM(AG241,AO241)=0,0,1)))</f>
        <v>0</v>
      </c>
      <c r="CL241" s="106" t="e">
        <f>IF(G241="AUS",VLOOKUP(H241,$CU$5:$CW$23,2),IF(G241="NZ",VLOOKUP(H241,$CU$5:$CW$23,3),"error"))*AU241</f>
        <v>#N/A</v>
      </c>
      <c r="CM241" s="107" t="e">
        <f>IF(G241="AUS",VLOOKUP(H241,$CU$5:$CW$23,2),IF(G241="NZ",VLOOKUP(H241,$CU$5:$CW$23,3),"error"))*AX241</f>
        <v>#N/A</v>
      </c>
      <c r="CN241" s="106" t="e">
        <f>IF(G241="AUS",VLOOKUP(H241,$CU$5:$CW$23,2),IF(G241="NZ",VLOOKUP(H241,$CU$5:$CW$23,3),"error"))*BK241</f>
        <v>#N/A</v>
      </c>
    </row>
    <row r="242" spans="1:92" s="108" customFormat="1" ht="259.5">
      <c r="A242" s="83" t="str">
        <f t="shared" si="29"/>
        <v>Tobacco</v>
      </c>
      <c r="B242" s="84" t="s">
        <v>170</v>
      </c>
      <c r="C242" s="85"/>
      <c r="D242" s="85"/>
      <c r="E242" s="85" t="s">
        <v>172</v>
      </c>
      <c r="F242" s="85" t="str">
        <f t="shared" si="32"/>
        <v xml:space="preserve">Tobacco; ; Prevention ; </v>
      </c>
      <c r="G242" s="85" t="s">
        <v>205</v>
      </c>
      <c r="H242" s="85">
        <v>2011</v>
      </c>
      <c r="I242" s="85" t="str">
        <f>CONCATENATE(A242,", ",G242,": ",J242)</f>
        <v>Tobacco, NZ: Tobacco-free generation (law change prohibiting tobacco sale and supply to individuals born from 1993 onwards)</v>
      </c>
      <c r="J242" s="87" t="s">
        <v>434</v>
      </c>
      <c r="K242" s="121">
        <v>0</v>
      </c>
      <c r="L242" s="121">
        <v>0</v>
      </c>
      <c r="M242" s="121">
        <v>7</v>
      </c>
      <c r="N242" s="87" t="s">
        <v>233</v>
      </c>
      <c r="O242" s="121">
        <v>0</v>
      </c>
      <c r="P242" s="85" t="s">
        <v>215</v>
      </c>
      <c r="Q242" s="85" t="str">
        <f>IF($P242="Main",J242,BX242)</f>
        <v xml:space="preserve">in non-Māori men age 0-14 yrs </v>
      </c>
      <c r="R242" s="85" t="str">
        <f>IF($P242="Main",CONCATENATE(J242,": ",G242),BY242)</f>
        <v xml:space="preserve">in non-Māori men age 0-14 yrs </v>
      </c>
      <c r="S242" s="85" t="s">
        <v>234</v>
      </c>
      <c r="T242" s="85" t="s">
        <v>235</v>
      </c>
      <c r="U242" s="85" t="s">
        <v>236</v>
      </c>
      <c r="V242" s="88"/>
      <c r="W242" s="88"/>
      <c r="X242" s="88" t="s">
        <v>199</v>
      </c>
      <c r="Y242" s="85"/>
      <c r="Z242" s="85"/>
      <c r="AA242" s="85"/>
      <c r="AB242" s="85"/>
      <c r="AC242" s="89">
        <v>0.03</v>
      </c>
      <c r="AD242" s="122"/>
      <c r="AE242" s="83"/>
      <c r="AF242" s="83"/>
      <c r="AG242" s="90">
        <v>13800</v>
      </c>
      <c r="AH242" s="90"/>
      <c r="AI242" s="90"/>
      <c r="AJ242" s="91">
        <v>340140</v>
      </c>
      <c r="AK242" s="92">
        <f t="shared" si="33"/>
        <v>40.571529370259306</v>
      </c>
      <c r="AL242" s="92"/>
      <c r="AM242" s="92"/>
      <c r="AN242" s="93"/>
      <c r="AO242" s="94"/>
      <c r="AP242" s="94"/>
      <c r="AQ242" s="94"/>
      <c r="AR242" s="95">
        <v>-434000000</v>
      </c>
      <c r="AS242" s="95"/>
      <c r="AT242" s="95"/>
      <c r="AU242" s="95">
        <f t="shared" si="41"/>
        <v>-1275945.1990356911</v>
      </c>
      <c r="AV242" s="95"/>
      <c r="AW242" s="95"/>
      <c r="AX242" s="95"/>
      <c r="AY242" s="95"/>
      <c r="AZ242" s="95"/>
      <c r="BA242" s="96"/>
      <c r="BB242" s="96"/>
      <c r="BC242" s="96"/>
      <c r="BD242" s="95"/>
      <c r="BE242" s="95"/>
      <c r="BF242" s="96"/>
      <c r="BG242" s="95"/>
      <c r="BH242" s="95"/>
      <c r="BI242" s="96"/>
      <c r="BJ242" s="97" t="s">
        <v>182</v>
      </c>
      <c r="BK242" s="98" t="str">
        <f t="shared" si="42"/>
        <v>Cost-saving</v>
      </c>
      <c r="BL242" s="98">
        <f t="shared" si="42"/>
        <v>0</v>
      </c>
      <c r="BM242" s="98">
        <f t="shared" si="42"/>
        <v>0</v>
      </c>
      <c r="BN242" s="99" t="s">
        <v>183</v>
      </c>
      <c r="BO242" s="100"/>
      <c r="BP242" s="100"/>
      <c r="BQ242" s="99" t="s">
        <v>183</v>
      </c>
      <c r="BR242" s="100"/>
      <c r="BS242" s="100"/>
      <c r="BT242" s="99" t="s">
        <v>183</v>
      </c>
      <c r="BU242" s="100"/>
      <c r="BV242" s="100"/>
      <c r="BW242" s="109" t="s">
        <v>211</v>
      </c>
      <c r="BX242" s="85" t="s">
        <v>387</v>
      </c>
      <c r="BY242" s="83" t="s">
        <v>387</v>
      </c>
      <c r="BZ242" s="102">
        <v>2018</v>
      </c>
      <c r="CA242" s="98"/>
      <c r="CB242" s="98"/>
      <c r="CC242" s="103">
        <f t="shared" si="36"/>
        <v>110</v>
      </c>
      <c r="CD242" s="98" t="s">
        <v>213</v>
      </c>
      <c r="CE242" s="98" t="s">
        <v>214</v>
      </c>
      <c r="CF242" s="98"/>
      <c r="CG242" s="105">
        <v>2</v>
      </c>
      <c r="CH242" s="105" t="str">
        <f>IF(CK242=0,"",IF(V242="Persistent",5,IF(V242="Once",1,IF(V242="One-off",1,"manual overwrite"))))</f>
        <v/>
      </c>
      <c r="CI242" s="105"/>
      <c r="CJ242" s="98">
        <f t="shared" si="30"/>
        <v>0</v>
      </c>
      <c r="CK242" s="98">
        <f>IF(CA242="C",0,IF(P242="Het",0,IF(SUM(AG242,AO242)=0,0,1)))</f>
        <v>0</v>
      </c>
      <c r="CL242" s="106" t="e">
        <f>IF(G242="AUS",VLOOKUP(H242,$CU$5:$CW$23,2),IF(G242="NZ",VLOOKUP(H242,$CU$5:$CW$23,3),"error"))*AU242</f>
        <v>#N/A</v>
      </c>
      <c r="CM242" s="107" t="e">
        <f>IF(G242="AUS",VLOOKUP(H242,$CU$5:$CW$23,2),IF(G242="NZ",VLOOKUP(H242,$CU$5:$CW$23,3),"error"))*AX242</f>
        <v>#N/A</v>
      </c>
      <c r="CN242" s="106" t="e">
        <f>IF(G242="AUS",VLOOKUP(H242,$CU$5:$CW$23,2),IF(G242="NZ",VLOOKUP(H242,$CU$5:$CW$23,3),"error"))*BK242</f>
        <v>#N/A</v>
      </c>
    </row>
    <row r="243" spans="1:92" s="108" customFormat="1" ht="259.5">
      <c r="A243" s="83" t="str">
        <f t="shared" si="29"/>
        <v>Tobacco</v>
      </c>
      <c r="B243" s="84" t="s">
        <v>170</v>
      </c>
      <c r="C243" s="85"/>
      <c r="D243" s="85"/>
      <c r="E243" s="85" t="s">
        <v>172</v>
      </c>
      <c r="F243" s="85" t="str">
        <f t="shared" si="32"/>
        <v xml:space="preserve">Tobacco; ; Prevention ; </v>
      </c>
      <c r="G243" s="85" t="s">
        <v>205</v>
      </c>
      <c r="H243" s="85">
        <v>2011</v>
      </c>
      <c r="I243" s="85" t="str">
        <f>CONCATENATE(A243,", ",G243,": ",J243)</f>
        <v>Tobacco, NZ: Tobacco-free generation (law change prohibiting tobacco sale and supply to individuals born from 1993 onwards)</v>
      </c>
      <c r="J243" s="87" t="s">
        <v>434</v>
      </c>
      <c r="K243" s="87" t="s">
        <v>233</v>
      </c>
      <c r="L243" s="87" t="s">
        <v>233</v>
      </c>
      <c r="M243" s="87" t="s">
        <v>232</v>
      </c>
      <c r="N243" s="87" t="s">
        <v>233</v>
      </c>
      <c r="O243" s="87" t="s">
        <v>233</v>
      </c>
      <c r="P243" s="85" t="s">
        <v>215</v>
      </c>
      <c r="Q243" s="85" t="str">
        <f>IF($P243="Main",J243,BX243)</f>
        <v>in non-Māori men age 15-24 yrs</v>
      </c>
      <c r="R243" s="85" t="str">
        <f>IF($P243="Main",CONCATENATE(J243,": ",G243),BY243)</f>
        <v>in non-Māori men age 15-24 yrs</v>
      </c>
      <c r="S243" s="85" t="s">
        <v>239</v>
      </c>
      <c r="T243" s="85" t="s">
        <v>235</v>
      </c>
      <c r="U243" s="85" t="s">
        <v>236</v>
      </c>
      <c r="V243" s="88"/>
      <c r="W243" s="88"/>
      <c r="X243" s="88" t="s">
        <v>199</v>
      </c>
      <c r="Y243" s="85"/>
      <c r="Z243" s="85"/>
      <c r="AA243" s="85"/>
      <c r="AB243" s="85"/>
      <c r="AC243" s="89">
        <v>0.03</v>
      </c>
      <c r="AD243" s="122"/>
      <c r="AE243" s="83"/>
      <c r="AF243" s="83"/>
      <c r="AG243" s="90">
        <v>8800</v>
      </c>
      <c r="AH243" s="90"/>
      <c r="AI243" s="90"/>
      <c r="AJ243" s="91">
        <v>266130</v>
      </c>
      <c r="AK243" s="92">
        <f t="shared" si="33"/>
        <v>33.066546424679672</v>
      </c>
      <c r="AL243" s="92"/>
      <c r="AM243" s="92"/>
      <c r="AN243" s="93"/>
      <c r="AO243" s="94"/>
      <c r="AP243" s="94"/>
      <c r="AQ243" s="94"/>
      <c r="AR243" s="95">
        <v>-270000000</v>
      </c>
      <c r="AS243" s="95"/>
      <c r="AT243" s="95"/>
      <c r="AU243" s="95">
        <f t="shared" si="41"/>
        <v>-1014541.7653026716</v>
      </c>
      <c r="AV243" s="95"/>
      <c r="AW243" s="95"/>
      <c r="AX243" s="95"/>
      <c r="AY243" s="95"/>
      <c r="AZ243" s="95"/>
      <c r="BA243" s="96"/>
      <c r="BB243" s="96"/>
      <c r="BC243" s="96"/>
      <c r="BD243" s="95"/>
      <c r="BE243" s="95"/>
      <c r="BF243" s="96"/>
      <c r="BG243" s="95"/>
      <c r="BH243" s="95"/>
      <c r="BI243" s="96"/>
      <c r="BJ243" s="97" t="s">
        <v>182</v>
      </c>
      <c r="BK243" s="98" t="str">
        <f t="shared" si="42"/>
        <v>Cost-saving</v>
      </c>
      <c r="BL243" s="98">
        <f t="shared" si="42"/>
        <v>0</v>
      </c>
      <c r="BM243" s="98">
        <f t="shared" si="42"/>
        <v>0</v>
      </c>
      <c r="BN243" s="99" t="s">
        <v>183</v>
      </c>
      <c r="BO243" s="100"/>
      <c r="BP243" s="100"/>
      <c r="BQ243" s="99" t="s">
        <v>183</v>
      </c>
      <c r="BR243" s="100"/>
      <c r="BS243" s="100"/>
      <c r="BT243" s="99" t="s">
        <v>183</v>
      </c>
      <c r="BU243" s="100"/>
      <c r="BV243" s="100"/>
      <c r="BW243" s="109" t="s">
        <v>211</v>
      </c>
      <c r="BX243" s="85" t="s">
        <v>240</v>
      </c>
      <c r="BY243" s="83" t="s">
        <v>240</v>
      </c>
      <c r="BZ243" s="102">
        <v>2018</v>
      </c>
      <c r="CA243" s="98"/>
      <c r="CB243" s="98"/>
      <c r="CC243" s="103">
        <f t="shared" si="36"/>
        <v>110</v>
      </c>
      <c r="CD243" s="98" t="s">
        <v>213</v>
      </c>
      <c r="CE243" s="98" t="s">
        <v>214</v>
      </c>
      <c r="CF243" s="98"/>
      <c r="CG243" s="105">
        <v>2</v>
      </c>
      <c r="CH243" s="105" t="str">
        <f>IF(CK243=0,"",IF(V243="Persistent",5,IF(V243="Once",1,IF(V243="One-off",1,"manual overwrite"))))</f>
        <v/>
      </c>
      <c r="CI243" s="105"/>
      <c r="CJ243" s="98">
        <f t="shared" si="30"/>
        <v>0</v>
      </c>
      <c r="CK243" s="98">
        <f>IF(CA243="C",0,IF(P243="Het",0,IF(SUM(AG243,AO243)=0,0,1)))</f>
        <v>0</v>
      </c>
      <c r="CL243" s="106" t="e">
        <f>IF(G243="AUS",VLOOKUP(H243,$CU$5:$CW$23,2),IF(G243="NZ",VLOOKUP(H243,$CU$5:$CW$23,3),"error"))*AU243</f>
        <v>#N/A</v>
      </c>
      <c r="CM243" s="107" t="e">
        <f>IF(G243="AUS",VLOOKUP(H243,$CU$5:$CW$23,2),IF(G243="NZ",VLOOKUP(H243,$CU$5:$CW$23,3),"error"))*AX243</f>
        <v>#N/A</v>
      </c>
      <c r="CN243" s="106" t="e">
        <f>IF(G243="AUS",VLOOKUP(H243,$CU$5:$CW$23,2),IF(G243="NZ",VLOOKUP(H243,$CU$5:$CW$23,3),"error"))*BK243</f>
        <v>#N/A</v>
      </c>
    </row>
    <row r="244" spans="1:92" s="108" customFormat="1" ht="259.5" hidden="1">
      <c r="A244" s="83" t="str">
        <f t="shared" si="29"/>
        <v>Tobacco</v>
      </c>
      <c r="B244" s="84" t="s">
        <v>170</v>
      </c>
      <c r="C244" s="85"/>
      <c r="D244" s="85"/>
      <c r="E244" s="85" t="s">
        <v>172</v>
      </c>
      <c r="F244" s="85" t="str">
        <f t="shared" si="32"/>
        <v xml:space="preserve">Tobacco; ; Prevention ; </v>
      </c>
      <c r="G244" s="85" t="s">
        <v>205</v>
      </c>
      <c r="H244" s="85">
        <v>2011</v>
      </c>
      <c r="I244" s="85" t="str">
        <f>CONCATENATE(A244,", ",G244,": ",J244)</f>
        <v>Tobacco, NZ: Tobacco-free generation (law change prohibiting tobacco sale and supply to individuals born from 1993 onwards)</v>
      </c>
      <c r="J244" s="87" t="s">
        <v>434</v>
      </c>
      <c r="K244" s="87"/>
      <c r="L244" s="87"/>
      <c r="M244" s="87"/>
      <c r="N244" s="87"/>
      <c r="O244" s="87"/>
      <c r="P244" s="85" t="s">
        <v>215</v>
      </c>
      <c r="Q244" s="85" t="str">
        <f>IF($P244="Main",J244,BX244)</f>
        <v xml:space="preserve">in non-Māori women </v>
      </c>
      <c r="R244" s="85" t="str">
        <f>IF($P244="Main",CONCATENATE(J244,": ",G244),BY244)</f>
        <v xml:space="preserve">in non-Māori women </v>
      </c>
      <c r="S244" s="85"/>
      <c r="T244" s="85"/>
      <c r="U244" s="85"/>
      <c r="V244" s="88"/>
      <c r="W244" s="88"/>
      <c r="X244" s="88" t="s">
        <v>199</v>
      </c>
      <c r="Y244" s="85"/>
      <c r="Z244" s="85"/>
      <c r="AA244" s="85"/>
      <c r="AB244" s="85"/>
      <c r="AC244" s="89">
        <v>0.03</v>
      </c>
      <c r="AD244" s="122"/>
      <c r="AE244" s="83"/>
      <c r="AF244" s="83"/>
      <c r="AG244" s="90">
        <v>18700</v>
      </c>
      <c r="AH244" s="90"/>
      <c r="AI244" s="90"/>
      <c r="AJ244" s="91">
        <v>1897360</v>
      </c>
      <c r="AK244" s="92">
        <f t="shared" si="33"/>
        <v>9.8557996373909003</v>
      </c>
      <c r="AL244" s="92"/>
      <c r="AM244" s="92"/>
      <c r="AN244" s="93"/>
      <c r="AO244" s="94"/>
      <c r="AP244" s="94"/>
      <c r="AQ244" s="94"/>
      <c r="AR244" s="95">
        <v>-490000000</v>
      </c>
      <c r="AS244" s="95"/>
      <c r="AT244" s="95"/>
      <c r="AU244" s="95">
        <f t="shared" si="41"/>
        <v>-258253.5733861787</v>
      </c>
      <c r="AV244" s="95"/>
      <c r="AW244" s="95"/>
      <c r="AX244" s="95"/>
      <c r="AY244" s="95"/>
      <c r="AZ244" s="95"/>
      <c r="BA244" s="96"/>
      <c r="BB244" s="96"/>
      <c r="BC244" s="96"/>
      <c r="BD244" s="95"/>
      <c r="BE244" s="95"/>
      <c r="BF244" s="96"/>
      <c r="BG244" s="95"/>
      <c r="BH244" s="95"/>
      <c r="BI244" s="96"/>
      <c r="BJ244" s="97" t="s">
        <v>182</v>
      </c>
      <c r="BK244" s="98" t="str">
        <f t="shared" si="42"/>
        <v>Cost-saving</v>
      </c>
      <c r="BL244" s="98">
        <f t="shared" si="42"/>
        <v>0</v>
      </c>
      <c r="BM244" s="98">
        <f t="shared" si="42"/>
        <v>0</v>
      </c>
      <c r="BN244" s="99" t="s">
        <v>183</v>
      </c>
      <c r="BO244" s="100"/>
      <c r="BP244" s="100"/>
      <c r="BQ244" s="99" t="s">
        <v>183</v>
      </c>
      <c r="BR244" s="100"/>
      <c r="BS244" s="100"/>
      <c r="BT244" s="99" t="s">
        <v>183</v>
      </c>
      <c r="BU244" s="100"/>
      <c r="BV244" s="100"/>
      <c r="BW244" s="109" t="s">
        <v>211</v>
      </c>
      <c r="BX244" s="85" t="s">
        <v>320</v>
      </c>
      <c r="BY244" s="83" t="s">
        <v>320</v>
      </c>
      <c r="BZ244" s="102">
        <v>2018</v>
      </c>
      <c r="CA244" s="98"/>
      <c r="CB244" s="98"/>
      <c r="CC244" s="103">
        <f t="shared" si="36"/>
        <v>110</v>
      </c>
      <c r="CD244" s="98" t="s">
        <v>213</v>
      </c>
      <c r="CE244" s="98" t="s">
        <v>214</v>
      </c>
      <c r="CF244" s="98"/>
      <c r="CG244" s="105">
        <v>2</v>
      </c>
      <c r="CH244" s="105" t="str">
        <f>IF(CK244=0,"",IF(V244="Persistent",5,IF(V244="Once",1,IF(V244="One-off",1,"manual overwrite"))))</f>
        <v/>
      </c>
      <c r="CI244" s="105"/>
      <c r="CJ244" s="98">
        <f t="shared" si="30"/>
        <v>0</v>
      </c>
      <c r="CK244" s="98">
        <f>IF(CA244="C",0,IF(P244="Het",0,IF(SUM(AG244,AO244)=0,0,1)))</f>
        <v>0</v>
      </c>
      <c r="CL244" s="106" t="e">
        <f>IF(G244="AUS",VLOOKUP(H244,$CU$5:$CW$23,2),IF(G244="NZ",VLOOKUP(H244,$CU$5:$CW$23,3),"error"))*AU244</f>
        <v>#N/A</v>
      </c>
      <c r="CM244" s="107" t="e">
        <f>IF(G244="AUS",VLOOKUP(H244,$CU$5:$CW$23,2),IF(G244="NZ",VLOOKUP(H244,$CU$5:$CW$23,3),"error"))*AX244</f>
        <v>#N/A</v>
      </c>
      <c r="CN244" s="106" t="e">
        <f>IF(G244="AUS",VLOOKUP(H244,$CU$5:$CW$23,2),IF(G244="NZ",VLOOKUP(H244,$CU$5:$CW$23,3),"error"))*BK244</f>
        <v>#N/A</v>
      </c>
    </row>
    <row r="245" spans="1:92" s="108" customFormat="1" ht="259.5">
      <c r="A245" s="83" t="str">
        <f t="shared" si="29"/>
        <v>Tobacco</v>
      </c>
      <c r="B245" s="84" t="s">
        <v>170</v>
      </c>
      <c r="C245" s="85"/>
      <c r="D245" s="85"/>
      <c r="E245" s="85" t="s">
        <v>172</v>
      </c>
      <c r="F245" s="85" t="str">
        <f t="shared" si="32"/>
        <v xml:space="preserve">Tobacco; ; Prevention ; </v>
      </c>
      <c r="G245" s="85" t="s">
        <v>205</v>
      </c>
      <c r="H245" s="85">
        <v>2011</v>
      </c>
      <c r="I245" s="85" t="str">
        <f>CONCATENATE(A245,", ",G245,": ",J245)</f>
        <v>Tobacco, NZ: Tobacco-free generation (law change prohibiting tobacco sale and supply to individuals born from 1993 onwards)</v>
      </c>
      <c r="J245" s="87" t="s">
        <v>434</v>
      </c>
      <c r="K245" s="87" t="s">
        <v>233</v>
      </c>
      <c r="L245" s="87" t="s">
        <v>233</v>
      </c>
      <c r="M245" s="87" t="s">
        <v>232</v>
      </c>
      <c r="N245" s="87" t="s">
        <v>233</v>
      </c>
      <c r="O245" s="87" t="s">
        <v>233</v>
      </c>
      <c r="P245" s="85" t="s">
        <v>215</v>
      </c>
      <c r="Q245" s="85" t="str">
        <f>IF($P245="Main",J245,BX245)</f>
        <v xml:space="preserve">in non-Māori women age 0-14 yrs </v>
      </c>
      <c r="R245" s="85" t="str">
        <f>IF($P245="Main",CONCATENATE(J245,": ",G245),BY245)</f>
        <v xml:space="preserve">in non-Māori women age 0-14 yrs </v>
      </c>
      <c r="S245" s="85" t="s">
        <v>234</v>
      </c>
      <c r="T245" s="85" t="s">
        <v>250</v>
      </c>
      <c r="U245" s="85" t="s">
        <v>236</v>
      </c>
      <c r="V245" s="88"/>
      <c r="W245" s="88"/>
      <c r="X245" s="88" t="s">
        <v>199</v>
      </c>
      <c r="Y245" s="85"/>
      <c r="Z245" s="85"/>
      <c r="AA245" s="85"/>
      <c r="AB245" s="85"/>
      <c r="AC245" s="89">
        <v>0.03</v>
      </c>
      <c r="AD245" s="122"/>
      <c r="AE245" s="83"/>
      <c r="AF245" s="83"/>
      <c r="AG245" s="90">
        <v>11700</v>
      </c>
      <c r="AH245" s="90"/>
      <c r="AI245" s="90"/>
      <c r="AJ245" s="91">
        <v>323780</v>
      </c>
      <c r="AK245" s="92">
        <f t="shared" si="33"/>
        <v>36.135647661992714</v>
      </c>
      <c r="AL245" s="92"/>
      <c r="AM245" s="92"/>
      <c r="AN245" s="93"/>
      <c r="AO245" s="94"/>
      <c r="AP245" s="94"/>
      <c r="AQ245" s="94"/>
      <c r="AR245" s="95">
        <v>-307000000</v>
      </c>
      <c r="AS245" s="95"/>
      <c r="AT245" s="95"/>
      <c r="AU245" s="95">
        <f t="shared" si="41"/>
        <v>-948174.68651553523</v>
      </c>
      <c r="AV245" s="95"/>
      <c r="AW245" s="95"/>
      <c r="AX245" s="95"/>
      <c r="AY245" s="95"/>
      <c r="AZ245" s="95"/>
      <c r="BA245" s="96"/>
      <c r="BB245" s="96"/>
      <c r="BC245" s="96"/>
      <c r="BD245" s="95"/>
      <c r="BE245" s="95"/>
      <c r="BF245" s="96"/>
      <c r="BG245" s="95"/>
      <c r="BH245" s="95"/>
      <c r="BI245" s="96"/>
      <c r="BJ245" s="97" t="s">
        <v>182</v>
      </c>
      <c r="BK245" s="98" t="str">
        <f t="shared" si="42"/>
        <v>Cost-saving</v>
      </c>
      <c r="BL245" s="98">
        <f t="shared" si="42"/>
        <v>0</v>
      </c>
      <c r="BM245" s="98">
        <f t="shared" si="42"/>
        <v>0</v>
      </c>
      <c r="BN245" s="99" t="s">
        <v>183</v>
      </c>
      <c r="BO245" s="100"/>
      <c r="BP245" s="100"/>
      <c r="BQ245" s="99" t="s">
        <v>183</v>
      </c>
      <c r="BR245" s="100"/>
      <c r="BS245" s="100"/>
      <c r="BT245" s="99" t="s">
        <v>183</v>
      </c>
      <c r="BU245" s="100"/>
      <c r="BV245" s="100"/>
      <c r="BW245" s="109" t="s">
        <v>211</v>
      </c>
      <c r="BX245" s="85" t="s">
        <v>389</v>
      </c>
      <c r="BY245" s="83" t="s">
        <v>389</v>
      </c>
      <c r="BZ245" s="102">
        <v>2018</v>
      </c>
      <c r="CA245" s="98"/>
      <c r="CB245" s="98"/>
      <c r="CC245" s="103">
        <f t="shared" si="36"/>
        <v>110</v>
      </c>
      <c r="CD245" s="98" t="s">
        <v>213</v>
      </c>
      <c r="CE245" s="98" t="s">
        <v>214</v>
      </c>
      <c r="CF245" s="98"/>
      <c r="CG245" s="105">
        <v>2</v>
      </c>
      <c r="CH245" s="105" t="str">
        <f>IF(CK245=0,"",IF(V245="Persistent",5,IF(V245="Once",1,IF(V245="One-off",1,"manual overwrite"))))</f>
        <v/>
      </c>
      <c r="CI245" s="105"/>
      <c r="CJ245" s="98">
        <f t="shared" si="30"/>
        <v>0</v>
      </c>
      <c r="CK245" s="98">
        <f>IF(CA245="C",0,IF(P245="Het",0,IF(SUM(AG245,AO245)=0,0,1)))</f>
        <v>0</v>
      </c>
      <c r="CL245" s="106" t="e">
        <f>IF(G245="AUS",VLOOKUP(H245,$CU$5:$CW$23,2),IF(G245="NZ",VLOOKUP(H245,$CU$5:$CW$23,3),"error"))*AU245</f>
        <v>#N/A</v>
      </c>
      <c r="CM245" s="107" t="e">
        <f>IF(G245="AUS",VLOOKUP(H245,$CU$5:$CW$23,2),IF(G245="NZ",VLOOKUP(H245,$CU$5:$CW$23,3),"error"))*AX245</f>
        <v>#N/A</v>
      </c>
      <c r="CN245" s="106" t="e">
        <f>IF(G245="AUS",VLOOKUP(H245,$CU$5:$CW$23,2),IF(G245="NZ",VLOOKUP(H245,$CU$5:$CW$23,3),"error"))*BK245</f>
        <v>#N/A</v>
      </c>
    </row>
    <row r="246" spans="1:92" s="108" customFormat="1" ht="259.5">
      <c r="A246" s="83" t="str">
        <f t="shared" si="29"/>
        <v>Tobacco</v>
      </c>
      <c r="B246" s="84" t="s">
        <v>170</v>
      </c>
      <c r="C246" s="85"/>
      <c r="D246" s="85"/>
      <c r="E246" s="85" t="s">
        <v>172</v>
      </c>
      <c r="F246" s="85" t="str">
        <f t="shared" si="32"/>
        <v xml:space="preserve">Tobacco; ; Prevention ; </v>
      </c>
      <c r="G246" s="85" t="s">
        <v>205</v>
      </c>
      <c r="H246" s="85">
        <v>2011</v>
      </c>
      <c r="I246" s="85" t="str">
        <f>CONCATENATE(A246,", ",G246,": ",J246)</f>
        <v>Tobacco, NZ: Tobacco-free generation (law change prohibiting tobacco sale and supply to individuals born from 1993 onwards)</v>
      </c>
      <c r="J246" s="87" t="s">
        <v>434</v>
      </c>
      <c r="K246" s="87" t="s">
        <v>233</v>
      </c>
      <c r="L246" s="87" t="s">
        <v>233</v>
      </c>
      <c r="M246" s="87" t="s">
        <v>232</v>
      </c>
      <c r="N246" s="87" t="s">
        <v>233</v>
      </c>
      <c r="O246" s="87" t="s">
        <v>233</v>
      </c>
      <c r="P246" s="85" t="s">
        <v>215</v>
      </c>
      <c r="Q246" s="85" t="str">
        <f>IF($P246="Main",J246,BX246)</f>
        <v>in non-Māori women age 15-24 yrs</v>
      </c>
      <c r="R246" s="85" t="str">
        <f>IF($P246="Main",CONCATENATE(J246,": ",G246),BY246)</f>
        <v>in non-Māori women age 15-24 yrs</v>
      </c>
      <c r="S246" s="85" t="s">
        <v>239</v>
      </c>
      <c r="T246" s="85" t="s">
        <v>250</v>
      </c>
      <c r="U246" s="85" t="s">
        <v>236</v>
      </c>
      <c r="V246" s="88"/>
      <c r="W246" s="88"/>
      <c r="X246" s="88" t="s">
        <v>199</v>
      </c>
      <c r="Y246" s="85"/>
      <c r="Z246" s="85"/>
      <c r="AA246" s="85"/>
      <c r="AB246" s="85"/>
      <c r="AC246" s="89">
        <v>0.03</v>
      </c>
      <c r="AD246" s="122"/>
      <c r="AE246" s="83"/>
      <c r="AF246" s="83"/>
      <c r="AG246" s="90">
        <v>7000</v>
      </c>
      <c r="AH246" s="90"/>
      <c r="AI246" s="90"/>
      <c r="AJ246" s="91">
        <v>248800</v>
      </c>
      <c r="AK246" s="92">
        <f t="shared" si="33"/>
        <v>28.135048231511252</v>
      </c>
      <c r="AL246" s="92"/>
      <c r="AM246" s="92"/>
      <c r="AN246" s="93"/>
      <c r="AO246" s="94"/>
      <c r="AP246" s="94"/>
      <c r="AQ246" s="94"/>
      <c r="AR246" s="95">
        <v>-183000000</v>
      </c>
      <c r="AS246" s="95"/>
      <c r="AT246" s="95"/>
      <c r="AU246" s="95">
        <f t="shared" si="41"/>
        <v>-735530.54662379425</v>
      </c>
      <c r="AV246" s="95"/>
      <c r="AW246" s="95"/>
      <c r="AX246" s="95"/>
      <c r="AY246" s="95"/>
      <c r="AZ246" s="95"/>
      <c r="BA246" s="96"/>
      <c r="BB246" s="96"/>
      <c r="BC246" s="96"/>
      <c r="BD246" s="95"/>
      <c r="BE246" s="95"/>
      <c r="BF246" s="96"/>
      <c r="BG246" s="95"/>
      <c r="BH246" s="95"/>
      <c r="BI246" s="96"/>
      <c r="BJ246" s="97" t="s">
        <v>182</v>
      </c>
      <c r="BK246" s="98" t="str">
        <f t="shared" si="42"/>
        <v>Cost-saving</v>
      </c>
      <c r="BL246" s="98">
        <f t="shared" si="42"/>
        <v>0</v>
      </c>
      <c r="BM246" s="98">
        <f t="shared" si="42"/>
        <v>0</v>
      </c>
      <c r="BN246" s="99" t="s">
        <v>183</v>
      </c>
      <c r="BO246" s="100"/>
      <c r="BP246" s="100"/>
      <c r="BQ246" s="99" t="s">
        <v>183</v>
      </c>
      <c r="BR246" s="100"/>
      <c r="BS246" s="100"/>
      <c r="BT246" s="99" t="s">
        <v>183</v>
      </c>
      <c r="BU246" s="100"/>
      <c r="BV246" s="100"/>
      <c r="BW246" s="109" t="s">
        <v>211</v>
      </c>
      <c r="BX246" s="85" t="s">
        <v>252</v>
      </c>
      <c r="BY246" s="83" t="s">
        <v>252</v>
      </c>
      <c r="BZ246" s="102">
        <v>2018</v>
      </c>
      <c r="CA246" s="98"/>
      <c r="CB246" s="98"/>
      <c r="CC246" s="103">
        <f t="shared" si="36"/>
        <v>110</v>
      </c>
      <c r="CD246" s="98" t="s">
        <v>213</v>
      </c>
      <c r="CE246" s="98" t="s">
        <v>214</v>
      </c>
      <c r="CF246" s="98"/>
      <c r="CG246" s="105">
        <v>2</v>
      </c>
      <c r="CH246" s="105" t="str">
        <f>IF(CK246=0,"",IF(V246="Persistent",5,IF(V246="Once",1,IF(V246="One-off",1,"manual overwrite"))))</f>
        <v/>
      </c>
      <c r="CI246" s="105"/>
      <c r="CJ246" s="98">
        <f t="shared" si="30"/>
        <v>0</v>
      </c>
      <c r="CK246" s="98">
        <f>IF(CA246="C",0,IF(P246="Het",0,IF(SUM(AG246,AO246)=0,0,1)))</f>
        <v>0</v>
      </c>
      <c r="CL246" s="106" t="e">
        <f>IF(G246="AUS",VLOOKUP(H246,$CU$5:$CW$23,2),IF(G246="NZ",VLOOKUP(H246,$CU$5:$CW$23,3),"error"))*AU246</f>
        <v>#N/A</v>
      </c>
      <c r="CM246" s="107" t="e">
        <f>IF(G246="AUS",VLOOKUP(H246,$CU$5:$CW$23,2),IF(G246="NZ",VLOOKUP(H246,$CU$5:$CW$23,3),"error"))*AX246</f>
        <v>#N/A</v>
      </c>
      <c r="CN246" s="106" t="e">
        <f>IF(G246="AUS",VLOOKUP(H246,$CU$5:$CW$23,2),IF(G246="NZ",VLOOKUP(H246,$CU$5:$CW$23,3),"error"))*BK246</f>
        <v>#N/A</v>
      </c>
    </row>
    <row r="247" spans="1:92" s="108" customFormat="1" ht="259.5" hidden="1">
      <c r="A247" s="83" t="str">
        <f t="shared" si="29"/>
        <v>Tobacco</v>
      </c>
      <c r="B247" s="84" t="s">
        <v>170</v>
      </c>
      <c r="C247" s="85"/>
      <c r="D247" s="85"/>
      <c r="E247" s="85" t="s">
        <v>172</v>
      </c>
      <c r="F247" s="85" t="str">
        <f t="shared" si="32"/>
        <v xml:space="preserve">Tobacco; ; Prevention ; </v>
      </c>
      <c r="G247" s="85" t="s">
        <v>205</v>
      </c>
      <c r="H247" s="85">
        <v>2011</v>
      </c>
      <c r="I247" s="85" t="str">
        <f>CONCATENATE(A247,", ",G247,": ",J247)</f>
        <v>Tobacco, NZ: Tobacco-free generation (law change prohibiting tobacco sale and supply to individuals born from 1993 onwards)</v>
      </c>
      <c r="J247" s="87" t="s">
        <v>434</v>
      </c>
      <c r="K247" s="87"/>
      <c r="L247" s="87"/>
      <c r="M247" s="87"/>
      <c r="N247" s="87"/>
      <c r="O247" s="87"/>
      <c r="P247" s="85" t="s">
        <v>215</v>
      </c>
      <c r="Q247" s="85" t="str">
        <f>IF($P247="Main",J247,BX247)</f>
        <v>in Māori</v>
      </c>
      <c r="R247" s="85" t="str">
        <f>IF($P247="Main",CONCATENATE(J247,": ",G247),BY247)</f>
        <v>in Māori</v>
      </c>
      <c r="S247" s="85"/>
      <c r="T247" s="85"/>
      <c r="U247" s="85"/>
      <c r="V247" s="88"/>
      <c r="W247" s="88"/>
      <c r="X247" s="88"/>
      <c r="Y247" s="85"/>
      <c r="Z247" s="85"/>
      <c r="AA247" s="85"/>
      <c r="AB247" s="85"/>
      <c r="AC247" s="89">
        <v>0.03</v>
      </c>
      <c r="AD247" s="122"/>
      <c r="AE247" s="83"/>
      <c r="AF247" s="83"/>
      <c r="AG247" s="90">
        <v>42000</v>
      </c>
      <c r="AH247" s="90">
        <v>28900</v>
      </c>
      <c r="AI247" s="90">
        <v>58000</v>
      </c>
      <c r="AJ247" s="91">
        <v>674200</v>
      </c>
      <c r="AK247" s="92">
        <f t="shared" si="33"/>
        <v>62.296054583209724</v>
      </c>
      <c r="AL247" s="92">
        <f>AH247/$AJ247*1000</f>
        <v>42.865618510827645</v>
      </c>
      <c r="AM247" s="92">
        <f>AI247/$AJ247*1000</f>
        <v>86.027884900622965</v>
      </c>
      <c r="AN247" s="93"/>
      <c r="AO247" s="94">
        <v>6.2200000000000005E-2</v>
      </c>
      <c r="AP247" s="94"/>
      <c r="AQ247" s="94"/>
      <c r="AR247" s="95">
        <v>-747000000</v>
      </c>
      <c r="AS247" s="95">
        <v>-521000000</v>
      </c>
      <c r="AT247" s="95">
        <v>-1051000000</v>
      </c>
      <c r="AU247" s="95">
        <f t="shared" si="41"/>
        <v>-1107979.8279442303</v>
      </c>
      <c r="AV247" s="95">
        <f>1000*AS247/$AJ247</f>
        <v>-772767.72471076832</v>
      </c>
      <c r="AW247" s="95">
        <f>1000*AT247/$AJ247</f>
        <v>-1558884.6039750816</v>
      </c>
      <c r="AX247" s="95">
        <v>-1107</v>
      </c>
      <c r="AY247" s="95"/>
      <c r="AZ247" s="95"/>
      <c r="BA247" s="96"/>
      <c r="BB247" s="96"/>
      <c r="BC247" s="96"/>
      <c r="BD247" s="95"/>
      <c r="BE247" s="95"/>
      <c r="BF247" s="96"/>
      <c r="BG247" s="95"/>
      <c r="BH247" s="95"/>
      <c r="BI247" s="96"/>
      <c r="BJ247" s="97" t="s">
        <v>182</v>
      </c>
      <c r="BK247" s="98" t="str">
        <f t="shared" si="42"/>
        <v>Cost-saving</v>
      </c>
      <c r="BL247" s="98">
        <f t="shared" si="42"/>
        <v>0</v>
      </c>
      <c r="BM247" s="98">
        <f t="shared" si="42"/>
        <v>0</v>
      </c>
      <c r="BN247" s="99" t="s">
        <v>183</v>
      </c>
      <c r="BO247" s="100"/>
      <c r="BP247" s="100"/>
      <c r="BQ247" s="99" t="s">
        <v>183</v>
      </c>
      <c r="BR247" s="100"/>
      <c r="BS247" s="100"/>
      <c r="BT247" s="99" t="s">
        <v>183</v>
      </c>
      <c r="BU247" s="100"/>
      <c r="BV247" s="100"/>
      <c r="BW247" s="109" t="s">
        <v>211</v>
      </c>
      <c r="BX247" s="85" t="s">
        <v>256</v>
      </c>
      <c r="BY247" s="83" t="s">
        <v>256</v>
      </c>
      <c r="BZ247" s="102">
        <v>2018</v>
      </c>
      <c r="CA247" s="98"/>
      <c r="CB247" s="98"/>
      <c r="CC247" s="103">
        <f t="shared" si="36"/>
        <v>110</v>
      </c>
      <c r="CD247" s="98" t="s">
        <v>213</v>
      </c>
      <c r="CE247" s="98" t="s">
        <v>214</v>
      </c>
      <c r="CF247" s="98"/>
      <c r="CG247" s="105">
        <v>2</v>
      </c>
      <c r="CH247" s="105" t="str">
        <f>IF(CK247=0,"",IF(V247="Persistent",5,IF(V247="Once",1,IF(V247="One-off",1,"manual overwrite"))))</f>
        <v/>
      </c>
      <c r="CI247" s="105"/>
      <c r="CJ247" s="98">
        <f t="shared" si="30"/>
        <v>0</v>
      </c>
      <c r="CK247" s="98">
        <f>IF(CA247="C",0,IF(P247="Het",0,IF(SUM(AG247,AO247)=0,0,1)))</f>
        <v>0</v>
      </c>
      <c r="CL247" s="106" t="e">
        <f>IF(G247="AUS",VLOOKUP(H247,$CU$5:$CW$23,2),IF(G247="NZ",VLOOKUP(H247,$CU$5:$CW$23,3),"error"))*AU247</f>
        <v>#N/A</v>
      </c>
      <c r="CM247" s="107" t="e">
        <f>IF(G247="AUS",VLOOKUP(H247,$CU$5:$CW$23,2),IF(G247="NZ",VLOOKUP(H247,$CU$5:$CW$23,3),"error"))*AX247</f>
        <v>#N/A</v>
      </c>
      <c r="CN247" s="106" t="e">
        <f>IF(G247="AUS",VLOOKUP(H247,$CU$5:$CW$23,2),IF(G247="NZ",VLOOKUP(H247,$CU$5:$CW$23,3),"error"))*BK247</f>
        <v>#N/A</v>
      </c>
    </row>
    <row r="248" spans="1:92" s="108" customFormat="1" ht="259.5" hidden="1">
      <c r="A248" s="83" t="str">
        <f t="shared" si="29"/>
        <v>Tobacco</v>
      </c>
      <c r="B248" s="84" t="s">
        <v>170</v>
      </c>
      <c r="C248" s="85"/>
      <c r="D248" s="85"/>
      <c r="E248" s="85" t="s">
        <v>172</v>
      </c>
      <c r="F248" s="85" t="str">
        <f t="shared" si="32"/>
        <v xml:space="preserve">Tobacco; ; Prevention ; </v>
      </c>
      <c r="G248" s="85" t="s">
        <v>205</v>
      </c>
      <c r="H248" s="85">
        <v>2011</v>
      </c>
      <c r="I248" s="85" t="str">
        <f>CONCATENATE(A248,", ",G248,": ",J248)</f>
        <v>Tobacco, NZ: Tobacco-free generation (law change prohibiting tobacco sale and supply to individuals born from 1993 onwards)</v>
      </c>
      <c r="J248" s="87" t="s">
        <v>434</v>
      </c>
      <c r="K248" s="87"/>
      <c r="L248" s="87"/>
      <c r="M248" s="87"/>
      <c r="N248" s="87"/>
      <c r="O248" s="87"/>
      <c r="P248" s="85" t="s">
        <v>215</v>
      </c>
      <c r="Q248" s="85" t="str">
        <f>IF($P248="Main",J248,BX248)</f>
        <v>in Māori men</v>
      </c>
      <c r="R248" s="85" t="str">
        <f>IF($P248="Main",CONCATENATE(J248,": ",G248),BY248)</f>
        <v>in Māori men</v>
      </c>
      <c r="S248" s="85"/>
      <c r="T248" s="85"/>
      <c r="U248" s="85"/>
      <c r="V248" s="88"/>
      <c r="W248" s="88"/>
      <c r="X248" s="88"/>
      <c r="Y248" s="85"/>
      <c r="Z248" s="85"/>
      <c r="AA248" s="85"/>
      <c r="AB248" s="85"/>
      <c r="AC248" s="89">
        <v>0.03</v>
      </c>
      <c r="AD248" s="122"/>
      <c r="AE248" s="83"/>
      <c r="AF248" s="83"/>
      <c r="AG248" s="90">
        <v>17600</v>
      </c>
      <c r="AH248" s="90"/>
      <c r="AI248" s="90"/>
      <c r="AJ248" s="91">
        <v>330900</v>
      </c>
      <c r="AK248" s="92">
        <f t="shared" si="33"/>
        <v>53.188274403142941</v>
      </c>
      <c r="AL248" s="92"/>
      <c r="AM248" s="92"/>
      <c r="AN248" s="93"/>
      <c r="AO248" s="94"/>
      <c r="AP248" s="94"/>
      <c r="AQ248" s="94"/>
      <c r="AR248" s="95">
        <v>-424000000</v>
      </c>
      <c r="AS248" s="95"/>
      <c r="AT248" s="95"/>
      <c r="AU248" s="95">
        <f t="shared" si="41"/>
        <v>-1281353.8833484435</v>
      </c>
      <c r="AV248" s="95"/>
      <c r="AW248" s="95"/>
      <c r="AX248" s="95"/>
      <c r="AY248" s="95"/>
      <c r="AZ248" s="95"/>
      <c r="BA248" s="96"/>
      <c r="BB248" s="96"/>
      <c r="BC248" s="96"/>
      <c r="BD248" s="95"/>
      <c r="BE248" s="95"/>
      <c r="BF248" s="96"/>
      <c r="BG248" s="95"/>
      <c r="BH248" s="95"/>
      <c r="BI248" s="96"/>
      <c r="BJ248" s="97" t="s">
        <v>182</v>
      </c>
      <c r="BK248" s="98" t="str">
        <f t="shared" si="42"/>
        <v>Cost-saving</v>
      </c>
      <c r="BL248" s="98">
        <f t="shared" si="42"/>
        <v>0</v>
      </c>
      <c r="BM248" s="98">
        <f t="shared" si="42"/>
        <v>0</v>
      </c>
      <c r="BN248" s="99" t="s">
        <v>183</v>
      </c>
      <c r="BO248" s="100"/>
      <c r="BP248" s="100"/>
      <c r="BQ248" s="99" t="s">
        <v>183</v>
      </c>
      <c r="BR248" s="100"/>
      <c r="BS248" s="100"/>
      <c r="BT248" s="99" t="s">
        <v>183</v>
      </c>
      <c r="BU248" s="100"/>
      <c r="BV248" s="100"/>
      <c r="BW248" s="109" t="s">
        <v>211</v>
      </c>
      <c r="BX248" s="85" t="s">
        <v>373</v>
      </c>
      <c r="BY248" s="83" t="s">
        <v>373</v>
      </c>
      <c r="BZ248" s="102">
        <v>2018</v>
      </c>
      <c r="CA248" s="98"/>
      <c r="CB248" s="98"/>
      <c r="CC248" s="103">
        <f t="shared" si="36"/>
        <v>110</v>
      </c>
      <c r="CD248" s="98" t="s">
        <v>213</v>
      </c>
      <c r="CE248" s="98" t="s">
        <v>214</v>
      </c>
      <c r="CF248" s="98"/>
      <c r="CG248" s="105">
        <v>2</v>
      </c>
      <c r="CH248" s="105" t="str">
        <f>IF(CK248=0,"",IF(V248="Persistent",5,IF(V248="Once",1,IF(V248="One-off",1,"manual overwrite"))))</f>
        <v/>
      </c>
      <c r="CI248" s="105"/>
      <c r="CJ248" s="98">
        <f t="shared" si="30"/>
        <v>0</v>
      </c>
      <c r="CK248" s="98">
        <f>IF(CA248="C",0,IF(P248="Het",0,IF(SUM(AG248,AO248)=0,0,1)))</f>
        <v>0</v>
      </c>
      <c r="CL248" s="106" t="e">
        <f>IF(G248="AUS",VLOOKUP(H248,$CU$5:$CW$23,2),IF(G248="NZ",VLOOKUP(H248,$CU$5:$CW$23,3),"error"))*AU248</f>
        <v>#N/A</v>
      </c>
      <c r="CM248" s="107" t="e">
        <f>IF(G248="AUS",VLOOKUP(H248,$CU$5:$CW$23,2),IF(G248="NZ",VLOOKUP(H248,$CU$5:$CW$23,3),"error"))*AX248</f>
        <v>#N/A</v>
      </c>
      <c r="CN248" s="106" t="e">
        <f>IF(G248="AUS",VLOOKUP(H248,$CU$5:$CW$23,2),IF(G248="NZ",VLOOKUP(H248,$CU$5:$CW$23,3),"error"))*BK248</f>
        <v>#N/A</v>
      </c>
    </row>
    <row r="249" spans="1:92" s="108" customFormat="1" ht="259.5">
      <c r="A249" s="83" t="str">
        <f t="shared" si="29"/>
        <v>Tobacco</v>
      </c>
      <c r="B249" s="84" t="s">
        <v>170</v>
      </c>
      <c r="C249" s="85"/>
      <c r="D249" s="85"/>
      <c r="E249" s="85" t="s">
        <v>172</v>
      </c>
      <c r="F249" s="85" t="str">
        <f t="shared" si="32"/>
        <v xml:space="preserve">Tobacco; ; Prevention ; </v>
      </c>
      <c r="G249" s="85" t="s">
        <v>205</v>
      </c>
      <c r="H249" s="85">
        <v>2011</v>
      </c>
      <c r="I249" s="85" t="str">
        <f>CONCATENATE(A249,", ",G249,": ",J249)</f>
        <v>Tobacco, NZ: Tobacco-free generation (law change prohibiting tobacco sale and supply to individuals born from 1993 onwards)</v>
      </c>
      <c r="J249" s="87" t="s">
        <v>434</v>
      </c>
      <c r="K249" s="87" t="s">
        <v>233</v>
      </c>
      <c r="L249" s="87" t="s">
        <v>233</v>
      </c>
      <c r="M249" s="87" t="s">
        <v>437</v>
      </c>
      <c r="N249" s="87" t="s">
        <v>233</v>
      </c>
      <c r="O249" s="87" t="s">
        <v>233</v>
      </c>
      <c r="P249" s="85" t="s">
        <v>215</v>
      </c>
      <c r="Q249" s="85" t="str">
        <f>IF($P249="Main",J249,BX249)</f>
        <v>in Māori men age 0-14 yrs</v>
      </c>
      <c r="R249" s="85" t="str">
        <f>IF($P249="Main",CONCATENATE(J249,": ",G249),BY249)</f>
        <v>in Māori men age 0-14 yrs</v>
      </c>
      <c r="S249" s="85" t="s">
        <v>234</v>
      </c>
      <c r="T249" s="85" t="s">
        <v>235</v>
      </c>
      <c r="U249" s="85" t="s">
        <v>259</v>
      </c>
      <c r="V249" s="88"/>
      <c r="W249" s="88"/>
      <c r="X249" s="88" t="s">
        <v>199</v>
      </c>
      <c r="Y249" s="85"/>
      <c r="Z249" s="85"/>
      <c r="AA249" s="85"/>
      <c r="AB249" s="85"/>
      <c r="AC249" s="89">
        <v>0.03</v>
      </c>
      <c r="AD249" s="122"/>
      <c r="AE249" s="83"/>
      <c r="AF249" s="83"/>
      <c r="AG249" s="90">
        <v>11900</v>
      </c>
      <c r="AH249" s="90"/>
      <c r="AI249" s="90"/>
      <c r="AJ249" s="91">
        <v>118100</v>
      </c>
      <c r="AK249" s="92">
        <f t="shared" si="33"/>
        <v>100.76206604572397</v>
      </c>
      <c r="AL249" s="92"/>
      <c r="AM249" s="92"/>
      <c r="AN249" s="93"/>
      <c r="AO249" s="94"/>
      <c r="AP249" s="94"/>
      <c r="AQ249" s="94"/>
      <c r="AR249" s="95">
        <v>-290000000</v>
      </c>
      <c r="AS249" s="95"/>
      <c r="AT249" s="95"/>
      <c r="AU249" s="95">
        <f t="shared" si="41"/>
        <v>-2455546.1473327689</v>
      </c>
      <c r="AV249" s="95"/>
      <c r="AW249" s="95"/>
      <c r="AX249" s="95"/>
      <c r="AY249" s="95"/>
      <c r="AZ249" s="95"/>
      <c r="BA249" s="96"/>
      <c r="BB249" s="96"/>
      <c r="BC249" s="96"/>
      <c r="BD249" s="95"/>
      <c r="BE249" s="95"/>
      <c r="BF249" s="96"/>
      <c r="BG249" s="95"/>
      <c r="BH249" s="95"/>
      <c r="BI249" s="96"/>
      <c r="BJ249" s="97" t="s">
        <v>182</v>
      </c>
      <c r="BK249" s="98" t="str">
        <f t="shared" si="42"/>
        <v>Cost-saving</v>
      </c>
      <c r="BL249" s="98">
        <f t="shared" si="42"/>
        <v>0</v>
      </c>
      <c r="BM249" s="98">
        <f t="shared" si="42"/>
        <v>0</v>
      </c>
      <c r="BN249" s="99" t="s">
        <v>183</v>
      </c>
      <c r="BO249" s="100"/>
      <c r="BP249" s="100"/>
      <c r="BQ249" s="99" t="s">
        <v>183</v>
      </c>
      <c r="BR249" s="100"/>
      <c r="BS249" s="100"/>
      <c r="BT249" s="99" t="s">
        <v>183</v>
      </c>
      <c r="BU249" s="100"/>
      <c r="BV249" s="100"/>
      <c r="BW249" s="109" t="s">
        <v>211</v>
      </c>
      <c r="BX249" s="85" t="s">
        <v>334</v>
      </c>
      <c r="BY249" s="83" t="s">
        <v>334</v>
      </c>
      <c r="BZ249" s="102">
        <v>2018</v>
      </c>
      <c r="CA249" s="98"/>
      <c r="CB249" s="98"/>
      <c r="CC249" s="103">
        <f t="shared" si="36"/>
        <v>110</v>
      </c>
      <c r="CD249" s="98" t="s">
        <v>213</v>
      </c>
      <c r="CE249" s="98" t="s">
        <v>214</v>
      </c>
      <c r="CF249" s="98"/>
      <c r="CG249" s="105">
        <v>2</v>
      </c>
      <c r="CH249" s="105" t="str">
        <f>IF(CK249=0,"",IF(V249="Persistent",5,IF(V249="Once",1,IF(V249="One-off",1,"manual overwrite"))))</f>
        <v/>
      </c>
      <c r="CI249" s="105"/>
      <c r="CJ249" s="98">
        <f t="shared" si="30"/>
        <v>0</v>
      </c>
      <c r="CK249" s="98">
        <f>IF(CA249="C",0,IF(P249="Het",0,IF(SUM(AG249,AO249)=0,0,1)))</f>
        <v>0</v>
      </c>
      <c r="CL249" s="106" t="e">
        <f>IF(G249="AUS",VLOOKUP(H249,$CU$5:$CW$23,2),IF(G249="NZ",VLOOKUP(H249,$CU$5:$CW$23,3),"error"))*AU249</f>
        <v>#N/A</v>
      </c>
      <c r="CM249" s="107" t="e">
        <f>IF(G249="AUS",VLOOKUP(H249,$CU$5:$CW$23,2),IF(G249="NZ",VLOOKUP(H249,$CU$5:$CW$23,3),"error"))*AX249</f>
        <v>#N/A</v>
      </c>
      <c r="CN249" s="106" t="e">
        <f>IF(G249="AUS",VLOOKUP(H249,$CU$5:$CW$23,2),IF(G249="NZ",VLOOKUP(H249,$CU$5:$CW$23,3),"error"))*BK249</f>
        <v>#N/A</v>
      </c>
    </row>
    <row r="250" spans="1:92" s="108" customFormat="1" ht="259.5">
      <c r="A250" s="83" t="str">
        <f t="shared" si="29"/>
        <v>Tobacco</v>
      </c>
      <c r="B250" s="84" t="s">
        <v>170</v>
      </c>
      <c r="C250" s="85"/>
      <c r="D250" s="85"/>
      <c r="E250" s="85" t="s">
        <v>172</v>
      </c>
      <c r="F250" s="85" t="str">
        <f t="shared" si="32"/>
        <v xml:space="preserve">Tobacco; ; Prevention ; </v>
      </c>
      <c r="G250" s="85" t="s">
        <v>205</v>
      </c>
      <c r="H250" s="85">
        <v>2011</v>
      </c>
      <c r="I250" s="85" t="str">
        <f>CONCATENATE(A250,", ",G250,": ",J250)</f>
        <v>Tobacco, NZ: Tobacco-free generation (law change prohibiting tobacco sale and supply to individuals born from 1993 onwards)</v>
      </c>
      <c r="J250" s="87" t="s">
        <v>434</v>
      </c>
      <c r="K250" s="87" t="s">
        <v>233</v>
      </c>
      <c r="L250" s="87" t="s">
        <v>233</v>
      </c>
      <c r="M250" s="87" t="s">
        <v>437</v>
      </c>
      <c r="N250" s="87" t="s">
        <v>233</v>
      </c>
      <c r="O250" s="87" t="s">
        <v>233</v>
      </c>
      <c r="P250" s="85" t="s">
        <v>215</v>
      </c>
      <c r="Q250" s="85" t="str">
        <f>IF($P250="Main",J250,BX250)</f>
        <v xml:space="preserve">in Māori men age 15-24 yrs </v>
      </c>
      <c r="R250" s="85" t="str">
        <f>IF($P250="Main",CONCATENATE(J250,": ",G250),BY250)</f>
        <v xml:space="preserve">in Māori men age 15-24 yrs </v>
      </c>
      <c r="S250" s="85" t="s">
        <v>239</v>
      </c>
      <c r="T250" s="85" t="s">
        <v>235</v>
      </c>
      <c r="U250" s="85" t="s">
        <v>259</v>
      </c>
      <c r="V250" s="88"/>
      <c r="W250" s="88"/>
      <c r="X250" s="88" t="s">
        <v>199</v>
      </c>
      <c r="Y250" s="85"/>
      <c r="Z250" s="85"/>
      <c r="AA250" s="85"/>
      <c r="AB250" s="85"/>
      <c r="AC250" s="89">
        <v>0.03</v>
      </c>
      <c r="AD250" s="122"/>
      <c r="AE250" s="83"/>
      <c r="AF250" s="83"/>
      <c r="AG250" s="90">
        <v>5730</v>
      </c>
      <c r="AH250" s="90"/>
      <c r="AI250" s="90"/>
      <c r="AJ250" s="91">
        <v>64800</v>
      </c>
      <c r="AK250" s="92">
        <f t="shared" si="33"/>
        <v>88.425925925925924</v>
      </c>
      <c r="AL250" s="92"/>
      <c r="AM250" s="92"/>
      <c r="AN250" s="93"/>
      <c r="AO250" s="94"/>
      <c r="AP250" s="94"/>
      <c r="AQ250" s="94"/>
      <c r="AR250" s="95">
        <v>-134000000</v>
      </c>
      <c r="AS250" s="95"/>
      <c r="AT250" s="95"/>
      <c r="AU250" s="95">
        <f t="shared" si="41"/>
        <v>-2067901.2345679011</v>
      </c>
      <c r="AV250" s="95"/>
      <c r="AW250" s="95"/>
      <c r="AX250" s="95"/>
      <c r="AY250" s="95"/>
      <c r="AZ250" s="95"/>
      <c r="BA250" s="96"/>
      <c r="BB250" s="96"/>
      <c r="BC250" s="96"/>
      <c r="BD250" s="95"/>
      <c r="BE250" s="95"/>
      <c r="BF250" s="96"/>
      <c r="BG250" s="95"/>
      <c r="BH250" s="95"/>
      <c r="BI250" s="96"/>
      <c r="BJ250" s="97" t="s">
        <v>182</v>
      </c>
      <c r="BK250" s="98" t="str">
        <f t="shared" si="42"/>
        <v>Cost-saving</v>
      </c>
      <c r="BL250" s="98">
        <f t="shared" si="42"/>
        <v>0</v>
      </c>
      <c r="BM250" s="98">
        <f t="shared" si="42"/>
        <v>0</v>
      </c>
      <c r="BN250" s="99" t="s">
        <v>183</v>
      </c>
      <c r="BO250" s="100"/>
      <c r="BP250" s="100"/>
      <c r="BQ250" s="99" t="s">
        <v>183</v>
      </c>
      <c r="BR250" s="100"/>
      <c r="BS250" s="100"/>
      <c r="BT250" s="99" t="s">
        <v>183</v>
      </c>
      <c r="BU250" s="100"/>
      <c r="BV250" s="100"/>
      <c r="BW250" s="109" t="s">
        <v>211</v>
      </c>
      <c r="BX250" s="85" t="s">
        <v>438</v>
      </c>
      <c r="BY250" s="83" t="s">
        <v>438</v>
      </c>
      <c r="BZ250" s="102">
        <v>2018</v>
      </c>
      <c r="CA250" s="98"/>
      <c r="CB250" s="98"/>
      <c r="CC250" s="103">
        <f t="shared" si="36"/>
        <v>110</v>
      </c>
      <c r="CD250" s="98" t="s">
        <v>213</v>
      </c>
      <c r="CE250" s="98" t="s">
        <v>214</v>
      </c>
      <c r="CF250" s="98"/>
      <c r="CG250" s="105">
        <v>2</v>
      </c>
      <c r="CH250" s="105" t="str">
        <f>IF(CK250=0,"",IF(V250="Persistent",5,IF(V250="Once",1,IF(V250="One-off",1,"manual overwrite"))))</f>
        <v/>
      </c>
      <c r="CI250" s="105"/>
      <c r="CJ250" s="98">
        <f t="shared" si="30"/>
        <v>0</v>
      </c>
      <c r="CK250" s="98">
        <f>IF(CA250="C",0,IF(P250="Het",0,IF(SUM(AG250,AO250)=0,0,1)))</f>
        <v>0</v>
      </c>
      <c r="CL250" s="106" t="e">
        <f>IF(G250="AUS",VLOOKUP(H250,$CU$5:$CW$23,2),IF(G250="NZ",VLOOKUP(H250,$CU$5:$CW$23,3),"error"))*AU250</f>
        <v>#N/A</v>
      </c>
      <c r="CM250" s="107" t="e">
        <f>IF(G250="AUS",VLOOKUP(H250,$CU$5:$CW$23,2),IF(G250="NZ",VLOOKUP(H250,$CU$5:$CW$23,3),"error"))*AX250</f>
        <v>#N/A</v>
      </c>
      <c r="CN250" s="106" t="e">
        <f>IF(G250="AUS",VLOOKUP(H250,$CU$5:$CW$23,2),IF(G250="NZ",VLOOKUP(H250,$CU$5:$CW$23,3),"error"))*BK250</f>
        <v>#N/A</v>
      </c>
    </row>
    <row r="251" spans="1:92" s="108" customFormat="1" ht="259.5" hidden="1">
      <c r="A251" s="83" t="str">
        <f t="shared" si="29"/>
        <v>Tobacco</v>
      </c>
      <c r="B251" s="84" t="s">
        <v>170</v>
      </c>
      <c r="C251" s="85"/>
      <c r="D251" s="85"/>
      <c r="E251" s="85" t="s">
        <v>172</v>
      </c>
      <c r="F251" s="85" t="str">
        <f t="shared" si="32"/>
        <v xml:space="preserve">Tobacco; ; Prevention ; </v>
      </c>
      <c r="G251" s="85" t="s">
        <v>205</v>
      </c>
      <c r="H251" s="85">
        <v>2011</v>
      </c>
      <c r="I251" s="85" t="str">
        <f>CONCATENATE(A251,", ",G251,": ",J251)</f>
        <v>Tobacco, NZ: Tobacco-free generation (law change prohibiting tobacco sale and supply to individuals born from 1993 onwards)</v>
      </c>
      <c r="J251" s="87" t="s">
        <v>434</v>
      </c>
      <c r="K251" s="87"/>
      <c r="L251" s="87"/>
      <c r="M251" s="87"/>
      <c r="N251" s="87"/>
      <c r="O251" s="87"/>
      <c r="P251" s="85" t="s">
        <v>215</v>
      </c>
      <c r="Q251" s="85" t="str">
        <f>IF($P251="Main",J251,BX251)</f>
        <v>in Māori women</v>
      </c>
      <c r="R251" s="85" t="str">
        <f>IF($P251="Main",CONCATENATE(J251,": ",G251),BY251)</f>
        <v>in Māori women</v>
      </c>
      <c r="S251" s="85"/>
      <c r="T251" s="85"/>
      <c r="U251" s="85"/>
      <c r="V251" s="88"/>
      <c r="W251" s="88"/>
      <c r="X251" s="88"/>
      <c r="Y251" s="85"/>
      <c r="Z251" s="85"/>
      <c r="AA251" s="85"/>
      <c r="AB251" s="85"/>
      <c r="AC251" s="89">
        <v>0.03</v>
      </c>
      <c r="AD251" s="122"/>
      <c r="AE251" s="83"/>
      <c r="AF251" s="83"/>
      <c r="AG251" s="90">
        <v>24300</v>
      </c>
      <c r="AH251" s="90"/>
      <c r="AI251" s="90"/>
      <c r="AJ251" s="91">
        <v>343300</v>
      </c>
      <c r="AK251" s="92">
        <f t="shared" si="33"/>
        <v>70.783571220506843</v>
      </c>
      <c r="AL251" s="92"/>
      <c r="AM251" s="92"/>
      <c r="AN251" s="93"/>
      <c r="AO251" s="94"/>
      <c r="AP251" s="94"/>
      <c r="AQ251" s="94"/>
      <c r="AR251" s="95">
        <v>-322000000</v>
      </c>
      <c r="AS251" s="95"/>
      <c r="AT251" s="95"/>
      <c r="AU251" s="95">
        <f t="shared" si="41"/>
        <v>-937955.14127585199</v>
      </c>
      <c r="AV251" s="95"/>
      <c r="AW251" s="95"/>
      <c r="AX251" s="95"/>
      <c r="AY251" s="95"/>
      <c r="AZ251" s="95"/>
      <c r="BA251" s="96"/>
      <c r="BB251" s="96"/>
      <c r="BC251" s="96"/>
      <c r="BD251" s="95"/>
      <c r="BE251" s="95"/>
      <c r="BF251" s="96"/>
      <c r="BG251" s="95"/>
      <c r="BH251" s="95"/>
      <c r="BI251" s="96"/>
      <c r="BJ251" s="97" t="s">
        <v>182</v>
      </c>
      <c r="BK251" s="98" t="str">
        <f t="shared" si="42"/>
        <v>Cost-saving</v>
      </c>
      <c r="BL251" s="98">
        <f t="shared" si="42"/>
        <v>0</v>
      </c>
      <c r="BM251" s="98">
        <f t="shared" si="42"/>
        <v>0</v>
      </c>
      <c r="BN251" s="99" t="s">
        <v>183</v>
      </c>
      <c r="BO251" s="100"/>
      <c r="BP251" s="100"/>
      <c r="BQ251" s="99" t="s">
        <v>183</v>
      </c>
      <c r="BR251" s="100"/>
      <c r="BS251" s="100"/>
      <c r="BT251" s="99" t="s">
        <v>183</v>
      </c>
      <c r="BU251" s="100"/>
      <c r="BV251" s="100"/>
      <c r="BW251" s="109" t="s">
        <v>211</v>
      </c>
      <c r="BX251" s="85" t="s">
        <v>439</v>
      </c>
      <c r="BY251" s="83" t="s">
        <v>439</v>
      </c>
      <c r="BZ251" s="102">
        <v>2018</v>
      </c>
      <c r="CA251" s="98"/>
      <c r="CB251" s="98"/>
      <c r="CC251" s="103">
        <f t="shared" si="36"/>
        <v>110</v>
      </c>
      <c r="CD251" s="98" t="s">
        <v>213</v>
      </c>
      <c r="CE251" s="98" t="s">
        <v>214</v>
      </c>
      <c r="CF251" s="98"/>
      <c r="CG251" s="105">
        <v>2</v>
      </c>
      <c r="CH251" s="105" t="str">
        <f>IF(CK251=0,"",IF(V251="Persistent",5,IF(V251="Once",1,IF(V251="One-off",1,"manual overwrite"))))</f>
        <v/>
      </c>
      <c r="CI251" s="105"/>
      <c r="CJ251" s="98">
        <f t="shared" si="30"/>
        <v>0</v>
      </c>
      <c r="CK251" s="98">
        <f>IF(CA251="C",0,IF(P251="Het",0,IF(SUM(AG251,AO251)=0,0,1)))</f>
        <v>0</v>
      </c>
      <c r="CL251" s="106" t="e">
        <f>IF(G251="AUS",VLOOKUP(H251,$CU$5:$CW$23,2),IF(G251="NZ",VLOOKUP(H251,$CU$5:$CW$23,3),"error"))*AU251</f>
        <v>#N/A</v>
      </c>
      <c r="CM251" s="107" t="e">
        <f>IF(G251="AUS",VLOOKUP(H251,$CU$5:$CW$23,2),IF(G251="NZ",VLOOKUP(H251,$CU$5:$CW$23,3),"error"))*AX251</f>
        <v>#N/A</v>
      </c>
      <c r="CN251" s="106" t="e">
        <f>IF(G251="AUS",VLOOKUP(H251,$CU$5:$CW$23,2),IF(G251="NZ",VLOOKUP(H251,$CU$5:$CW$23,3),"error"))*BK251</f>
        <v>#N/A</v>
      </c>
    </row>
    <row r="252" spans="1:92" s="108" customFormat="1" ht="259.5">
      <c r="A252" s="83" t="str">
        <f t="shared" si="29"/>
        <v>Tobacco</v>
      </c>
      <c r="B252" s="84" t="s">
        <v>170</v>
      </c>
      <c r="C252" s="85"/>
      <c r="D252" s="85"/>
      <c r="E252" s="85" t="s">
        <v>172</v>
      </c>
      <c r="F252" s="85" t="str">
        <f t="shared" si="32"/>
        <v xml:space="preserve">Tobacco; ; Prevention ; </v>
      </c>
      <c r="G252" s="85" t="s">
        <v>205</v>
      </c>
      <c r="H252" s="85">
        <v>2011</v>
      </c>
      <c r="I252" s="85" t="str">
        <f>CONCATENATE(A252,", ",G252,": ",J252)</f>
        <v>Tobacco, NZ: Tobacco-free generation (law change prohibiting tobacco sale and supply to individuals born from 1993 onwards)</v>
      </c>
      <c r="J252" s="87" t="s">
        <v>434</v>
      </c>
      <c r="K252" s="87" t="s">
        <v>233</v>
      </c>
      <c r="L252" s="87" t="s">
        <v>233</v>
      </c>
      <c r="M252" s="87" t="s">
        <v>437</v>
      </c>
      <c r="N252" s="87" t="s">
        <v>233</v>
      </c>
      <c r="O252" s="87" t="s">
        <v>233</v>
      </c>
      <c r="P252" s="85" t="s">
        <v>215</v>
      </c>
      <c r="Q252" s="85" t="str">
        <f>IF($P252="Main",J252,BX252)</f>
        <v>in Māori women age 0-14 yrs</v>
      </c>
      <c r="R252" s="85" t="str">
        <f>IF($P252="Main",CONCATENATE(J252,": ",G252),BY252)</f>
        <v>in Māori women age 0-14 yrs</v>
      </c>
      <c r="S252" s="85" t="s">
        <v>234</v>
      </c>
      <c r="T252" s="85" t="s">
        <v>250</v>
      </c>
      <c r="U252" s="85" t="s">
        <v>259</v>
      </c>
      <c r="V252" s="88"/>
      <c r="W252" s="88"/>
      <c r="X252" s="88" t="s">
        <v>199</v>
      </c>
      <c r="Y252" s="85"/>
      <c r="Z252" s="85"/>
      <c r="AA252" s="85"/>
      <c r="AB252" s="85"/>
      <c r="AC252" s="89">
        <v>0.03</v>
      </c>
      <c r="AD252" s="122"/>
      <c r="AE252" s="83"/>
      <c r="AF252" s="83"/>
      <c r="AG252" s="90">
        <v>16600</v>
      </c>
      <c r="AH252" s="90"/>
      <c r="AI252" s="90"/>
      <c r="AJ252" s="91">
        <v>112600</v>
      </c>
      <c r="AK252" s="92">
        <f t="shared" si="33"/>
        <v>147.42451154529306</v>
      </c>
      <c r="AL252" s="92"/>
      <c r="AM252" s="92"/>
      <c r="AN252" s="93"/>
      <c r="AO252" s="94"/>
      <c r="AP252" s="94"/>
      <c r="AQ252" s="94"/>
      <c r="AR252" s="95">
        <v>-221000000</v>
      </c>
      <c r="AS252" s="95"/>
      <c r="AT252" s="95"/>
      <c r="AU252" s="95">
        <f t="shared" si="41"/>
        <v>-1962699.8223801067</v>
      </c>
      <c r="AV252" s="95"/>
      <c r="AW252" s="95"/>
      <c r="AX252" s="95"/>
      <c r="AY252" s="95"/>
      <c r="AZ252" s="95"/>
      <c r="BA252" s="96"/>
      <c r="BB252" s="96"/>
      <c r="BC252" s="96"/>
      <c r="BD252" s="95"/>
      <c r="BE252" s="95"/>
      <c r="BF252" s="96"/>
      <c r="BG252" s="95"/>
      <c r="BH252" s="95"/>
      <c r="BI252" s="96"/>
      <c r="BJ252" s="97" t="s">
        <v>182</v>
      </c>
      <c r="BK252" s="98" t="str">
        <f t="shared" si="42"/>
        <v>Cost-saving</v>
      </c>
      <c r="BL252" s="98">
        <f t="shared" si="42"/>
        <v>0</v>
      </c>
      <c r="BM252" s="98">
        <f t="shared" si="42"/>
        <v>0</v>
      </c>
      <c r="BN252" s="99" t="s">
        <v>183</v>
      </c>
      <c r="BO252" s="100"/>
      <c r="BP252" s="100"/>
      <c r="BQ252" s="99" t="s">
        <v>183</v>
      </c>
      <c r="BR252" s="100"/>
      <c r="BS252" s="100"/>
      <c r="BT252" s="99" t="s">
        <v>183</v>
      </c>
      <c r="BU252" s="100"/>
      <c r="BV252" s="100"/>
      <c r="BW252" s="109" t="s">
        <v>211</v>
      </c>
      <c r="BX252" s="85" t="s">
        <v>335</v>
      </c>
      <c r="BY252" s="83" t="s">
        <v>335</v>
      </c>
      <c r="BZ252" s="102">
        <v>2018</v>
      </c>
      <c r="CA252" s="98"/>
      <c r="CB252" s="98"/>
      <c r="CC252" s="103">
        <f t="shared" si="36"/>
        <v>110</v>
      </c>
      <c r="CD252" s="98" t="s">
        <v>213</v>
      </c>
      <c r="CE252" s="98" t="s">
        <v>214</v>
      </c>
      <c r="CF252" s="98"/>
      <c r="CG252" s="105">
        <v>2</v>
      </c>
      <c r="CH252" s="105" t="str">
        <f>IF(CK252=0,"",IF(V252="Persistent",5,IF(V252="Once",1,IF(V252="One-off",1,"manual overwrite"))))</f>
        <v/>
      </c>
      <c r="CI252" s="105"/>
      <c r="CJ252" s="98">
        <f t="shared" si="30"/>
        <v>0</v>
      </c>
      <c r="CK252" s="98">
        <f>IF(CA252="C",0,IF(P252="Het",0,IF(SUM(AG252,AO252)=0,0,1)))</f>
        <v>0</v>
      </c>
      <c r="CL252" s="106" t="e">
        <f>IF(G252="AUS",VLOOKUP(H252,$CU$5:$CW$23,2),IF(G252="NZ",VLOOKUP(H252,$CU$5:$CW$23,3),"error"))*AU252</f>
        <v>#N/A</v>
      </c>
      <c r="CM252" s="107" t="e">
        <f>IF(G252="AUS",VLOOKUP(H252,$CU$5:$CW$23,2),IF(G252="NZ",VLOOKUP(H252,$CU$5:$CW$23,3),"error"))*AX252</f>
        <v>#N/A</v>
      </c>
      <c r="CN252" s="106" t="e">
        <f>IF(G252="AUS",VLOOKUP(H252,$CU$5:$CW$23,2),IF(G252="NZ",VLOOKUP(H252,$CU$5:$CW$23,3),"error"))*BK252</f>
        <v>#N/A</v>
      </c>
    </row>
    <row r="253" spans="1:92" s="108" customFormat="1" ht="259.5">
      <c r="A253" s="83" t="str">
        <f t="shared" ref="A253" si="43">B253</f>
        <v>Tobacco</v>
      </c>
      <c r="B253" s="84" t="s">
        <v>170</v>
      </c>
      <c r="C253" s="85"/>
      <c r="D253" s="85"/>
      <c r="E253" s="85" t="s">
        <v>172</v>
      </c>
      <c r="F253" s="85" t="str">
        <f t="shared" si="32"/>
        <v xml:space="preserve">Tobacco; ; Prevention ; </v>
      </c>
      <c r="G253" s="85" t="s">
        <v>205</v>
      </c>
      <c r="H253" s="85">
        <v>2011</v>
      </c>
      <c r="I253" s="85" t="str">
        <f>CONCATENATE(A253,", ",G253,": ",J253)</f>
        <v>Tobacco, NZ: Tobacco-free generation (law change prohibiting tobacco sale and supply to individuals born from 1993 onwards)</v>
      </c>
      <c r="J253" s="87" t="s">
        <v>434</v>
      </c>
      <c r="K253" s="87" t="s">
        <v>233</v>
      </c>
      <c r="L253" s="87" t="s">
        <v>233</v>
      </c>
      <c r="M253" s="87" t="s">
        <v>437</v>
      </c>
      <c r="N253" s="87" t="s">
        <v>233</v>
      </c>
      <c r="O253" s="87" t="s">
        <v>233</v>
      </c>
      <c r="P253" s="85" t="s">
        <v>215</v>
      </c>
      <c r="Q253" s="85" t="str">
        <f>IF($P253="Main",J253,BX253)</f>
        <v xml:space="preserve">in Māori women age 15-24 yrs </v>
      </c>
      <c r="R253" s="85" t="str">
        <f>IF($P253="Main",CONCATENATE(J253,": ",G253),BY253)</f>
        <v xml:space="preserve">in Māori women age 15-24 yrs </v>
      </c>
      <c r="S253" s="85" t="s">
        <v>239</v>
      </c>
      <c r="T253" s="85" t="s">
        <v>250</v>
      </c>
      <c r="U253" s="85" t="s">
        <v>259</v>
      </c>
      <c r="V253" s="88"/>
      <c r="W253" s="88"/>
      <c r="X253" s="88" t="s">
        <v>199</v>
      </c>
      <c r="Y253" s="85"/>
      <c r="Z253" s="85"/>
      <c r="AA253" s="85"/>
      <c r="AB253" s="85"/>
      <c r="AC253" s="89">
        <v>0.03</v>
      </c>
      <c r="AD253" s="122"/>
      <c r="AE253" s="83"/>
      <c r="AF253" s="83"/>
      <c r="AG253" s="90">
        <v>7760</v>
      </c>
      <c r="AH253" s="90"/>
      <c r="AI253" s="90"/>
      <c r="AJ253" s="91">
        <v>62700</v>
      </c>
      <c r="AK253" s="92">
        <f t="shared" si="33"/>
        <v>123.76395534290272</v>
      </c>
      <c r="AL253" s="92"/>
      <c r="AM253" s="92"/>
      <c r="AN253" s="93"/>
      <c r="AO253" s="94"/>
      <c r="AP253" s="94"/>
      <c r="AQ253" s="94"/>
      <c r="AR253" s="95">
        <v>-101000000</v>
      </c>
      <c r="AS253" s="95"/>
      <c r="AT253" s="95"/>
      <c r="AU253" s="95">
        <f t="shared" si="41"/>
        <v>-1610845.2950558213</v>
      </c>
      <c r="AV253" s="95"/>
      <c r="AW253" s="95"/>
      <c r="AX253" s="95"/>
      <c r="AY253" s="95"/>
      <c r="AZ253" s="95"/>
      <c r="BA253" s="96"/>
      <c r="BB253" s="96"/>
      <c r="BC253" s="96"/>
      <c r="BD253" s="95"/>
      <c r="BE253" s="95"/>
      <c r="BF253" s="96"/>
      <c r="BG253" s="95"/>
      <c r="BH253" s="95"/>
      <c r="BI253" s="96"/>
      <c r="BJ253" s="97" t="s">
        <v>182</v>
      </c>
      <c r="BK253" s="98" t="str">
        <f t="shared" si="42"/>
        <v>Cost-saving</v>
      </c>
      <c r="BL253" s="98">
        <f t="shared" si="42"/>
        <v>0</v>
      </c>
      <c r="BM253" s="98">
        <f t="shared" si="42"/>
        <v>0</v>
      </c>
      <c r="BN253" s="99" t="s">
        <v>183</v>
      </c>
      <c r="BO253" s="100"/>
      <c r="BP253" s="100"/>
      <c r="BQ253" s="99" t="s">
        <v>183</v>
      </c>
      <c r="BR253" s="100"/>
      <c r="BS253" s="100"/>
      <c r="BT253" s="99" t="s">
        <v>183</v>
      </c>
      <c r="BU253" s="100"/>
      <c r="BV253" s="100"/>
      <c r="BW253" s="109" t="s">
        <v>211</v>
      </c>
      <c r="BX253" s="85" t="s">
        <v>268</v>
      </c>
      <c r="BY253" s="83" t="s">
        <v>268</v>
      </c>
      <c r="BZ253" s="102">
        <v>2018</v>
      </c>
      <c r="CA253" s="98"/>
      <c r="CB253" s="98"/>
      <c r="CC253" s="103">
        <f t="shared" si="36"/>
        <v>110</v>
      </c>
      <c r="CD253" s="98" t="s">
        <v>213</v>
      </c>
      <c r="CE253" s="98" t="s">
        <v>214</v>
      </c>
      <c r="CF253" s="98"/>
      <c r="CG253" s="105">
        <v>2</v>
      </c>
      <c r="CH253" s="105" t="str">
        <f>IF(CK253=0,"",IF(V253="Persistent",5,IF(V253="Once",1,IF(V253="One-off",1,"manual overwrite"))))</f>
        <v/>
      </c>
      <c r="CI253" s="105"/>
      <c r="CJ253" s="98">
        <f t="shared" ref="CJ253" si="44">IF(CD253="Vos, Carter, Barendregt, Mihalopoulos, Veerman, Magnus, Cobiac, Bertram, Wallace &amp; ACE-Prevention Team",1,0)</f>
        <v>0</v>
      </c>
      <c r="CK253" s="98">
        <f>IF(CA253="C",0,IF(P253="Het",0,IF(SUM(AG253,AO253)=0,0,1)))</f>
        <v>0</v>
      </c>
      <c r="CL253" s="106" t="e">
        <f>IF(G253="AUS",VLOOKUP(H253,$CU$5:$CW$23,2),IF(G253="NZ",VLOOKUP(H253,$CU$5:$CW$23,3),"error"))*AU253</f>
        <v>#N/A</v>
      </c>
      <c r="CM253" s="107" t="e">
        <f>IF(G253="AUS",VLOOKUP(H253,$CU$5:$CW$23,2),IF(G253="NZ",VLOOKUP(H253,$CU$5:$CW$23,3),"error"))*AX253</f>
        <v>#N/A</v>
      </c>
      <c r="CN253" s="106" t="e">
        <f>IF(G253="AUS",VLOOKUP(H253,$CU$5:$CW$23,2),IF(G253="NZ",VLOOKUP(H253,$CU$5:$CW$23,3),"error"))*BK253</f>
        <v>#N/A</v>
      </c>
    </row>
    <row r="254" spans="1:92">
      <c r="H254" s="1">
        <f>SUM(H3:H253)</f>
        <v>504671</v>
      </c>
      <c r="K254" s="76">
        <f>SUM(K3:K253)</f>
        <v>420</v>
      </c>
      <c r="L254" s="76">
        <f>SUM(L3:L253)</f>
        <v>2758.3</v>
      </c>
      <c r="M254" s="76">
        <f>SUM(M3:M253)</f>
        <v>74.5</v>
      </c>
      <c r="N254" s="76">
        <f>SUM(N3:N253)</f>
        <v>0</v>
      </c>
      <c r="O254" s="76">
        <f>SUM(O3:O253)</f>
        <v>591.50000000000011</v>
      </c>
      <c r="W254" s="76">
        <f>SUM(W3:W253)</f>
        <v>580</v>
      </c>
      <c r="X254" s="76">
        <f>SUM(X3:X253)</f>
        <v>44</v>
      </c>
      <c r="AC254" s="77">
        <f>SUM(AC3:AC253)</f>
        <v>6.3900000000000086</v>
      </c>
      <c r="AG254" s="78">
        <f>SUM(AG3:AG253)</f>
        <v>6833114.9000000004</v>
      </c>
      <c r="AH254" s="78">
        <f>SUM(AH3:AH253)</f>
        <v>1066003</v>
      </c>
      <c r="AI254" s="78">
        <f>SUM(AI3:AI253)</f>
        <v>2528410.7999999998</v>
      </c>
      <c r="AJ254" s="78">
        <f>SUM(AJ3:AJ253)</f>
        <v>521314706</v>
      </c>
      <c r="AK254" s="79">
        <f>SUM(AK23:AK253)</f>
        <v>7878.5087097913929</v>
      </c>
      <c r="AL254" s="79">
        <f>SUM(AL3:AL253)</f>
        <v>534.06864645061864</v>
      </c>
      <c r="AM254" s="79">
        <f>SUM(AM3:AM253)</f>
        <v>1269.9856871493207</v>
      </c>
      <c r="AN254" s="78">
        <f>SUM(AN3:AN253)</f>
        <v>4433181.2300000004</v>
      </c>
      <c r="AO254" s="79">
        <f>SUM(AO3:AO253)</f>
        <v>0.66150766110931136</v>
      </c>
      <c r="AR254" s="80">
        <f>SUM(AR3:AR253)</f>
        <v>-71711521000</v>
      </c>
      <c r="AS254" s="80">
        <f>SUM(AS3:AS253)</f>
        <v>-17683790000</v>
      </c>
      <c r="AT254" s="80">
        <f>SUM(AT3:AT253)</f>
        <v>-30372677000</v>
      </c>
      <c r="AU254" s="81">
        <f>SUM(AU3:AU253)</f>
        <v>-98188318.392814472</v>
      </c>
      <c r="AV254" s="80">
        <f>SUM(AV3:AV253)</f>
        <v>-5755467.2915598415</v>
      </c>
      <c r="AW254" s="80">
        <f>SUM(AW3:AW253)</f>
        <v>-12784664.245630819</v>
      </c>
      <c r="AX254" s="80">
        <f>SUM(AX3:AX253)</f>
        <v>-10530.773322384566</v>
      </c>
      <c r="BA254" s="80">
        <f>SUM(BA3:BA253)</f>
        <v>830289000</v>
      </c>
      <c r="BB254" s="80">
        <f>SUM(BB3:BB253)</f>
        <v>217000</v>
      </c>
      <c r="BC254" s="80">
        <f>SUM(BC3:BC253)</f>
        <v>373000</v>
      </c>
      <c r="BD254" s="80">
        <f>SUM(BD3:BD253)</f>
        <v>41760.353209524947</v>
      </c>
      <c r="BK254" s="1">
        <f>SUM(BK3:BK253)</f>
        <v>77768.116305587231</v>
      </c>
      <c r="BL254" s="1">
        <f>SUM(BL3:BL253)</f>
        <v>15793</v>
      </c>
      <c r="BM254" s="1">
        <f>SUM(BM3:BM253)</f>
        <v>43806.413623176137</v>
      </c>
      <c r="BN254" s="80">
        <f>SUM(BN3:BN253)</f>
        <v>77768.116305587231</v>
      </c>
      <c r="BO254" s="80">
        <f>SUM(BO3:BO253)</f>
        <v>15793</v>
      </c>
      <c r="BP254" s="80">
        <f>SUM(BP3:BP253)</f>
        <v>43806.413623176137</v>
      </c>
      <c r="BZ254" s="1">
        <f>SUM(BZ3:BZ253)</f>
        <v>506110</v>
      </c>
      <c r="CC254" s="1">
        <f>SUM(CC3:CC253)</f>
        <v>23314</v>
      </c>
      <c r="CG254" s="1">
        <f>SUM(CG3:CG253)</f>
        <v>263</v>
      </c>
      <c r="CH254" s="1">
        <f>SUM(CH3:CH253)</f>
        <v>132</v>
      </c>
      <c r="CI254" s="1">
        <f>SUM(CI3:CI253)</f>
        <v>56</v>
      </c>
      <c r="CJ254" s="1">
        <f>SUM(CJ3:CJ253)</f>
        <v>13</v>
      </c>
      <c r="CK254" s="1">
        <f>SUM(CK3:CK253)</f>
        <v>28</v>
      </c>
      <c r="CL254" s="82" t="e">
        <f>SUM(CL3:CL253)</f>
        <v>#N/A</v>
      </c>
      <c r="CM254" s="80" t="e">
        <f>SUM(CM3:CM253)</f>
        <v>#N/A</v>
      </c>
      <c r="CN254" s="82" t="e">
        <f>SUM(CN3:CN253)</f>
        <v>#N/A</v>
      </c>
    </row>
    <row r="1048576" spans="37:37">
      <c r="AK1048576" s="79">
        <f>SUM(AK3:AK1048575)</f>
        <v>16183.950827311997</v>
      </c>
    </row>
  </sheetData>
  <conditionalFormatting sqref="AG3:AM253">
    <cfRule type="expression" dxfId="1" priority="2">
      <formula>_xlfn.ISFORMULA(AG1048291)</formula>
    </cfRule>
  </conditionalFormatting>
  <conditionalFormatting sqref="AO3:BI253">
    <cfRule type="expression" dxfId="0" priority="1">
      <formula>_xlfn.ISFORMULA(AG3)</formula>
    </cfRule>
  </conditionalFormatting>
  <hyperlinks>
    <hyperlink ref="BW4" r:id="rId1" xr:uid="{67563167-7DEB-482D-97B5-D3EDD7218820}"/>
    <hyperlink ref="BW3" r:id="rId2" xr:uid="{8BECEA5A-FB7A-42E3-A59F-0D54A6C6C366}"/>
    <hyperlink ref="BW48" r:id="rId3" xr:uid="{1245C8B2-D38E-4FCB-8070-186853C7FFE3}"/>
    <hyperlink ref="BW233" r:id="rId4" xr:uid="{46EC2B02-7F72-43EF-BD6F-6926ACF91B0F}"/>
    <hyperlink ref="BW205:BW224" r:id="rId5" display="https://www.ncbi.nlm.nih.gov/pubmed/28647728" xr:uid="{484FD2D3-4851-4622-A5D5-660A7C607F99}"/>
    <hyperlink ref="BW46" r:id="rId6" xr:uid="{7088AC95-8280-4D14-9C9E-F1C868558CEB}"/>
    <hyperlink ref="BW23:BW29" r:id="rId7" display="https://www.ncbi.nlm.nih.gov/pubmed/28647728" xr:uid="{501F1332-7955-480D-B3A4-93F10C7ABDF7}"/>
    <hyperlink ref="BW8" r:id="rId8" xr:uid="{5C76B074-23D0-4D7F-844B-804E20926E3C}"/>
    <hyperlink ref="BW3:BW25" r:id="rId9" display="https://www.ncbi.nlm.nih.gov/pubmed/28647728" xr:uid="{80A7ECE4-83D6-4072-A2B7-4706C295EF89}"/>
    <hyperlink ref="BW115" r:id="rId10" xr:uid="{594B4259-C1BF-42D0-8564-FEF1E7E63C84}"/>
    <hyperlink ref="BW116" r:id="rId11" xr:uid="{25DB7A9D-A4EC-454E-855F-E73CEAD620A5}"/>
    <hyperlink ref="BW114" r:id="rId12" xr:uid="{20F7ADD5-9E90-49F0-B25B-6ABC8C1BE20C}"/>
    <hyperlink ref="BW47" r:id="rId13" xr:uid="{FF020C4C-ACB0-4AD0-847E-6869381F8F35}"/>
    <hyperlink ref="BW55" r:id="rId14" xr:uid="{45BFE100-12F0-4862-8D83-877AFFEE2709}"/>
    <hyperlink ref="BW40:BW45" r:id="rId15" display="https://www.ncbi.nlm.nih.gov/pubmed/30849943" xr:uid="{F16B055F-2491-4172-827C-AC39718E948F}"/>
    <hyperlink ref="BW226:BW240" r:id="rId16" tooltip="Persistent link using digital object identifier" display="https://doi.org/10.1016/j.ypmed.2019.01.009" xr:uid="{00340D4E-C02E-4546-97B5-215C1E2C827B}"/>
    <hyperlink ref="BW62" r:id="rId17" xr:uid="{1DF4B177-1A87-4A93-8403-31CF3F4B8D06}"/>
    <hyperlink ref="BW242:BW253" r:id="rId18" display="https://www.ncbi.nlm.nih.gov/pubmed/28739609" xr:uid="{20F97F01-D5D1-4026-89FA-F7441F0938E8}"/>
    <hyperlink ref="BW49" r:id="rId19" xr:uid="{F6778874-D5F0-4B7B-A842-BB51D424C04A}"/>
    <hyperlink ref="BW54" r:id="rId20" xr:uid="{B0125A09-2C06-4795-9D43-A61B652CF967}"/>
    <hyperlink ref="BW53" r:id="rId21" xr:uid="{E5AA55F4-53B4-4B93-87E0-21671D6B0BEA}"/>
    <hyperlink ref="BW52" r:id="rId22" xr:uid="{8EF89533-380C-4D24-9296-0CCBF63B5AFA}"/>
    <hyperlink ref="BW51" r:id="rId23" xr:uid="{BFBFA3DF-8055-40F4-B1B3-AD24BDB19C5C}"/>
    <hyperlink ref="BW50" r:id="rId24" xr:uid="{CFF99FD3-9167-4A32-9185-CAEA0E576781}"/>
    <hyperlink ref="BW56" r:id="rId25" xr:uid="{E8A85278-C2F7-44B5-9B13-DE881CAD218D}"/>
    <hyperlink ref="BW57" r:id="rId26" xr:uid="{87659A23-02DD-437E-9557-D2EA93AAECF9}"/>
    <hyperlink ref="BW58" r:id="rId27" xr:uid="{702D28B7-6706-430B-83AE-1D2C88BCDC4B}"/>
    <hyperlink ref="BW59" r:id="rId28" xr:uid="{73C977C2-8133-4879-9696-38B5ABBA0761}"/>
    <hyperlink ref="BW23" r:id="rId29" xr:uid="{6B91B02B-57C9-4DB1-8DA8-CEF9A345108F}"/>
    <hyperlink ref="CE118" r:id="rId30" xr:uid="{EC178686-5CE6-437D-83A7-3DC16CDCFEFC}"/>
    <hyperlink ref="CE119" r:id="rId31" xr:uid="{3699A575-EB93-4800-9FD9-736FC1FFD950}"/>
    <hyperlink ref="CE120" r:id="rId32" xr:uid="{1F184BA4-323C-4295-A05D-34537B2486A2}"/>
    <hyperlink ref="CE121" r:id="rId33" xr:uid="{901C471D-0CBA-412E-8B36-CAF1113B65D9}"/>
    <hyperlink ref="CE122" r:id="rId34" xr:uid="{5CCFB5C4-ABD0-45DD-9A96-A04C0644C7C7}"/>
    <hyperlink ref="CE123" r:id="rId35" xr:uid="{28C19F0F-E769-46DB-8505-BE6C8C47D3CE}"/>
    <hyperlink ref="BW223" r:id="rId36" xr:uid="{589D3468-379A-47F8-90B8-043552AFDDCA}"/>
  </hyperlinks>
  <pageMargins left="0.7" right="0.7" top="0.75" bottom="0.75" header="0.3" footer="0.3"/>
  <legacyDrawing r:id="rId37"/>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2024-08-18T23:21:55Z</dcterms:created>
  <dcterms:modified xsi:type="dcterms:W3CDTF">2024-12-01T22:52:25Z</dcterms:modified>
  <cp:category/>
  <cp:contentStatus/>
</cp:coreProperties>
</file>