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unn\Desktop\My Projects\"/>
    </mc:Choice>
  </mc:AlternateContent>
  <xr:revisionPtr revIDLastSave="0" documentId="8_{7C3F66FE-856D-4301-98AA-87529BD49DE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ssumptions &amp; Drivers" sheetId="1" r:id="rId1"/>
    <sheet name="Revenue Model" sheetId="2" r:id="rId2"/>
    <sheet name="Operating Expenses" sheetId="3" r:id="rId3"/>
    <sheet name="Balance Sheet" sheetId="4" r:id="rId4"/>
    <sheet name="Cash Flow Statement" sheetId="5" r:id="rId5"/>
    <sheet name="Headcount Plan" sheetId="6" r:id="rId6"/>
    <sheet name="KPI Dashboard" sheetId="7" r:id="rId7"/>
    <sheet name="Scenario Analysis" sheetId="8" r:id="rId8"/>
    <sheet name="Monthly Breakdown (Y1)" sheetId="9" r:id="rId9"/>
  </sheets>
  <calcPr calcId="191029"/>
  <fileRecoveryPr repairLoad="1"/>
</workbook>
</file>

<file path=xl/calcChain.xml><?xml version="1.0" encoding="utf-8"?>
<calcChain xmlns="http://schemas.openxmlformats.org/spreadsheetml/2006/main">
  <c r="E15" i="9" l="1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D7" i="7"/>
  <c r="C7" i="7"/>
  <c r="B7" i="7"/>
  <c r="B8" i="7" s="1"/>
  <c r="D18" i="6"/>
  <c r="C18" i="6"/>
  <c r="B18" i="6"/>
  <c r="D17" i="6"/>
  <c r="D19" i="6" s="1"/>
  <c r="C17" i="6"/>
  <c r="C19" i="6" s="1"/>
  <c r="B17" i="6"/>
  <c r="B19" i="6" s="1"/>
  <c r="D11" i="6"/>
  <c r="C11" i="6"/>
  <c r="B11" i="6"/>
  <c r="D22" i="5"/>
  <c r="C22" i="5"/>
  <c r="B22" i="5"/>
  <c r="D16" i="5"/>
  <c r="C16" i="5"/>
  <c r="B16" i="5"/>
  <c r="D11" i="5"/>
  <c r="D27" i="5" s="1"/>
  <c r="C11" i="5"/>
  <c r="C27" i="5" s="1"/>
  <c r="B11" i="5"/>
  <c r="B27" i="5" s="1"/>
  <c r="B28" i="5" s="1"/>
  <c r="D35" i="4"/>
  <c r="D23" i="7" s="1"/>
  <c r="C35" i="4"/>
  <c r="C23" i="7" s="1"/>
  <c r="B35" i="4"/>
  <c r="B23" i="7" s="1"/>
  <c r="D14" i="4"/>
  <c r="C14" i="4"/>
  <c r="B14" i="4"/>
  <c r="B28" i="3"/>
  <c r="B18" i="3"/>
  <c r="B6" i="2"/>
  <c r="B13" i="7" s="1"/>
  <c r="B18" i="1"/>
  <c r="D17" i="1"/>
  <c r="C17" i="1"/>
  <c r="C18" i="1" s="1"/>
  <c r="B17" i="1"/>
  <c r="C6" i="1"/>
  <c r="C4" i="1"/>
  <c r="D4" i="1" s="1"/>
  <c r="B7" i="2" l="1"/>
  <c r="B4" i="7" s="1"/>
  <c r="B5" i="7" s="1"/>
  <c r="B11" i="7"/>
  <c r="C8" i="7"/>
  <c r="C26" i="5"/>
  <c r="C28" i="5" s="1"/>
  <c r="B6" i="4"/>
  <c r="C15" i="2"/>
  <c r="D6" i="1"/>
  <c r="C4" i="2"/>
  <c r="B8" i="2"/>
  <c r="B14" i="2"/>
  <c r="B16" i="2" s="1"/>
  <c r="B19" i="3" s="1"/>
  <c r="D18" i="1" l="1"/>
  <c r="D8" i="7"/>
  <c r="C6" i="2"/>
  <c r="C11" i="7" s="1"/>
  <c r="B9" i="4"/>
  <c r="D26" i="5"/>
  <c r="D28" i="5" s="1"/>
  <c r="D6" i="4" s="1"/>
  <c r="C6" i="4"/>
  <c r="B22" i="2"/>
  <c r="B23" i="2"/>
  <c r="B6" i="3"/>
  <c r="B23" i="4"/>
  <c r="B7" i="3"/>
  <c r="B15" i="7"/>
  <c r="B7" i="4"/>
  <c r="B24" i="2"/>
  <c r="B29" i="3"/>
  <c r="B25" i="2" l="1"/>
  <c r="B9" i="3"/>
  <c r="B16" i="4"/>
  <c r="C7" i="2"/>
  <c r="B26" i="2"/>
  <c r="C13" i="7"/>
  <c r="B6" i="7" l="1"/>
  <c r="B10" i="3"/>
  <c r="B16" i="1"/>
  <c r="B19" i="1" s="1"/>
  <c r="B35" i="3"/>
  <c r="B34" i="3"/>
  <c r="B36" i="3" s="1"/>
  <c r="B27" i="2"/>
  <c r="C4" i="7"/>
  <c r="C5" i="7" s="1"/>
  <c r="C14" i="2"/>
  <c r="C16" i="2" s="1"/>
  <c r="D4" i="2"/>
  <c r="C8" i="2"/>
  <c r="D15" i="2"/>
  <c r="B10" i="7" l="1"/>
  <c r="B9" i="7"/>
  <c r="C12" i="7"/>
  <c r="D6" i="2"/>
  <c r="D11" i="7" s="1"/>
  <c r="D7" i="2"/>
  <c r="C25" i="3"/>
  <c r="C28" i="3" s="1"/>
  <c r="C29" i="3" s="1"/>
  <c r="C22" i="2"/>
  <c r="C6" i="3"/>
  <c r="C9" i="3" s="1"/>
  <c r="C14" i="7" s="1"/>
  <c r="C7" i="4"/>
  <c r="C24" i="2"/>
  <c r="C23" i="2"/>
  <c r="C23" i="4"/>
  <c r="C7" i="3"/>
  <c r="C15" i="7"/>
  <c r="C17" i="2"/>
  <c r="C27" i="3"/>
  <c r="C17" i="3"/>
  <c r="C18" i="3" s="1"/>
  <c r="C19" i="3" s="1"/>
  <c r="B37" i="3"/>
  <c r="B24" i="7"/>
  <c r="B22" i="4"/>
  <c r="B21" i="4"/>
  <c r="B24" i="4" l="1"/>
  <c r="B16" i="7"/>
  <c r="B25" i="7"/>
  <c r="D8" i="2"/>
  <c r="D4" i="7"/>
  <c r="D5" i="7" s="1"/>
  <c r="D14" i="2"/>
  <c r="D16" i="2" s="1"/>
  <c r="D13" i="7"/>
  <c r="C9" i="4"/>
  <c r="C25" i="2"/>
  <c r="C10" i="3"/>
  <c r="C6" i="7"/>
  <c r="C16" i="1"/>
  <c r="C19" i="1" s="1"/>
  <c r="C35" i="3"/>
  <c r="C22" i="4" s="1"/>
  <c r="C10" i="7" l="1"/>
  <c r="C9" i="7"/>
  <c r="C21" i="4"/>
  <c r="C24" i="4" s="1"/>
  <c r="C21" i="7" s="1"/>
  <c r="C26" i="2"/>
  <c r="C16" i="4"/>
  <c r="D25" i="3"/>
  <c r="D28" i="3" s="1"/>
  <c r="D29" i="3" s="1"/>
  <c r="D22" i="2"/>
  <c r="D25" i="2" s="1"/>
  <c r="D6" i="3"/>
  <c r="D9" i="3" s="1"/>
  <c r="D23" i="4"/>
  <c r="D17" i="2"/>
  <c r="D26" i="2"/>
  <c r="D17" i="3"/>
  <c r="D18" i="3" s="1"/>
  <c r="D19" i="3" s="1"/>
  <c r="D15" i="7"/>
  <c r="D7" i="4"/>
  <c r="D24" i="2"/>
  <c r="D27" i="3"/>
  <c r="D23" i="2"/>
  <c r="D7" i="3"/>
  <c r="B29" i="4"/>
  <c r="B37" i="4" s="1"/>
  <c r="B22" i="7"/>
  <c r="B21" i="7"/>
  <c r="D12" i="7"/>
  <c r="D14" i="7"/>
  <c r="D34" i="3" l="1"/>
  <c r="D27" i="2"/>
  <c r="D6" i="7"/>
  <c r="D10" i="3"/>
  <c r="D35" i="3"/>
  <c r="D22" i="4" s="1"/>
  <c r="D16" i="1"/>
  <c r="D19" i="1" s="1"/>
  <c r="D21" i="4"/>
  <c r="D24" i="4" s="1"/>
  <c r="D29" i="4" s="1"/>
  <c r="D37" i="4" s="1"/>
  <c r="C34" i="3"/>
  <c r="C36" i="3" s="1"/>
  <c r="C27" i="2"/>
  <c r="D9" i="4"/>
  <c r="D22" i="7"/>
  <c r="C29" i="4"/>
  <c r="C37" i="4" s="1"/>
  <c r="C22" i="7"/>
  <c r="D36" i="3" l="1"/>
  <c r="D37" i="3" s="1"/>
  <c r="D21" i="7"/>
  <c r="D16" i="4"/>
  <c r="C37" i="3"/>
  <c r="C24" i="7"/>
  <c r="D10" i="7"/>
  <c r="D9" i="7"/>
  <c r="D24" i="7" l="1"/>
  <c r="D16" i="7"/>
  <c r="D25" i="7"/>
  <c r="C16" i="7"/>
  <c r="C25" i="7"/>
</calcChain>
</file>

<file path=xl/sharedStrings.xml><?xml version="1.0" encoding="utf-8"?>
<sst xmlns="http://schemas.openxmlformats.org/spreadsheetml/2006/main" count="285" uniqueCount="196">
  <si>
    <t>TechFlow SaaS Financial Model – Assumptions &amp; Drivers</t>
  </si>
  <si>
    <t>Assumption</t>
  </si>
  <si>
    <t>Year 1</t>
  </si>
  <si>
    <t>Year 2</t>
  </si>
  <si>
    <t>Year 3</t>
  </si>
  <si>
    <t>Starting Customers</t>
  </si>
  <si>
    <t>Customer Growth Rate</t>
  </si>
  <si>
    <t>ARPU (Annual)</t>
  </si>
  <si>
    <t>Annual Churn Rate</t>
  </si>
  <si>
    <t>Gross Margin %</t>
  </si>
  <si>
    <t>S&amp;M % of Revenue</t>
  </si>
  <si>
    <t>R&amp;D % of Revenue</t>
  </si>
  <si>
    <t>G&amp;A % of Revenue</t>
  </si>
  <si>
    <t>Unit Economics</t>
  </si>
  <si>
    <t>Metric</t>
  </si>
  <si>
    <t>CAC</t>
  </si>
  <si>
    <t>Customer Lifetime (years)</t>
  </si>
  <si>
    <t>LTV</t>
  </si>
  <si>
    <t>LTV:CAC Ratio</t>
  </si>
  <si>
    <t>Customer Metrics</t>
  </si>
  <si>
    <t>Beginning Customers</t>
  </si>
  <si>
    <t>New Customers</t>
  </si>
  <si>
    <t>Churned Customers</t>
  </si>
  <si>
    <t>Ending Customers</t>
  </si>
  <si>
    <t>Net New Customers</t>
  </si>
  <si>
    <t>Revenue Breakdown</t>
  </si>
  <si>
    <t>Line Item</t>
  </si>
  <si>
    <t>Base Subscription Revenue</t>
  </si>
  <si>
    <t>Expansion Revenue</t>
  </si>
  <si>
    <t>Total Revenue</t>
  </si>
  <si>
    <t>YoY Growth %</t>
  </si>
  <si>
    <t>Cost of Goods Sold</t>
  </si>
  <si>
    <t>Hosting/Infrastructure</t>
  </si>
  <si>
    <t>Support Staff</t>
  </si>
  <si>
    <t>Third-party Tools</t>
  </si>
  <si>
    <t>Total COGS</t>
  </si>
  <si>
    <t>Gross Profit</t>
  </si>
  <si>
    <t>Sales &amp; Marketing</t>
  </si>
  <si>
    <t>Sales Team Salaries</t>
  </si>
  <si>
    <t>Marketing Team Salaries</t>
  </si>
  <si>
    <t>Advertising &amp; Demand Gen</t>
  </si>
  <si>
    <t>Tools &amp; Software</t>
  </si>
  <si>
    <t>Events &amp; Conferences</t>
  </si>
  <si>
    <t>Total S&amp;M</t>
  </si>
  <si>
    <t>% of Revenue</t>
  </si>
  <si>
    <t>Research &amp; Development</t>
  </si>
  <si>
    <t>Engineering Salaries</t>
  </si>
  <si>
    <t>Product Manager Salaries</t>
  </si>
  <si>
    <t>Development Tools</t>
  </si>
  <si>
    <t>Total R&amp;D</t>
  </si>
  <si>
    <t>General &amp; Administrative</t>
  </si>
  <si>
    <t>Executive Salaries</t>
  </si>
  <si>
    <t>Office &amp; Facilities</t>
  </si>
  <si>
    <t>Legal &amp; Professional</t>
  </si>
  <si>
    <t>Insurance</t>
  </si>
  <si>
    <t>Total G&amp;A</t>
  </si>
  <si>
    <t>EBITDA Calculation</t>
  </si>
  <si>
    <t>Total OpEx</t>
  </si>
  <si>
    <t>EBITDA</t>
  </si>
  <si>
    <t>EBITDA Margin %</t>
  </si>
  <si>
    <t>Balance Sheet (End of Year)</t>
  </si>
  <si>
    <t>Assets</t>
  </si>
  <si>
    <t>CURRENT ASSETS</t>
  </si>
  <si>
    <t>Cash &amp; Cash Equivalents</t>
  </si>
  <si>
    <t>Accounts Receivable</t>
  </si>
  <si>
    <t>Prepaid Expenses</t>
  </si>
  <si>
    <t>Total Current Assets</t>
  </si>
  <si>
    <t>NON-CURRENT ASSETS</t>
  </si>
  <si>
    <t>Property, Plant &amp; Equipment</t>
  </si>
  <si>
    <t>Intangible Assets</t>
  </si>
  <si>
    <t>Total Non-Current Assets</t>
  </si>
  <si>
    <t>TOTAL ASSETS</t>
  </si>
  <si>
    <t>Liabilities</t>
  </si>
  <si>
    <t>CURRENT LIABILITIES</t>
  </si>
  <si>
    <t>Accounts Payable</t>
  </si>
  <si>
    <t>Accrued Expenses</t>
  </si>
  <si>
    <t>Deferred Revenue</t>
  </si>
  <si>
    <t>Total Current Liabilities</t>
  </si>
  <si>
    <t>NON-CURRENT LIABILITIES</t>
  </si>
  <si>
    <t>Long-term Debt</t>
  </si>
  <si>
    <t>Total Liabilities</t>
  </si>
  <si>
    <t>Equity</t>
  </si>
  <si>
    <t>Common Stock</t>
  </si>
  <si>
    <t>Retained Earnings</t>
  </si>
  <si>
    <t>Total Equity</t>
  </si>
  <si>
    <t>TOTAL LIAB &amp; EQUITY</t>
  </si>
  <si>
    <t>Cash Flow Statement</t>
  </si>
  <si>
    <t>Operating Activities</t>
  </si>
  <si>
    <t>Net Income</t>
  </si>
  <si>
    <t>Add: Depreciation</t>
  </si>
  <si>
    <t>(Increase) in AR</t>
  </si>
  <si>
    <t>Increase in AP</t>
  </si>
  <si>
    <t>Increase in Accrued Exp</t>
  </si>
  <si>
    <t>Increase in Deferred Rev</t>
  </si>
  <si>
    <t>Net Cash from Operations</t>
  </si>
  <si>
    <t>Investing Activities</t>
  </si>
  <si>
    <t>Purchase of PP&amp;E</t>
  </si>
  <si>
    <t>Net Cash from Investing</t>
  </si>
  <si>
    <t>Financing Activities</t>
  </si>
  <si>
    <t>Proceeds from Equity</t>
  </si>
  <si>
    <t>Debt Repayment</t>
  </si>
  <si>
    <t>Net Cash from Financing</t>
  </si>
  <si>
    <t>Cash Reconciliation</t>
  </si>
  <si>
    <t>Beginning Cash</t>
  </si>
  <si>
    <t>Net Cash Flow</t>
  </si>
  <si>
    <t>Ending Cash</t>
  </si>
  <si>
    <t>Headcount by Department</t>
  </si>
  <si>
    <t>Department</t>
  </si>
  <si>
    <t>Notes</t>
  </si>
  <si>
    <t>Sales</t>
  </si>
  <si>
    <t>$120K avg salary</t>
  </si>
  <si>
    <t>Marketing</t>
  </si>
  <si>
    <t>$100K avg salary</t>
  </si>
  <si>
    <t>Engineering</t>
  </si>
  <si>
    <t>$140K avg salary</t>
  </si>
  <si>
    <t>Product</t>
  </si>
  <si>
    <t>$130K avg salary</t>
  </si>
  <si>
    <t>Customer Success</t>
  </si>
  <si>
    <t>$80K avg salary</t>
  </si>
  <si>
    <t>Operations</t>
  </si>
  <si>
    <t>$90K avg salary</t>
  </si>
  <si>
    <t>Executive/Admin</t>
  </si>
  <si>
    <t>$150K avg salary</t>
  </si>
  <si>
    <t>Total Headcount</t>
  </si>
  <si>
    <t>Compensation Expense</t>
  </si>
  <si>
    <t>Base Salaries</t>
  </si>
  <si>
    <t>Payroll Taxes (15%)</t>
  </si>
  <si>
    <t>Benefits (20%)</t>
  </si>
  <si>
    <t>Total Compensation</t>
  </si>
  <si>
    <t>SaaS Metrics</t>
  </si>
  <si>
    <t>Benchmark</t>
  </si>
  <si>
    <t>MRR (End of Year)</t>
  </si>
  <si>
    <t>-</t>
  </si>
  <si>
    <t>ARR (End of Year)</t>
  </si>
  <si>
    <t>&lt;$5K</t>
  </si>
  <si>
    <t>LTV:CAC</t>
  </si>
  <si>
    <t>&gt;3x</t>
  </si>
  <si>
    <t>CAC Payback (months)</t>
  </si>
  <si>
    <t>&lt;=12</t>
  </si>
  <si>
    <t>Annual Churn</t>
  </si>
  <si>
    <t>&lt;10%</t>
  </si>
  <si>
    <t>Net Revenue Retention</t>
  </si>
  <si>
    <t>&gt;100%</t>
  </si>
  <si>
    <t>Gross Retention</t>
  </si>
  <si>
    <t>&gt;90%</t>
  </si>
  <si>
    <t>Magic Number</t>
  </si>
  <si>
    <t>&gt;1.0</t>
  </si>
  <si>
    <t>Revenue/Employee</t>
  </si>
  <si>
    <t>&gt;$200K</t>
  </si>
  <si>
    <t>EBITDA Margin</t>
  </si>
  <si>
    <t>&gt;15%</t>
  </si>
  <si>
    <t>Financial Ratios</t>
  </si>
  <si>
    <t>Ratio</t>
  </si>
  <si>
    <t>Current Ratio</t>
  </si>
  <si>
    <t>&gt;2x</t>
  </si>
  <si>
    <t>Quick Ratio</t>
  </si>
  <si>
    <t>&gt;1x</t>
  </si>
  <si>
    <t>Debt-to-Equity</t>
  </si>
  <si>
    <t>&lt;0.5</t>
  </si>
  <si>
    <t>Operating Margin</t>
  </si>
  <si>
    <t>Rule of 40</t>
  </si>
  <si>
    <t>&gt;40%</t>
  </si>
  <si>
    <t>Scenario Variables</t>
  </si>
  <si>
    <t>Variable</t>
  </si>
  <si>
    <t>Pessimistic</t>
  </si>
  <si>
    <t>Base Case</t>
  </si>
  <si>
    <t>Optimistic</t>
  </si>
  <si>
    <t>Customer Growth Y2</t>
  </si>
  <si>
    <t>Customer Growth Y3</t>
  </si>
  <si>
    <t>ARPU Growth</t>
  </si>
  <si>
    <t>Churn Rate Y1</t>
  </si>
  <si>
    <t>Gross Margin</t>
  </si>
  <si>
    <t>Scenario Outputs (Year 3)</t>
  </si>
  <si>
    <t>Output</t>
  </si>
  <si>
    <t>Revenue</t>
  </si>
  <si>
    <t>Cash Balance</t>
  </si>
  <si>
    <t>Headcount</t>
  </si>
  <si>
    <t>Monthly Revenue Build – Year 1</t>
  </si>
  <si>
    <t>Month</t>
  </si>
  <si>
    <t>Customers</t>
  </si>
  <si>
    <t>New</t>
  </si>
  <si>
    <t>Churn</t>
  </si>
  <si>
    <t>MRR</t>
  </si>
  <si>
    <t>ARR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</si>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</sst>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$#,##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6" fontId="2" fillId="0" borderId="0" xfId="0" applyNumberFormat="1" applyFont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Normal" xfId="0" builtinId="0"/>
  </cellStyles>
  <dxfs count="7">
    <dxf>
      <fill>
        <patternFill>
          <bgColor rgb="FFC6EFCE"/>
        </patternFill>
      </fill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 vs LTV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CAC</c:v>
          </c:tx>
          <c:marker>
            <c:symbol val="none"/>
          </c:marker>
          <c:cat>
            <c:strRef>
              <c:f>'Assumptions &amp; Drivers'!$B$15:$D$15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'Assumptions &amp; Drivers'!$B$16:$D$16</c:f>
              <c:numCache>
                <c:formatCode>\$#,##0</c:formatCode>
                <c:ptCount val="3"/>
                <c:pt idx="0">
                  <c:v>4044.4444444444443</c:v>
                </c:pt>
                <c:pt idx="1">
                  <c:v>7760.9546218487412</c:v>
                </c:pt>
                <c:pt idx="2">
                  <c:v>11871.261467787117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2-425B-8649-39CC40BD279D}"/>
            </c:ext>
          </c:extLst>
        </c:ser>
        <c:ser>
          <c:idx val="1"/>
          <c:order val="1"/>
          <c:tx>
            <c:v>LTV</c:v>
          </c:tx>
          <c:marker>
            <c:symbol val="none"/>
          </c:marker>
          <c:cat>
            <c:strRef>
              <c:f>'Assumptions &amp; Drivers'!$B$15:$D$15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'Assumptions &amp; Drivers'!$B$18:$D$18</c:f>
              <c:numCache>
                <c:formatCode>\$#,##0</c:formatCode>
                <c:ptCount val="3"/>
                <c:pt idx="0">
                  <c:v>105000</c:v>
                </c:pt>
                <c:pt idx="1">
                  <c:v>132000</c:v>
                </c:pt>
                <c:pt idx="2">
                  <c:v>169400.00000000006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2-425B-8649-39CC40BD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\$#,##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Revenue by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Revenue</c:v>
          </c:tx>
          <c:invertIfNegative val="0"/>
          <c:cat>
            <c:strRef>
              <c:f>'Revenue Model'!$A$13:$D$13</c:f>
              <c:strCache>
                <c:ptCount val="4"/>
                <c:pt idx="0">
                  <c:v>Line Item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</c:strCache>
            </c:strRef>
          </c:cat>
          <c:val>
            <c:numRef>
              <c:f>'Revenue Model'!$B$16:$D$16</c:f>
              <c:numCache>
                <c:formatCode>\$#,##0</c:formatCode>
                <c:ptCount val="3"/>
                <c:pt idx="0">
                  <c:v>6480000</c:v>
                </c:pt>
                <c:pt idx="1">
                  <c:v>16128960.000000004</c:v>
                </c:pt>
                <c:pt idx="2">
                  <c:v>29966175.360000011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7-42E8-808B-FA2A7296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\$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Headcount by Department (Years 1–3)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'Headcount Plan'!$A$4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'Headcount Plan'!$B$3:$D$3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'Headcount Plan'!$B$4:$D$4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3-4A45-9FC8-2E2DAF769DAC}"/>
            </c:ext>
          </c:extLst>
        </c:ser>
        <c:ser>
          <c:idx val="1"/>
          <c:order val="1"/>
          <c:tx>
            <c:strRef>
              <c:f>'Headcount Plan'!$A$5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'Headcount Plan'!$B$3:$D$3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'Headcount Plan'!$B$5:$D$5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3-4A45-9FC8-2E2DAF769DAC}"/>
            </c:ext>
          </c:extLst>
        </c:ser>
        <c:ser>
          <c:idx val="2"/>
          <c:order val="2"/>
          <c:tx>
            <c:strRef>
              <c:f>'Headcount Plan'!$A$6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'Headcount Plan'!$B$3:$D$3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'Headcount Plan'!$B$6:$D$6</c:f>
              <c:numCache>
                <c:formatCode>General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3-4A45-9FC8-2E2DAF769DAC}"/>
            </c:ext>
          </c:extLst>
        </c:ser>
        <c:ser>
          <c:idx val="3"/>
          <c:order val="3"/>
          <c:tx>
            <c:strRef>
              <c:f>'Headcount Plan'!$A$7</c:f>
              <c:strCache>
                <c:ptCount val="1"/>
                <c:pt idx="0">
                  <c:v>Product</c:v>
                </c:pt>
              </c:strCache>
            </c:strRef>
          </c:tx>
          <c:invertIfNegative val="0"/>
          <c:cat>
            <c:strRef>
              <c:f>'Headcount Plan'!$B$3:$D$3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'Headcount Plan'!$B$7:$D$7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3-4A45-9FC8-2E2DAF769DAC}"/>
            </c:ext>
          </c:extLst>
        </c:ser>
        <c:ser>
          <c:idx val="4"/>
          <c:order val="4"/>
          <c:tx>
            <c:strRef>
              <c:f>'Headcount Plan'!$A$8</c:f>
              <c:strCache>
                <c:ptCount val="1"/>
                <c:pt idx="0">
                  <c:v>Customer Success</c:v>
                </c:pt>
              </c:strCache>
            </c:strRef>
          </c:tx>
          <c:invertIfNegative val="0"/>
          <c:cat>
            <c:strRef>
              <c:f>'Headcount Plan'!$B$3:$D$3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'Headcount Plan'!$B$8:$D$8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A3-4A45-9FC8-2E2DAF769DAC}"/>
            </c:ext>
          </c:extLst>
        </c:ser>
        <c:ser>
          <c:idx val="5"/>
          <c:order val="5"/>
          <c:tx>
            <c:strRef>
              <c:f>'Headcount Plan'!$A$9</c:f>
              <c:strCache>
                <c:ptCount val="1"/>
                <c:pt idx="0">
                  <c:v>Operations</c:v>
                </c:pt>
              </c:strCache>
            </c:strRef>
          </c:tx>
          <c:invertIfNegative val="0"/>
          <c:cat>
            <c:strRef>
              <c:f>'Headcount Plan'!$B$3:$D$3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'Headcount Plan'!$B$9:$D$9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3-4A45-9FC8-2E2DAF769DAC}"/>
            </c:ext>
          </c:extLst>
        </c:ser>
        <c:ser>
          <c:idx val="6"/>
          <c:order val="6"/>
          <c:tx>
            <c:strRef>
              <c:f>'Headcount Plan'!$A$10</c:f>
              <c:strCache>
                <c:ptCount val="1"/>
                <c:pt idx="0">
                  <c:v>Executive/Admin</c:v>
                </c:pt>
              </c:strCache>
            </c:strRef>
          </c:tx>
          <c:invertIfNegative val="0"/>
          <c:cat>
            <c:strRef>
              <c:f>'Headcount Plan'!$B$3:$D$3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'Headcount Plan'!$B$10:$D$10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A3-4A45-9FC8-2E2DAF76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MRR by Month (Year 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MRR</c:v>
          </c:tx>
          <c:invertIfNegative val="0"/>
          <c:cat>
            <c:strRef>
              <c:f>'Monthly Breakdown (Y1)'!$A$4:$A$15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 (Y1)'!$E$4:$E$15</c:f>
              <c:numCache>
                <c:formatCode>General</c:formatCode>
                <c:ptCount val="12"/>
                <c:pt idx="0">
                  <c:v>45000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410000</c:v>
                </c:pt>
                <c:pt idx="10">
                  <c:v>455000</c:v>
                </c:pt>
                <c:pt idx="1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C-4663-B069-CF59C52E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MRR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14</xdr:col>
      <xdr:colOff>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14</xdr:col>
      <xdr:colOff>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457200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I6" sqref="I6"/>
    </sheetView>
  </sheetViews>
  <sheetFormatPr defaultRowHeight="14.5" x14ac:dyDescent="0.35"/>
  <cols>
    <col min="1" max="1" width="30.7265625" customWidth="1"/>
    <col min="2" max="4" width="14.7265625" customWidth="1"/>
  </cols>
  <sheetData>
    <row r="1" spans="1:4" ht="18.5" x14ac:dyDescent="0.45">
      <c r="A1" s="1" t="s">
        <v>0</v>
      </c>
    </row>
    <row r="3" spans="1:4" x14ac:dyDescent="0.3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35">
      <c r="A4" t="s">
        <v>5</v>
      </c>
      <c r="B4" s="3">
        <v>500</v>
      </c>
      <c r="C4">
        <f>B4*C5</f>
        <v>350</v>
      </c>
      <c r="D4">
        <f>C4*D5</f>
        <v>227.5</v>
      </c>
    </row>
    <row r="5" spans="1:4" x14ac:dyDescent="0.35">
      <c r="A5" t="s">
        <v>6</v>
      </c>
      <c r="C5" s="4">
        <v>0.7</v>
      </c>
      <c r="D5" s="4">
        <v>0.65</v>
      </c>
    </row>
    <row r="6" spans="1:4" x14ac:dyDescent="0.35">
      <c r="A6" t="s">
        <v>7</v>
      </c>
      <c r="B6" s="5">
        <v>12000</v>
      </c>
      <c r="C6">
        <f>B6*1.1</f>
        <v>13200.000000000002</v>
      </c>
      <c r="D6">
        <f>C6*1.1</f>
        <v>14520.000000000004</v>
      </c>
    </row>
    <row r="7" spans="1:4" x14ac:dyDescent="0.35">
      <c r="A7" t="s">
        <v>8</v>
      </c>
      <c r="B7" s="4">
        <v>0.08</v>
      </c>
      <c r="C7" s="4">
        <v>7.0000000000000007E-2</v>
      </c>
      <c r="D7" s="4">
        <v>0.06</v>
      </c>
    </row>
    <row r="8" spans="1:4" x14ac:dyDescent="0.35">
      <c r="A8" t="s">
        <v>9</v>
      </c>
      <c r="B8" s="4">
        <v>0.7</v>
      </c>
      <c r="C8" s="4">
        <v>0.7</v>
      </c>
      <c r="D8" s="4">
        <v>0.7</v>
      </c>
    </row>
    <row r="9" spans="1:4" x14ac:dyDescent="0.35">
      <c r="A9" t="s">
        <v>10</v>
      </c>
      <c r="B9" s="4">
        <v>0.35</v>
      </c>
      <c r="C9" s="4">
        <v>0.3</v>
      </c>
      <c r="D9" s="4">
        <v>0.28000000000000003</v>
      </c>
    </row>
    <row r="10" spans="1:4" x14ac:dyDescent="0.35">
      <c r="A10" t="s">
        <v>11</v>
      </c>
      <c r="B10" s="4">
        <v>0.15</v>
      </c>
      <c r="C10" s="4">
        <v>0.12</v>
      </c>
      <c r="D10" s="4">
        <v>0.11</v>
      </c>
    </row>
    <row r="11" spans="1:4" x14ac:dyDescent="0.35">
      <c r="A11" t="s">
        <v>12</v>
      </c>
      <c r="B11" s="4">
        <v>0.1</v>
      </c>
      <c r="C11" s="4">
        <v>0.08</v>
      </c>
      <c r="D11" s="4">
        <v>7.0000000000000007E-2</v>
      </c>
    </row>
    <row r="14" spans="1:4" x14ac:dyDescent="0.35">
      <c r="A14" s="6" t="s">
        <v>13</v>
      </c>
    </row>
    <row r="15" spans="1:4" x14ac:dyDescent="0.35">
      <c r="A15" s="2" t="s">
        <v>14</v>
      </c>
      <c r="B15" s="2" t="s">
        <v>2</v>
      </c>
      <c r="C15" s="2" t="s">
        <v>3</v>
      </c>
      <c r="D15" s="2" t="s">
        <v>4</v>
      </c>
    </row>
    <row r="16" spans="1:4" x14ac:dyDescent="0.35">
      <c r="A16" t="s">
        <v>15</v>
      </c>
      <c r="B16" s="5">
        <f>IFERROR('Operating Expenses'!B9/'Revenue Model'!B5,0)</f>
        <v>4044.4444444444443</v>
      </c>
      <c r="C16" s="5">
        <f>IFERROR('Operating Expenses'!C9/'Revenue Model'!C5,0)</f>
        <v>7760.9546218487412</v>
      </c>
      <c r="D16" s="5">
        <f>IFERROR('Operating Expenses'!D9/'Revenue Model'!D5,0)</f>
        <v>11871.261467787117</v>
      </c>
    </row>
    <row r="17" spans="1:4" x14ac:dyDescent="0.35">
      <c r="A17" t="s">
        <v>16</v>
      </c>
      <c r="B17" s="7">
        <f>IFERROR(1/'Assumptions &amp; Drivers'!B7,0)</f>
        <v>12.5</v>
      </c>
      <c r="C17" s="7">
        <f>IFERROR(1/'Assumptions &amp; Drivers'!C7,0)</f>
        <v>14.285714285714285</v>
      </c>
      <c r="D17" s="7">
        <f>IFERROR(1/'Assumptions &amp; Drivers'!D7,0)</f>
        <v>16.666666666666668</v>
      </c>
    </row>
    <row r="18" spans="1:4" x14ac:dyDescent="0.35">
      <c r="A18" t="s">
        <v>17</v>
      </c>
      <c r="B18" s="5">
        <f>'Assumptions &amp; Drivers'!B6*B17*'Assumptions &amp; Drivers'!B8</f>
        <v>105000</v>
      </c>
      <c r="C18" s="5">
        <f>'Assumptions &amp; Drivers'!C6*C17*'Assumptions &amp; Drivers'!C8</f>
        <v>132000</v>
      </c>
      <c r="D18" s="5">
        <f>'Assumptions &amp; Drivers'!D6*D17*'Assumptions &amp; Drivers'!D8</f>
        <v>169400.00000000006</v>
      </c>
    </row>
    <row r="19" spans="1:4" x14ac:dyDescent="0.35">
      <c r="A19" t="s">
        <v>18</v>
      </c>
      <c r="B19" s="7">
        <f>IFERROR(B18/B16,0)</f>
        <v>25.961538461538463</v>
      </c>
      <c r="C19" s="7">
        <f>IFERROR(C18/C16,0)</f>
        <v>17.008216956763523</v>
      </c>
      <c r="D19" s="7">
        <f>IFERROR(D18/D16,0)</f>
        <v>14.269755616087643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opLeftCell="A18" workbookViewId="0">
      <selection activeCell="G7" sqref="G7"/>
    </sheetView>
  </sheetViews>
  <sheetFormatPr defaultRowHeight="14.5" x14ac:dyDescent="0.35"/>
  <cols>
    <col min="1" max="1" width="32.7265625" customWidth="1"/>
    <col min="2" max="4" width="18.7265625" customWidth="1"/>
    <col min="5" max="5" width="8.7265625" style="8"/>
  </cols>
  <sheetData>
    <row r="1" spans="1:5" ht="18.5" x14ac:dyDescent="0.45">
      <c r="A1" s="1" t="s">
        <v>19</v>
      </c>
    </row>
    <row r="3" spans="1:5" x14ac:dyDescent="0.35">
      <c r="A3" s="2" t="s">
        <v>14</v>
      </c>
      <c r="B3" s="2" t="s">
        <v>2</v>
      </c>
      <c r="C3" s="2" t="s">
        <v>3</v>
      </c>
      <c r="D3" s="2" t="s">
        <v>4</v>
      </c>
      <c r="E3" s="9"/>
    </row>
    <row r="4" spans="1:5" x14ac:dyDescent="0.35">
      <c r="A4" t="s">
        <v>20</v>
      </c>
      <c r="B4">
        <v>0</v>
      </c>
      <c r="C4">
        <f>B7</f>
        <v>540</v>
      </c>
      <c r="D4">
        <f>C7</f>
        <v>1172.8</v>
      </c>
    </row>
    <row r="5" spans="1:5" x14ac:dyDescent="0.35">
      <c r="A5" t="s">
        <v>21</v>
      </c>
      <c r="B5">
        <v>540</v>
      </c>
      <c r="C5">
        <v>595</v>
      </c>
      <c r="D5">
        <v>714</v>
      </c>
    </row>
    <row r="6" spans="1:5" x14ac:dyDescent="0.35">
      <c r="A6" t="s">
        <v>22</v>
      </c>
      <c r="B6">
        <f>B4*'Assumptions &amp; Drivers'!B7</f>
        <v>0</v>
      </c>
      <c r="C6">
        <f>C4*'Assumptions &amp; Drivers'!C7</f>
        <v>37.800000000000004</v>
      </c>
      <c r="D6">
        <f>D4*'Assumptions &amp; Drivers'!D7</f>
        <v>70.367999999999995</v>
      </c>
    </row>
    <row r="7" spans="1:5" x14ac:dyDescent="0.35">
      <c r="A7" t="s">
        <v>23</v>
      </c>
      <c r="B7">
        <f>B4+B5+B6</f>
        <v>540</v>
      </c>
      <c r="C7">
        <f>C4+C5+C6</f>
        <v>1172.8</v>
      </c>
      <c r="D7">
        <f>D4+D5+D6</f>
        <v>1957.1679999999999</v>
      </c>
    </row>
    <row r="8" spans="1:5" x14ac:dyDescent="0.35">
      <c r="A8" t="s">
        <v>24</v>
      </c>
      <c r="B8">
        <f>B7-B4</f>
        <v>540</v>
      </c>
      <c r="C8">
        <f>C7-C4</f>
        <v>632.79999999999995</v>
      </c>
      <c r="D8">
        <f>D7-D4</f>
        <v>784.36799999999994</v>
      </c>
    </row>
    <row r="11" spans="1:5" ht="18.5" x14ac:dyDescent="0.45">
      <c r="A11" s="1" t="s">
        <v>25</v>
      </c>
    </row>
    <row r="13" spans="1:5" x14ac:dyDescent="0.35">
      <c r="A13" s="2" t="s">
        <v>26</v>
      </c>
      <c r="B13" s="2" t="s">
        <v>2</v>
      </c>
      <c r="C13" s="2" t="s">
        <v>3</v>
      </c>
      <c r="D13" s="2" t="s">
        <v>4</v>
      </c>
      <c r="E13" s="9"/>
    </row>
    <row r="14" spans="1:5" x14ac:dyDescent="0.35">
      <c r="A14" t="s">
        <v>27</v>
      </c>
      <c r="B14" s="5">
        <f>B7*'Assumptions &amp; Drivers'!B6</f>
        <v>6480000</v>
      </c>
      <c r="C14" s="5">
        <f>C7*'Assumptions &amp; Drivers'!C6</f>
        <v>15480960.000000002</v>
      </c>
      <c r="D14" s="5">
        <f>D7*'Assumptions &amp; Drivers'!D6</f>
        <v>28418079.360000007</v>
      </c>
    </row>
    <row r="15" spans="1:5" x14ac:dyDescent="0.35">
      <c r="A15" t="s">
        <v>28</v>
      </c>
      <c r="B15">
        <v>0</v>
      </c>
      <c r="C15">
        <f>B7*('Assumptions &amp; Drivers'!C6-'Assumptions &amp; Drivers'!B6)</f>
        <v>648000.00000000093</v>
      </c>
      <c r="D15">
        <f>C7*('Assumptions &amp; Drivers'!D6-'Assumptions &amp; Drivers'!C6)</f>
        <v>1548096.0000000021</v>
      </c>
    </row>
    <row r="16" spans="1:5" x14ac:dyDescent="0.35">
      <c r="A16" t="s">
        <v>29</v>
      </c>
      <c r="B16" s="5">
        <f>SUM(B14:B15)</f>
        <v>6480000</v>
      </c>
      <c r="C16" s="5">
        <f>SUM(C14:C15)</f>
        <v>16128960.000000004</v>
      </c>
      <c r="D16" s="5">
        <f>SUM(D14:D15)</f>
        <v>29966175.360000011</v>
      </c>
    </row>
    <row r="17" spans="1:5" x14ac:dyDescent="0.35">
      <c r="A17" t="s">
        <v>30</v>
      </c>
      <c r="C17" s="4">
        <f>IFERROR(C16/B16-1,0)</f>
        <v>1.4890370370370376</v>
      </c>
      <c r="D17" s="4">
        <f>IFERROR(D16/C16-1,0)</f>
        <v>0.85791119576215724</v>
      </c>
    </row>
    <row r="19" spans="1:5" ht="18.5" x14ac:dyDescent="0.45">
      <c r="A19" s="1" t="s">
        <v>31</v>
      </c>
    </row>
    <row r="21" spans="1:5" x14ac:dyDescent="0.35">
      <c r="A21" s="2" t="s">
        <v>26</v>
      </c>
      <c r="B21" s="2" t="s">
        <v>2</v>
      </c>
      <c r="C21" s="2" t="s">
        <v>3</v>
      </c>
      <c r="D21" s="2" t="s">
        <v>4</v>
      </c>
      <c r="E21" s="9"/>
    </row>
    <row r="22" spans="1:5" x14ac:dyDescent="0.35">
      <c r="A22" t="s">
        <v>32</v>
      </c>
      <c r="B22" s="5">
        <f>B16*0.15</f>
        <v>972000</v>
      </c>
      <c r="C22" s="5">
        <f>C16*0.15</f>
        <v>2419344.0000000005</v>
      </c>
      <c r="D22" s="5">
        <f>D16*0.15</f>
        <v>4494926.3040000014</v>
      </c>
    </row>
    <row r="23" spans="1:5" x14ac:dyDescent="0.35">
      <c r="A23" t="s">
        <v>33</v>
      </c>
      <c r="B23" s="5">
        <f>B16*0.1</f>
        <v>648000</v>
      </c>
      <c r="C23" s="5">
        <f>C16*0.1</f>
        <v>1612896.0000000005</v>
      </c>
      <c r="D23" s="5">
        <f>D16*0.1</f>
        <v>2996617.5360000012</v>
      </c>
    </row>
    <row r="24" spans="1:5" x14ac:dyDescent="0.35">
      <c r="A24" t="s">
        <v>34</v>
      </c>
      <c r="B24" s="5">
        <f>B16*0.05</f>
        <v>324000</v>
      </c>
      <c r="C24" s="5">
        <f>C16*0.05</f>
        <v>806448.00000000023</v>
      </c>
      <c r="D24" s="5">
        <f>D16*0.05</f>
        <v>1498308.7680000006</v>
      </c>
    </row>
    <row r="25" spans="1:5" x14ac:dyDescent="0.35">
      <c r="A25" t="s">
        <v>35</v>
      </c>
      <c r="B25" s="5">
        <f>SUM(B22:B24)</f>
        <v>1944000</v>
      </c>
      <c r="C25" s="5">
        <f>SUM(C22:C24)</f>
        <v>4838688.0000000009</v>
      </c>
      <c r="D25" s="5">
        <f>SUM(D22:D24)</f>
        <v>8989852.6080000028</v>
      </c>
    </row>
    <row r="26" spans="1:5" x14ac:dyDescent="0.35">
      <c r="A26" t="s">
        <v>36</v>
      </c>
      <c r="B26" s="5">
        <f>B16-B25</f>
        <v>4536000</v>
      </c>
      <c r="C26" s="5">
        <f>C16-C25</f>
        <v>11290272.000000004</v>
      </c>
      <c r="D26" s="5">
        <f>D16-D25</f>
        <v>20976322.752000008</v>
      </c>
    </row>
    <row r="27" spans="1:5" x14ac:dyDescent="0.35">
      <c r="A27" t="s">
        <v>9</v>
      </c>
      <c r="B27" s="4">
        <f>IFERROR(B26/B16,0)</f>
        <v>0.7</v>
      </c>
      <c r="C27" s="4">
        <f>IFERROR(C26/C16,0)</f>
        <v>0.70000000000000007</v>
      </c>
      <c r="D27" s="4">
        <f>IFERROR(D26/D16,0)</f>
        <v>0.70000000000000007</v>
      </c>
    </row>
  </sheetData>
  <conditionalFormatting sqref="B26:D26">
    <cfRule type="cellIs" dxfId="6" priority="1" operator="greaterThan">
      <formula>0</formula>
    </cfRule>
    <cfRule type="cellIs" dxfId="5" priority="2" operator="lessThan">
      <formula>0</formula>
    </cfRule>
  </conditionalFormatting>
  <conditionalFormatting sqref="C17:D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C43" sqref="C43"/>
    </sheetView>
  </sheetViews>
  <sheetFormatPr defaultRowHeight="14.5" x14ac:dyDescent="0.35"/>
  <cols>
    <col min="1" max="1" width="32.7265625" customWidth="1"/>
    <col min="2" max="4" width="18.7265625" customWidth="1"/>
    <col min="5" max="5" width="28.7265625" style="10" customWidth="1"/>
  </cols>
  <sheetData>
    <row r="1" spans="1:5" ht="18.5" x14ac:dyDescent="0.45">
      <c r="A1" s="1" t="s">
        <v>37</v>
      </c>
    </row>
    <row r="3" spans="1:5" x14ac:dyDescent="0.35">
      <c r="A3" s="2" t="s">
        <v>26</v>
      </c>
      <c r="B3" s="2" t="s">
        <v>2</v>
      </c>
      <c r="C3" s="2" t="s">
        <v>3</v>
      </c>
      <c r="D3" s="2" t="s">
        <v>4</v>
      </c>
      <c r="E3" s="9"/>
    </row>
    <row r="4" spans="1:5" x14ac:dyDescent="0.35">
      <c r="A4" s="5" t="s">
        <v>38</v>
      </c>
      <c r="B4" s="5">
        <v>600000</v>
      </c>
      <c r="C4" s="5">
        <v>1200000</v>
      </c>
      <c r="D4" s="5">
        <v>2160000</v>
      </c>
      <c r="E4" s="11"/>
    </row>
    <row r="5" spans="1:5" x14ac:dyDescent="0.35">
      <c r="A5" s="5" t="s">
        <v>39</v>
      </c>
      <c r="B5" s="5">
        <v>300000</v>
      </c>
      <c r="C5" s="5">
        <v>500000</v>
      </c>
      <c r="D5" s="5">
        <v>900000</v>
      </c>
      <c r="E5" s="11"/>
    </row>
    <row r="6" spans="1:5" x14ac:dyDescent="0.35">
      <c r="A6" t="s">
        <v>40</v>
      </c>
      <c r="B6" s="5">
        <f>'Revenue Model'!B16*0.15</f>
        <v>972000</v>
      </c>
      <c r="C6" s="5">
        <f>'Revenue Model'!C16*0.15</f>
        <v>2419344.0000000005</v>
      </c>
      <c r="D6" s="5">
        <f>'Revenue Model'!D16*0.15</f>
        <v>4494926.3040000014</v>
      </c>
    </row>
    <row r="7" spans="1:5" x14ac:dyDescent="0.35">
      <c r="A7" t="s">
        <v>41</v>
      </c>
      <c r="B7" s="5">
        <f>'Revenue Model'!B16*0.025</f>
        <v>162000</v>
      </c>
      <c r="C7" s="5">
        <f>'Revenue Model'!C16*0.025</f>
        <v>403224.00000000012</v>
      </c>
      <c r="D7" s="5">
        <f>'Revenue Model'!D16*0.025</f>
        <v>749154.38400000031</v>
      </c>
    </row>
    <row r="8" spans="1:5" x14ac:dyDescent="0.35">
      <c r="A8" s="5" t="s">
        <v>42</v>
      </c>
      <c r="B8" s="5">
        <v>150000</v>
      </c>
      <c r="C8" s="5">
        <v>95200</v>
      </c>
      <c r="D8" s="5">
        <v>172000</v>
      </c>
      <c r="E8" s="11"/>
    </row>
    <row r="9" spans="1:5" x14ac:dyDescent="0.35">
      <c r="A9" s="6" t="s">
        <v>43</v>
      </c>
      <c r="B9" s="5">
        <f>SUM(B4:B8)</f>
        <v>2184000</v>
      </c>
      <c r="C9" s="5">
        <f>SUM(C4:C8)</f>
        <v>4617768.0000000009</v>
      </c>
      <c r="D9" s="5">
        <f>SUM(D4:D8)</f>
        <v>8476080.688000001</v>
      </c>
    </row>
    <row r="10" spans="1:5" x14ac:dyDescent="0.35">
      <c r="A10" t="s">
        <v>44</v>
      </c>
      <c r="B10" s="4">
        <f>IFERROR(B9/'Revenue Model'!B16,0)</f>
        <v>0.33703703703703702</v>
      </c>
      <c r="C10" s="4">
        <f>IFERROR(C9/'Revenue Model'!C16,0)</f>
        <v>0.28630289863698588</v>
      </c>
      <c r="D10" s="4">
        <f>IFERROR(D9/'Revenue Model'!D16,0)</f>
        <v>0.28285493848221271</v>
      </c>
    </row>
    <row r="12" spans="1:5" ht="18.5" x14ac:dyDescent="0.45">
      <c r="A12" s="1" t="s">
        <v>45</v>
      </c>
    </row>
    <row r="14" spans="1:5" x14ac:dyDescent="0.35">
      <c r="A14" s="2" t="s">
        <v>26</v>
      </c>
      <c r="B14" s="2" t="s">
        <v>2</v>
      </c>
      <c r="C14" s="2" t="s">
        <v>3</v>
      </c>
      <c r="D14" s="2" t="s">
        <v>4</v>
      </c>
      <c r="E14" s="9"/>
    </row>
    <row r="15" spans="1:5" x14ac:dyDescent="0.35">
      <c r="A15" s="5" t="s">
        <v>46</v>
      </c>
      <c r="B15" s="5">
        <v>720000</v>
      </c>
      <c r="C15" s="5">
        <v>1350000</v>
      </c>
      <c r="D15" s="5">
        <v>2250000</v>
      </c>
      <c r="E15" s="11"/>
    </row>
    <row r="16" spans="1:5" x14ac:dyDescent="0.35">
      <c r="A16" s="5" t="s">
        <v>47</v>
      </c>
      <c r="B16" s="5">
        <v>180000</v>
      </c>
      <c r="C16" s="5">
        <v>224400</v>
      </c>
      <c r="D16" s="5">
        <v>304560</v>
      </c>
      <c r="E16" s="11"/>
    </row>
    <row r="17" spans="1:5" x14ac:dyDescent="0.35">
      <c r="A17" t="s">
        <v>48</v>
      </c>
      <c r="B17">
        <v>0</v>
      </c>
      <c r="C17">
        <f>'Revenue Model'!C16*0.02</f>
        <v>322579.20000000007</v>
      </c>
      <c r="D17">
        <f>'Revenue Model'!D16*0.02</f>
        <v>599323.50720000023</v>
      </c>
    </row>
    <row r="18" spans="1:5" x14ac:dyDescent="0.35">
      <c r="A18" s="6" t="s">
        <v>49</v>
      </c>
      <c r="B18" s="5">
        <f>SUM(B15:B17)</f>
        <v>900000</v>
      </c>
      <c r="C18" s="5">
        <f>SUM(C15:C17)</f>
        <v>1896979.2000000002</v>
      </c>
      <c r="D18" s="5">
        <f>SUM(D15:D17)</f>
        <v>3153883.5072000003</v>
      </c>
    </row>
    <row r="19" spans="1:5" x14ac:dyDescent="0.35">
      <c r="A19" t="s">
        <v>44</v>
      </c>
      <c r="B19" s="4">
        <f>IFERROR(B18/'Revenue Model'!B16,0)</f>
        <v>0.1388888888888889</v>
      </c>
      <c r="C19" s="4">
        <f>IFERROR(C18/'Revenue Model'!C16,0)</f>
        <v>0.11761323730730312</v>
      </c>
      <c r="D19" s="4">
        <f>IFERROR(D18/'Revenue Model'!D16,0)</f>
        <v>0.10524811622806973</v>
      </c>
    </row>
    <row r="21" spans="1:5" ht="18.5" x14ac:dyDescent="0.45">
      <c r="A21" s="1" t="s">
        <v>50</v>
      </c>
    </row>
    <row r="23" spans="1:5" x14ac:dyDescent="0.35">
      <c r="A23" s="2" t="s">
        <v>26</v>
      </c>
      <c r="B23" s="2" t="s">
        <v>2</v>
      </c>
      <c r="C23" s="2" t="s">
        <v>3</v>
      </c>
      <c r="D23" s="2" t="s">
        <v>4</v>
      </c>
      <c r="E23" s="9"/>
    </row>
    <row r="24" spans="1:5" x14ac:dyDescent="0.35">
      <c r="A24" s="5" t="s">
        <v>51</v>
      </c>
      <c r="B24" s="5">
        <v>450000</v>
      </c>
      <c r="C24" s="5">
        <v>600000</v>
      </c>
      <c r="D24" s="5">
        <v>750000</v>
      </c>
      <c r="E24" s="11"/>
    </row>
    <row r="25" spans="1:5" x14ac:dyDescent="0.35">
      <c r="A25" s="5" t="s">
        <v>52</v>
      </c>
      <c r="B25" s="5">
        <v>90000</v>
      </c>
      <c r="C25">
        <f>'Revenue Model'!C16*0.015+90000</f>
        <v>331934.40000000002</v>
      </c>
      <c r="D25">
        <f>'Revenue Model'!D16*0.015+90000</f>
        <v>539492.63040000014</v>
      </c>
      <c r="E25" s="11"/>
    </row>
    <row r="26" spans="1:5" x14ac:dyDescent="0.35">
      <c r="A26" s="5" t="s">
        <v>53</v>
      </c>
      <c r="B26" s="5">
        <v>30000</v>
      </c>
      <c r="C26" s="5">
        <v>50000</v>
      </c>
      <c r="D26" s="5">
        <v>80000</v>
      </c>
      <c r="E26" s="11"/>
    </row>
    <row r="27" spans="1:5" x14ac:dyDescent="0.35">
      <c r="A27" s="5" t="s">
        <v>54</v>
      </c>
      <c r="B27" s="5">
        <v>30000</v>
      </c>
      <c r="C27">
        <f>'Revenue Model'!C16*0.01</f>
        <v>161289.60000000003</v>
      </c>
      <c r="D27">
        <f>'Revenue Model'!D16*0.01</f>
        <v>299661.75360000011</v>
      </c>
      <c r="E27" s="11"/>
    </row>
    <row r="28" spans="1:5" x14ac:dyDescent="0.35">
      <c r="A28" s="6" t="s">
        <v>55</v>
      </c>
      <c r="B28" s="5">
        <f>SUM(B24:B27)</f>
        <v>600000</v>
      </c>
      <c r="C28" s="5">
        <f>SUM(C24:C27)</f>
        <v>1143224</v>
      </c>
      <c r="D28" s="5">
        <f>SUM(D24:D27)</f>
        <v>1669154.3840000003</v>
      </c>
    </row>
    <row r="29" spans="1:5" x14ac:dyDescent="0.35">
      <c r="A29" t="s">
        <v>44</v>
      </c>
      <c r="B29" s="4">
        <f>IFERROR(B28/'Revenue Model'!B16,0)</f>
        <v>9.2592592592592587E-2</v>
      </c>
      <c r="C29" s="4">
        <f>IFERROR(C28/'Revenue Model'!C16,0)</f>
        <v>7.0880205543320821E-2</v>
      </c>
      <c r="D29" s="4">
        <f>IFERROR(D28/'Revenue Model'!D16,0)</f>
        <v>5.570128199369917E-2</v>
      </c>
    </row>
    <row r="31" spans="1:5" ht="18.5" x14ac:dyDescent="0.45">
      <c r="A31" s="1" t="s">
        <v>56</v>
      </c>
    </row>
    <row r="33" spans="1:5" x14ac:dyDescent="0.35">
      <c r="A33" s="2" t="s">
        <v>26</v>
      </c>
      <c r="B33" s="2" t="s">
        <v>2</v>
      </c>
      <c r="C33" s="2" t="s">
        <v>3</v>
      </c>
      <c r="D33" s="2" t="s">
        <v>4</v>
      </c>
      <c r="E33" s="9"/>
    </row>
    <row r="34" spans="1:5" x14ac:dyDescent="0.35">
      <c r="A34" t="s">
        <v>36</v>
      </c>
      <c r="B34" s="5">
        <f>'Revenue Model'!B26</f>
        <v>4536000</v>
      </c>
      <c r="C34" s="5">
        <f>'Revenue Model'!C26</f>
        <v>11290272.000000004</v>
      </c>
      <c r="D34" s="5">
        <f>'Revenue Model'!D26</f>
        <v>20976322.752000008</v>
      </c>
    </row>
    <row r="35" spans="1:5" x14ac:dyDescent="0.35">
      <c r="A35" t="s">
        <v>57</v>
      </c>
      <c r="B35" s="5">
        <f>(B9+B18+B28)*-1</f>
        <v>-3684000</v>
      </c>
      <c r="C35" s="5">
        <f>(C9+C18+C28)*-1</f>
        <v>-7657971.2000000011</v>
      </c>
      <c r="D35" s="5">
        <f>(D9+D18+D28)*-1</f>
        <v>-13299118.579200001</v>
      </c>
    </row>
    <row r="36" spans="1:5" x14ac:dyDescent="0.35">
      <c r="A36" t="s">
        <v>58</v>
      </c>
      <c r="B36" s="5">
        <f>B34+B35</f>
        <v>852000</v>
      </c>
      <c r="C36" s="5">
        <f>C34+C35</f>
        <v>3632300.8000000026</v>
      </c>
      <c r="D36" s="5">
        <f>D34+D35</f>
        <v>7677204.1728000063</v>
      </c>
    </row>
    <row r="37" spans="1:5" x14ac:dyDescent="0.35">
      <c r="A37" t="s">
        <v>59</v>
      </c>
      <c r="B37" s="4">
        <f>IFERROR(B36/'Revenue Model'!B16,0)</f>
        <v>0.13148148148148148</v>
      </c>
      <c r="C37" s="4">
        <f>IFERROR(C36/'Revenue Model'!C16,0)</f>
        <v>0.22520365851239024</v>
      </c>
      <c r="D37" s="4">
        <f>IFERROR(D36/'Revenue Model'!D16,0)</f>
        <v>0.25619566329601845</v>
      </c>
    </row>
  </sheetData>
  <conditionalFormatting sqref="B36:D36">
    <cfRule type="cellIs" dxfId="4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>
      <selection activeCell="A43" sqref="A43"/>
    </sheetView>
  </sheetViews>
  <sheetFormatPr defaultRowHeight="14.5" x14ac:dyDescent="0.35"/>
  <cols>
    <col min="1" max="1" width="34.7265625" customWidth="1"/>
    <col min="2" max="4" width="18.7265625" customWidth="1"/>
    <col min="5" max="5" width="8.54296875" style="10" customWidth="1"/>
  </cols>
  <sheetData>
    <row r="1" spans="1:5" ht="18.5" x14ac:dyDescent="0.45">
      <c r="A1" s="1" t="s">
        <v>60</v>
      </c>
    </row>
    <row r="3" spans="1:5" x14ac:dyDescent="0.35">
      <c r="A3" s="6" t="s">
        <v>61</v>
      </c>
    </row>
    <row r="4" spans="1:5" x14ac:dyDescent="0.35">
      <c r="A4" s="2" t="s">
        <v>26</v>
      </c>
      <c r="B4" s="2" t="s">
        <v>2</v>
      </c>
      <c r="C4" s="2" t="s">
        <v>3</v>
      </c>
      <c r="D4" s="2" t="s">
        <v>4</v>
      </c>
      <c r="E4" s="9"/>
    </row>
    <row r="5" spans="1:5" x14ac:dyDescent="0.35">
      <c r="A5" s="6" t="s">
        <v>62</v>
      </c>
    </row>
    <row r="6" spans="1:5" x14ac:dyDescent="0.35">
      <c r="A6" t="s">
        <v>63</v>
      </c>
      <c r="B6" s="5">
        <f>'Cash Flow Statement'!B28</f>
        <v>2150000</v>
      </c>
      <c r="C6" s="5">
        <f>'Cash Flow Statement'!C28</f>
        <v>3820000</v>
      </c>
      <c r="D6" s="5">
        <f>'Cash Flow Statement'!D28</f>
        <v>7150000</v>
      </c>
    </row>
    <row r="7" spans="1:5" x14ac:dyDescent="0.35">
      <c r="A7" t="s">
        <v>64</v>
      </c>
      <c r="B7" s="5">
        <f>'Revenue Model'!B16*30/365</f>
        <v>532602.73972602736</v>
      </c>
      <c r="C7" s="5">
        <f>'Revenue Model'!C16*30/365</f>
        <v>1325667.9452054799</v>
      </c>
      <c r="D7" s="5">
        <f>'Revenue Model'!D16*30/365</f>
        <v>2462973.3172602747</v>
      </c>
    </row>
    <row r="8" spans="1:5" x14ac:dyDescent="0.35">
      <c r="A8" s="5" t="s">
        <v>65</v>
      </c>
      <c r="B8" s="5">
        <v>100000</v>
      </c>
      <c r="C8" s="5">
        <v>120000</v>
      </c>
      <c r="D8" s="5">
        <v>150000</v>
      </c>
      <c r="E8" s="11"/>
    </row>
    <row r="9" spans="1:5" x14ac:dyDescent="0.35">
      <c r="A9" s="6" t="s">
        <v>66</v>
      </c>
      <c r="B9" s="5">
        <f>SUM(B6:B8)</f>
        <v>2782602.7397260275</v>
      </c>
      <c r="C9" s="5">
        <f>SUM(C6:C8)</f>
        <v>5265667.9452054799</v>
      </c>
      <c r="D9" s="5">
        <f>SUM(D6:D8)</f>
        <v>9762973.3172602747</v>
      </c>
    </row>
    <row r="11" spans="1:5" x14ac:dyDescent="0.35">
      <c r="A11" s="6" t="s">
        <v>67</v>
      </c>
    </row>
    <row r="12" spans="1:5" x14ac:dyDescent="0.35">
      <c r="A12" s="5" t="s">
        <v>68</v>
      </c>
      <c r="B12" s="5">
        <v>250000</v>
      </c>
      <c r="C12" s="5">
        <v>650000</v>
      </c>
      <c r="D12" s="5">
        <v>1350000</v>
      </c>
      <c r="E12" s="11"/>
    </row>
    <row r="13" spans="1:5" x14ac:dyDescent="0.35">
      <c r="A13" s="5" t="s">
        <v>69</v>
      </c>
      <c r="B13" s="5">
        <v>150000</v>
      </c>
      <c r="C13" s="5">
        <v>200000</v>
      </c>
      <c r="D13" s="5">
        <v>250000</v>
      </c>
      <c r="E13" s="11"/>
    </row>
    <row r="14" spans="1:5" x14ac:dyDescent="0.35">
      <c r="A14" s="6" t="s">
        <v>70</v>
      </c>
      <c r="B14" s="5">
        <f>SUM(B12:B13)</f>
        <v>400000</v>
      </c>
      <c r="C14" s="5">
        <f>SUM(C12:C13)</f>
        <v>850000</v>
      </c>
      <c r="D14" s="5">
        <f>SUM(D12:D13)</f>
        <v>1600000</v>
      </c>
    </row>
    <row r="16" spans="1:5" x14ac:dyDescent="0.35">
      <c r="A16" s="6" t="s">
        <v>71</v>
      </c>
      <c r="B16" s="5">
        <f>B9+B14</f>
        <v>3182602.7397260275</v>
      </c>
      <c r="C16" s="5">
        <f>C9+C14</f>
        <v>6115667.9452054799</v>
      </c>
      <c r="D16" s="5">
        <f>D9+D14</f>
        <v>11362973.317260275</v>
      </c>
    </row>
    <row r="18" spans="1:5" x14ac:dyDescent="0.35">
      <c r="A18" s="6" t="s">
        <v>72</v>
      </c>
    </row>
    <row r="19" spans="1:5" x14ac:dyDescent="0.35">
      <c r="A19" s="2" t="s">
        <v>26</v>
      </c>
      <c r="B19" s="2" t="s">
        <v>2</v>
      </c>
      <c r="C19" s="2" t="s">
        <v>3</v>
      </c>
      <c r="D19" s="2" t="s">
        <v>4</v>
      </c>
      <c r="E19" s="9"/>
    </row>
    <row r="20" spans="1:5" x14ac:dyDescent="0.35">
      <c r="A20" s="6" t="s">
        <v>73</v>
      </c>
    </row>
    <row r="21" spans="1:5" x14ac:dyDescent="0.35">
      <c r="A21" t="s">
        <v>74</v>
      </c>
      <c r="B21" s="5">
        <f>('Revenue Model'!B25+ABS('Operating Expenses'!B35))*15/365</f>
        <v>231287.67123287672</v>
      </c>
      <c r="C21" s="5">
        <f>('Revenue Model'!C25+ABS('Operating Expenses'!C35))*15/365</f>
        <v>513561.33698630153</v>
      </c>
      <c r="D21" s="5">
        <f>('Revenue Model'!D25+ABS('Operating Expenses'!D35))*15/365</f>
        <v>915985.11728219187</v>
      </c>
    </row>
    <row r="22" spans="1:5" x14ac:dyDescent="0.35">
      <c r="A22" t="s">
        <v>75</v>
      </c>
      <c r="B22" s="5">
        <f>ABS('Operating Expenses'!B35)*10/365</f>
        <v>100931.50684931508</v>
      </c>
      <c r="C22" s="5">
        <f>ABS('Operating Expenses'!C35)*10/365</f>
        <v>209807.43013698634</v>
      </c>
      <c r="D22" s="5">
        <f>ABS('Operating Expenses'!D35)*10/365</f>
        <v>364359.41312876716</v>
      </c>
    </row>
    <row r="23" spans="1:5" x14ac:dyDescent="0.35">
      <c r="A23" t="s">
        <v>76</v>
      </c>
      <c r="B23" s="5">
        <f>'Revenue Model'!B16*0.05</f>
        <v>324000</v>
      </c>
      <c r="C23" s="5">
        <f>'Revenue Model'!C16*0.05</f>
        <v>806448.00000000023</v>
      </c>
      <c r="D23" s="5">
        <f>'Revenue Model'!D16*0.05</f>
        <v>1498308.7680000006</v>
      </c>
    </row>
    <row r="24" spans="1:5" x14ac:dyDescent="0.35">
      <c r="A24" s="6" t="s">
        <v>77</v>
      </c>
      <c r="B24" s="5">
        <f>SUM(B21:B23)</f>
        <v>656219.17808219185</v>
      </c>
      <c r="C24" s="5">
        <f>SUM(C21:C23)</f>
        <v>1529816.767123288</v>
      </c>
      <c r="D24" s="5">
        <f>SUM(D21:D23)</f>
        <v>2778653.2984109595</v>
      </c>
    </row>
    <row r="26" spans="1:5" x14ac:dyDescent="0.35">
      <c r="A26" s="6" t="s">
        <v>78</v>
      </c>
    </row>
    <row r="27" spans="1:5" x14ac:dyDescent="0.35">
      <c r="A27" s="5" t="s">
        <v>79</v>
      </c>
      <c r="B27" s="5">
        <v>500000</v>
      </c>
      <c r="C27" s="5">
        <v>500000</v>
      </c>
      <c r="D27" s="5">
        <v>0</v>
      </c>
      <c r="E27" s="11"/>
    </row>
    <row r="29" spans="1:5" x14ac:dyDescent="0.35">
      <c r="A29" s="6" t="s">
        <v>80</v>
      </c>
      <c r="B29" s="5">
        <f>B24+B27</f>
        <v>1156219.1780821919</v>
      </c>
      <c r="C29" s="5">
        <f>C24+C27</f>
        <v>2029816.767123288</v>
      </c>
      <c r="D29" s="5">
        <f>D24+D27</f>
        <v>2778653.2984109595</v>
      </c>
    </row>
    <row r="31" spans="1:5" x14ac:dyDescent="0.35">
      <c r="A31" s="6" t="s">
        <v>81</v>
      </c>
    </row>
    <row r="32" spans="1:5" x14ac:dyDescent="0.35">
      <c r="A32" s="2" t="s">
        <v>26</v>
      </c>
      <c r="B32" s="2" t="s">
        <v>2</v>
      </c>
      <c r="C32" s="2" t="s">
        <v>3</v>
      </c>
      <c r="D32" s="2" t="s">
        <v>4</v>
      </c>
      <c r="E32" s="9"/>
    </row>
    <row r="33" spans="1:5" x14ac:dyDescent="0.35">
      <c r="A33" s="5" t="s">
        <v>82</v>
      </c>
      <c r="B33" s="5">
        <v>2000000</v>
      </c>
      <c r="C33" s="5">
        <v>2000000</v>
      </c>
      <c r="D33" s="5">
        <v>2000000</v>
      </c>
      <c r="E33" s="11"/>
    </row>
    <row r="34" spans="1:5" x14ac:dyDescent="0.35">
      <c r="A34" s="5" t="s">
        <v>83</v>
      </c>
      <c r="B34" s="5">
        <v>0</v>
      </c>
      <c r="C34" s="5">
        <v>2050000</v>
      </c>
      <c r="D34" s="5">
        <v>7074000</v>
      </c>
      <c r="E34" s="11"/>
    </row>
    <row r="35" spans="1:5" x14ac:dyDescent="0.35">
      <c r="A35" s="6" t="s">
        <v>84</v>
      </c>
      <c r="B35" s="5">
        <f>B33+B34</f>
        <v>2000000</v>
      </c>
      <c r="C35" s="5">
        <f>C33+C34</f>
        <v>4050000</v>
      </c>
      <c r="D35" s="5">
        <f>D33+D34</f>
        <v>9074000</v>
      </c>
    </row>
    <row r="37" spans="1:5" x14ac:dyDescent="0.35">
      <c r="A37" s="6" t="s">
        <v>85</v>
      </c>
      <c r="B37" s="5">
        <f>B29+B35</f>
        <v>3156219.1780821919</v>
      </c>
      <c r="C37" s="5">
        <f>C29+C35</f>
        <v>6079816.7671232875</v>
      </c>
      <c r="D37" s="5">
        <f>D29+D35</f>
        <v>11852653.29841096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workbookViewId="0">
      <selection activeCell="E1" sqref="E1:E1048576"/>
    </sheetView>
  </sheetViews>
  <sheetFormatPr defaultRowHeight="14.5" x14ac:dyDescent="0.35"/>
  <cols>
    <col min="1" max="1" width="32.7265625" customWidth="1"/>
    <col min="2" max="4" width="18.7265625" customWidth="1"/>
  </cols>
  <sheetData>
    <row r="1" spans="1:4" ht="18.5" x14ac:dyDescent="0.45">
      <c r="A1" s="1" t="s">
        <v>86</v>
      </c>
    </row>
    <row r="3" spans="1:4" x14ac:dyDescent="0.35">
      <c r="A3" s="6" t="s">
        <v>87</v>
      </c>
    </row>
    <row r="4" spans="1:4" x14ac:dyDescent="0.35">
      <c r="A4" s="2" t="s">
        <v>26</v>
      </c>
      <c r="B4" s="2" t="s">
        <v>2</v>
      </c>
      <c r="C4" s="2" t="s">
        <v>3</v>
      </c>
      <c r="D4" s="2" t="s">
        <v>4</v>
      </c>
    </row>
    <row r="5" spans="1:4" x14ac:dyDescent="0.35">
      <c r="A5" s="5" t="s">
        <v>88</v>
      </c>
      <c r="B5" s="5">
        <v>450000</v>
      </c>
      <c r="C5" s="5">
        <v>2050000</v>
      </c>
      <c r="D5" s="5">
        <v>4524000</v>
      </c>
    </row>
    <row r="6" spans="1:4" x14ac:dyDescent="0.35">
      <c r="A6" s="5" t="s">
        <v>89</v>
      </c>
      <c r="B6" s="5">
        <v>50000</v>
      </c>
      <c r="C6" s="5">
        <v>100000</v>
      </c>
      <c r="D6" s="5">
        <v>150000</v>
      </c>
    </row>
    <row r="7" spans="1:4" x14ac:dyDescent="0.35">
      <c r="A7" s="5" t="s">
        <v>90</v>
      </c>
      <c r="B7" s="5">
        <v>-500000</v>
      </c>
      <c r="C7" s="5">
        <v>-435000</v>
      </c>
      <c r="D7" s="5">
        <v>-759000</v>
      </c>
    </row>
    <row r="8" spans="1:4" x14ac:dyDescent="0.35">
      <c r="A8" s="5" t="s">
        <v>91</v>
      </c>
      <c r="B8" s="5">
        <v>200000</v>
      </c>
      <c r="C8" s="5">
        <v>140000</v>
      </c>
      <c r="D8" s="5">
        <v>220000</v>
      </c>
    </row>
    <row r="9" spans="1:4" x14ac:dyDescent="0.35">
      <c r="A9" s="5" t="s">
        <v>92</v>
      </c>
      <c r="B9" s="5">
        <v>150000</v>
      </c>
      <c r="C9" s="5">
        <v>105000</v>
      </c>
      <c r="D9" s="5">
        <v>165000</v>
      </c>
    </row>
    <row r="10" spans="1:4" x14ac:dyDescent="0.35">
      <c r="A10" s="5" t="s">
        <v>93</v>
      </c>
      <c r="B10" s="5">
        <v>100000</v>
      </c>
      <c r="C10" s="5">
        <v>210000</v>
      </c>
      <c r="D10" s="5">
        <v>330000</v>
      </c>
    </row>
    <row r="11" spans="1:4" x14ac:dyDescent="0.35">
      <c r="A11" s="6" t="s">
        <v>94</v>
      </c>
      <c r="B11" s="5">
        <f>SUM(B5:B10)</f>
        <v>450000</v>
      </c>
      <c r="C11" s="5">
        <f>SUM(C5:C10)</f>
        <v>2170000</v>
      </c>
      <c r="D11" s="5">
        <f>SUM(D5:D10)</f>
        <v>4630000</v>
      </c>
    </row>
    <row r="13" spans="1:4" x14ac:dyDescent="0.35">
      <c r="A13" s="6" t="s">
        <v>95</v>
      </c>
    </row>
    <row r="14" spans="1:4" x14ac:dyDescent="0.35">
      <c r="A14" s="2" t="s">
        <v>26</v>
      </c>
      <c r="B14" s="2" t="s">
        <v>2</v>
      </c>
      <c r="C14" s="2" t="s">
        <v>3</v>
      </c>
      <c r="D14" s="2" t="s">
        <v>4</v>
      </c>
    </row>
    <row r="15" spans="1:4" x14ac:dyDescent="0.35">
      <c r="A15" s="5" t="s">
        <v>96</v>
      </c>
      <c r="B15" s="5">
        <v>-300000</v>
      </c>
      <c r="C15" s="5">
        <v>-500000</v>
      </c>
      <c r="D15" s="5">
        <v>-800000</v>
      </c>
    </row>
    <row r="16" spans="1:4" x14ac:dyDescent="0.35">
      <c r="A16" s="6" t="s">
        <v>97</v>
      </c>
      <c r="B16" s="5">
        <f>SUM(B15:B15)</f>
        <v>-300000</v>
      </c>
      <c r="C16" s="5">
        <f>SUM(C15:C15)</f>
        <v>-500000</v>
      </c>
      <c r="D16" s="5">
        <f>SUM(D15:D15)</f>
        <v>-800000</v>
      </c>
    </row>
    <row r="18" spans="1:4" x14ac:dyDescent="0.35">
      <c r="A18" s="6" t="s">
        <v>98</v>
      </c>
    </row>
    <row r="19" spans="1:4" x14ac:dyDescent="0.35">
      <c r="A19" s="2" t="s">
        <v>26</v>
      </c>
      <c r="B19" s="2" t="s">
        <v>2</v>
      </c>
      <c r="C19" s="2" t="s">
        <v>3</v>
      </c>
      <c r="D19" s="2" t="s">
        <v>4</v>
      </c>
    </row>
    <row r="20" spans="1:4" x14ac:dyDescent="0.35">
      <c r="A20" s="5" t="s">
        <v>99</v>
      </c>
      <c r="B20" s="5">
        <v>2000000</v>
      </c>
      <c r="C20" s="5">
        <v>0</v>
      </c>
      <c r="D20" s="5">
        <v>0</v>
      </c>
    </row>
    <row r="21" spans="1:4" x14ac:dyDescent="0.35">
      <c r="A21" s="5" t="s">
        <v>100</v>
      </c>
      <c r="B21" s="5">
        <v>0</v>
      </c>
      <c r="C21" s="5">
        <v>0</v>
      </c>
      <c r="D21" s="5">
        <v>-500000</v>
      </c>
    </row>
    <row r="22" spans="1:4" x14ac:dyDescent="0.35">
      <c r="A22" s="6" t="s">
        <v>101</v>
      </c>
      <c r="B22" s="5">
        <f>SUM(B20:B21)</f>
        <v>2000000</v>
      </c>
      <c r="C22" s="5">
        <f>SUM(C20:C21)</f>
        <v>0</v>
      </c>
      <c r="D22" s="5">
        <f>SUM(D20:D21)</f>
        <v>-500000</v>
      </c>
    </row>
    <row r="24" spans="1:4" x14ac:dyDescent="0.35">
      <c r="A24" s="6" t="s">
        <v>102</v>
      </c>
    </row>
    <row r="25" spans="1:4" x14ac:dyDescent="0.35">
      <c r="A25" s="2" t="s">
        <v>26</v>
      </c>
      <c r="B25" s="2" t="s">
        <v>2</v>
      </c>
      <c r="C25" s="2" t="s">
        <v>3</v>
      </c>
      <c r="D25" s="2" t="s">
        <v>4</v>
      </c>
    </row>
    <row r="26" spans="1:4" x14ac:dyDescent="0.35">
      <c r="A26" s="5" t="s">
        <v>103</v>
      </c>
      <c r="B26" s="5">
        <v>0</v>
      </c>
      <c r="C26">
        <f>B28</f>
        <v>2150000</v>
      </c>
      <c r="D26">
        <f>C28</f>
        <v>3820000</v>
      </c>
    </row>
    <row r="27" spans="1:4" x14ac:dyDescent="0.35">
      <c r="A27" t="s">
        <v>104</v>
      </c>
      <c r="B27" s="5">
        <f>B11+B16+B22</f>
        <v>2150000</v>
      </c>
      <c r="C27" s="5">
        <f>C11+C16+C22</f>
        <v>1670000</v>
      </c>
      <c r="D27" s="5">
        <f>D11+D16+D22</f>
        <v>3330000</v>
      </c>
    </row>
    <row r="28" spans="1:4" x14ac:dyDescent="0.35">
      <c r="A28" t="s">
        <v>105</v>
      </c>
      <c r="B28">
        <f>B26+B27</f>
        <v>2150000</v>
      </c>
      <c r="C28">
        <f>C26+C27</f>
        <v>3820000</v>
      </c>
      <c r="D28">
        <f>D26+D27</f>
        <v>7150000</v>
      </c>
    </row>
  </sheetData>
  <conditionalFormatting sqref="B27:D27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topLeftCell="A9" workbookViewId="0">
      <selection activeCell="E20" sqref="E20"/>
    </sheetView>
  </sheetViews>
  <sheetFormatPr defaultRowHeight="14.5" x14ac:dyDescent="0.35"/>
  <cols>
    <col min="1" max="1" width="24.7265625" customWidth="1"/>
    <col min="2" max="4" width="14.7265625" customWidth="1"/>
    <col min="5" max="5" width="26.7265625" customWidth="1"/>
  </cols>
  <sheetData>
    <row r="1" spans="1:5" ht="18.5" x14ac:dyDescent="0.45">
      <c r="A1" s="1" t="s">
        <v>106</v>
      </c>
    </row>
    <row r="3" spans="1:5" x14ac:dyDescent="0.35">
      <c r="A3" s="2" t="s">
        <v>107</v>
      </c>
      <c r="B3" s="2" t="s">
        <v>2</v>
      </c>
      <c r="C3" s="2" t="s">
        <v>3</v>
      </c>
      <c r="D3" s="2" t="s">
        <v>4</v>
      </c>
      <c r="E3" s="2" t="s">
        <v>108</v>
      </c>
    </row>
    <row r="4" spans="1:5" x14ac:dyDescent="0.35">
      <c r="A4" t="s">
        <v>109</v>
      </c>
      <c r="B4">
        <v>5</v>
      </c>
      <c r="C4">
        <v>10</v>
      </c>
      <c r="D4">
        <v>18</v>
      </c>
      <c r="E4" t="s">
        <v>110</v>
      </c>
    </row>
    <row r="5" spans="1:5" x14ac:dyDescent="0.35">
      <c r="A5" t="s">
        <v>111</v>
      </c>
      <c r="B5">
        <v>3</v>
      </c>
      <c r="C5">
        <v>5</v>
      </c>
      <c r="D5">
        <v>9</v>
      </c>
      <c r="E5" t="s">
        <v>112</v>
      </c>
    </row>
    <row r="6" spans="1:5" x14ac:dyDescent="0.35">
      <c r="A6" t="s">
        <v>113</v>
      </c>
      <c r="B6">
        <v>8</v>
      </c>
      <c r="C6">
        <v>15</v>
      </c>
      <c r="D6">
        <v>25</v>
      </c>
      <c r="E6" t="s">
        <v>114</v>
      </c>
    </row>
    <row r="7" spans="1:5" x14ac:dyDescent="0.35">
      <c r="A7" t="s">
        <v>115</v>
      </c>
      <c r="B7">
        <v>2</v>
      </c>
      <c r="C7">
        <v>3</v>
      </c>
      <c r="D7">
        <v>5</v>
      </c>
      <c r="E7" t="s">
        <v>116</v>
      </c>
    </row>
    <row r="8" spans="1:5" x14ac:dyDescent="0.35">
      <c r="A8" t="s">
        <v>117</v>
      </c>
      <c r="B8">
        <v>2</v>
      </c>
      <c r="C8">
        <v>4</v>
      </c>
      <c r="D8">
        <v>7</v>
      </c>
      <c r="E8" t="s">
        <v>118</v>
      </c>
    </row>
    <row r="9" spans="1:5" x14ac:dyDescent="0.35">
      <c r="A9" t="s">
        <v>119</v>
      </c>
      <c r="B9">
        <v>2</v>
      </c>
      <c r="C9">
        <v>3</v>
      </c>
      <c r="D9">
        <v>5</v>
      </c>
      <c r="E9" t="s">
        <v>120</v>
      </c>
    </row>
    <row r="10" spans="1:5" x14ac:dyDescent="0.35">
      <c r="A10" t="s">
        <v>121</v>
      </c>
      <c r="B10">
        <v>3</v>
      </c>
      <c r="C10">
        <v>4</v>
      </c>
      <c r="D10">
        <v>5</v>
      </c>
      <c r="E10" t="s">
        <v>122</v>
      </c>
    </row>
    <row r="11" spans="1:5" x14ac:dyDescent="0.35">
      <c r="A11" s="6" t="s">
        <v>123</v>
      </c>
      <c r="B11">
        <f>SUM(B4:B10)</f>
        <v>25</v>
      </c>
      <c r="C11">
        <f>SUM(C4:C10)</f>
        <v>44</v>
      </c>
      <c r="D11">
        <f>SUM(D4:D10)</f>
        <v>74</v>
      </c>
    </row>
    <row r="13" spans="1:5" ht="18.5" x14ac:dyDescent="0.45">
      <c r="A13" s="1" t="s">
        <v>124</v>
      </c>
    </row>
    <row r="15" spans="1:5" x14ac:dyDescent="0.35">
      <c r="A15" s="2" t="s">
        <v>26</v>
      </c>
      <c r="B15" s="2" t="s">
        <v>2</v>
      </c>
      <c r="C15" s="2" t="s">
        <v>3</v>
      </c>
      <c r="D15" s="2" t="s">
        <v>4</v>
      </c>
      <c r="E15" s="9"/>
    </row>
    <row r="16" spans="1:5" x14ac:dyDescent="0.35">
      <c r="A16" s="5" t="s">
        <v>125</v>
      </c>
      <c r="B16" s="5">
        <v>1725000</v>
      </c>
      <c r="C16" s="5">
        <v>3198000</v>
      </c>
      <c r="D16" s="5">
        <v>5589000</v>
      </c>
      <c r="E16" s="13"/>
    </row>
    <row r="17" spans="1:5" x14ac:dyDescent="0.35">
      <c r="A17" t="s">
        <v>126</v>
      </c>
      <c r="B17" s="5">
        <f>B16*0.15</f>
        <v>258750</v>
      </c>
      <c r="C17" s="5">
        <f>C16*0.15</f>
        <v>479700</v>
      </c>
      <c r="D17" s="5">
        <f>D16*0.15</f>
        <v>838350</v>
      </c>
      <c r="E17" s="12"/>
    </row>
    <row r="18" spans="1:5" x14ac:dyDescent="0.35">
      <c r="A18" t="s">
        <v>127</v>
      </c>
      <c r="B18" s="5">
        <f>B16*0.2</f>
        <v>345000</v>
      </c>
      <c r="C18" s="5">
        <f>C16*0.2</f>
        <v>639600</v>
      </c>
      <c r="D18" s="5">
        <f>D16*0.2</f>
        <v>1117800</v>
      </c>
      <c r="E18" s="12"/>
    </row>
    <row r="19" spans="1:5" x14ac:dyDescent="0.35">
      <c r="A19" s="6" t="s">
        <v>128</v>
      </c>
      <c r="B19" s="5">
        <f>SUM(B16:B18)</f>
        <v>2328750</v>
      </c>
      <c r="C19" s="5">
        <f>SUM(C16:C18)</f>
        <v>4317300</v>
      </c>
      <c r="D19" s="5">
        <f>SUM(D16:D18)</f>
        <v>7545150</v>
      </c>
      <c r="E19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topLeftCell="A13" workbookViewId="0">
      <selection activeCell="G11" sqref="G11"/>
    </sheetView>
  </sheetViews>
  <sheetFormatPr defaultRowHeight="14.5" x14ac:dyDescent="0.35"/>
  <cols>
    <col min="1" max="1" width="30.7265625" customWidth="1"/>
    <col min="2" max="4" width="16.7265625" customWidth="1"/>
    <col min="5" max="5" width="22.7265625" customWidth="1"/>
  </cols>
  <sheetData>
    <row r="1" spans="1:5" ht="18.5" x14ac:dyDescent="0.45">
      <c r="A1" s="1" t="s">
        <v>129</v>
      </c>
    </row>
    <row r="3" spans="1:5" x14ac:dyDescent="0.35">
      <c r="A3" s="2" t="s">
        <v>14</v>
      </c>
      <c r="B3" s="2" t="s">
        <v>2</v>
      </c>
      <c r="C3" s="2" t="s">
        <v>3</v>
      </c>
      <c r="D3" s="2" t="s">
        <v>4</v>
      </c>
      <c r="E3" s="2" t="s">
        <v>130</v>
      </c>
    </row>
    <row r="4" spans="1:5" x14ac:dyDescent="0.35">
      <c r="A4" t="s">
        <v>131</v>
      </c>
      <c r="B4" s="5">
        <f>'Revenue Model'!B7*'Assumptions &amp; Drivers'!B6/12</f>
        <v>540000</v>
      </c>
      <c r="C4" s="5">
        <f>'Revenue Model'!C7*'Assumptions &amp; Drivers'!C6/12</f>
        <v>1290080.0000000002</v>
      </c>
      <c r="D4" s="5">
        <f>'Revenue Model'!D7*'Assumptions &amp; Drivers'!D6/12</f>
        <v>2368173.2800000007</v>
      </c>
      <c r="E4" t="s">
        <v>132</v>
      </c>
    </row>
    <row r="5" spans="1:5" x14ac:dyDescent="0.35">
      <c r="A5" t="s">
        <v>133</v>
      </c>
      <c r="B5" s="5">
        <f>B4*12</f>
        <v>6480000</v>
      </c>
      <c r="C5" s="5">
        <f>C4*12</f>
        <v>15480960.000000004</v>
      </c>
      <c r="D5" s="5">
        <f>D4*12</f>
        <v>28418079.360000007</v>
      </c>
      <c r="E5" t="s">
        <v>132</v>
      </c>
    </row>
    <row r="6" spans="1:5" x14ac:dyDescent="0.35">
      <c r="A6" t="s">
        <v>15</v>
      </c>
      <c r="B6" s="5">
        <f>IFERROR('Operating Expenses'!B9/'Revenue Model'!B5,0)</f>
        <v>4044.4444444444443</v>
      </c>
      <c r="C6" s="5">
        <f>IFERROR('Operating Expenses'!C9/'Revenue Model'!C5,0)</f>
        <v>7760.9546218487412</v>
      </c>
      <c r="D6" s="5">
        <f>IFERROR('Operating Expenses'!D9/'Revenue Model'!D5,0)</f>
        <v>11871.261467787117</v>
      </c>
      <c r="E6" t="s">
        <v>134</v>
      </c>
    </row>
    <row r="7" spans="1:5" x14ac:dyDescent="0.35">
      <c r="A7" t="s">
        <v>16</v>
      </c>
      <c r="B7" s="7">
        <f>IFERROR(1/'Assumptions &amp; Drivers'!B7,0)</f>
        <v>12.5</v>
      </c>
      <c r="C7" s="7">
        <f>IFERROR(1/'Assumptions &amp; Drivers'!C7,0)</f>
        <v>14.285714285714285</v>
      </c>
      <c r="D7" s="7">
        <f>IFERROR(1/'Assumptions &amp; Drivers'!D7,0)</f>
        <v>16.666666666666668</v>
      </c>
      <c r="E7" t="s">
        <v>132</v>
      </c>
    </row>
    <row r="8" spans="1:5" x14ac:dyDescent="0.35">
      <c r="A8" t="s">
        <v>17</v>
      </c>
      <c r="B8" s="5">
        <f>'Assumptions &amp; Drivers'!B6*B7*'Assumptions &amp; Drivers'!B8</f>
        <v>105000</v>
      </c>
      <c r="C8" s="5">
        <f>'Assumptions &amp; Drivers'!C6*C7*'Assumptions &amp; Drivers'!C8</f>
        <v>132000</v>
      </c>
      <c r="D8" s="5">
        <f>'Assumptions &amp; Drivers'!D6*D7*'Assumptions &amp; Drivers'!D8</f>
        <v>169400.00000000006</v>
      </c>
      <c r="E8" t="s">
        <v>132</v>
      </c>
    </row>
    <row r="9" spans="1:5" x14ac:dyDescent="0.35">
      <c r="A9" t="s">
        <v>135</v>
      </c>
      <c r="B9" s="7">
        <f>IFERROR(B8/B6,0)</f>
        <v>25.961538461538463</v>
      </c>
      <c r="C9" s="7">
        <f>IFERROR(C8/C6,0)</f>
        <v>17.008216956763523</v>
      </c>
      <c r="D9" s="7">
        <f>IFERROR(D8/D6,0)</f>
        <v>14.269755616087643</v>
      </c>
      <c r="E9" t="s">
        <v>136</v>
      </c>
    </row>
    <row r="10" spans="1:5" x14ac:dyDescent="0.35">
      <c r="A10" t="s">
        <v>137</v>
      </c>
      <c r="B10" s="7">
        <f>IFERROR((B6/'Assumptions &amp; Drivers'!B6)*12/'Assumptions &amp; Drivers'!B8,0)</f>
        <v>5.7777777777777777</v>
      </c>
      <c r="C10" s="7">
        <f>IFERROR((C6/'Assumptions &amp; Drivers'!C6)*12/'Assumptions &amp; Drivers'!C8,0)</f>
        <v>10.079161846556806</v>
      </c>
      <c r="D10" s="7">
        <f>IFERROR((D6/'Assumptions &amp; Drivers'!D6)*12/'Assumptions &amp; Drivers'!D8,0)</f>
        <v>14.015656986761647</v>
      </c>
      <c r="E10" t="s">
        <v>138</v>
      </c>
    </row>
    <row r="11" spans="1:5" x14ac:dyDescent="0.35">
      <c r="A11" t="s">
        <v>139</v>
      </c>
      <c r="B11" s="4">
        <f>IFERROR(ABS('Revenue Model'!B6)/'Revenue Model'!B4,0)</f>
        <v>0</v>
      </c>
      <c r="C11" s="4">
        <f>IFERROR(ABS('Revenue Model'!C6)/'Revenue Model'!C4,0)</f>
        <v>7.0000000000000007E-2</v>
      </c>
      <c r="D11" s="4">
        <f>IFERROR(ABS('Revenue Model'!D6)/'Revenue Model'!D4,0)</f>
        <v>0.06</v>
      </c>
      <c r="E11" t="s">
        <v>140</v>
      </c>
    </row>
    <row r="12" spans="1:5" x14ac:dyDescent="0.35">
      <c r="A12" t="s">
        <v>141</v>
      </c>
      <c r="C12">
        <f>IFERROR(C5/B5,1)-0</f>
        <v>2.3890370370370375</v>
      </c>
      <c r="D12">
        <f>IFERROR(D5/C5,1)-0</f>
        <v>1.8356793997271488</v>
      </c>
      <c r="E12" t="s">
        <v>142</v>
      </c>
    </row>
    <row r="13" spans="1:5" x14ac:dyDescent="0.35">
      <c r="A13" t="s">
        <v>143</v>
      </c>
      <c r="B13" s="4">
        <f>IFERROR(('Revenue Model'!B4-ABS('Revenue Model'!B6))/'Revenue Model'!B4,0)</f>
        <v>0</v>
      </c>
      <c r="C13" s="4">
        <f>IFERROR(('Revenue Model'!C4-ABS('Revenue Model'!C6))/'Revenue Model'!C4,0)</f>
        <v>0.92999999999999994</v>
      </c>
      <c r="D13" s="4">
        <f>IFERROR(('Revenue Model'!D4-ABS('Revenue Model'!D6))/'Revenue Model'!D4,0)</f>
        <v>0.94000000000000006</v>
      </c>
      <c r="E13" t="s">
        <v>144</v>
      </c>
    </row>
    <row r="14" spans="1:5" x14ac:dyDescent="0.35">
      <c r="A14" t="s">
        <v>145</v>
      </c>
      <c r="C14">
        <f>IFERROR((C5-B5)/'Operating Expenses'!C9,0)</f>
        <v>1.9492014323803193</v>
      </c>
      <c r="D14">
        <f>IFERROR((D5-C5)/'Operating Expenses'!D9,0)</f>
        <v>1.5263091322756885</v>
      </c>
      <c r="E14" t="s">
        <v>146</v>
      </c>
    </row>
    <row r="15" spans="1:5" x14ac:dyDescent="0.35">
      <c r="A15" t="s">
        <v>147</v>
      </c>
      <c r="B15" s="5">
        <f>IFERROR('Revenue Model'!B16/'Headcount Plan'!B11,0)</f>
        <v>259200</v>
      </c>
      <c r="C15" s="5">
        <f>IFERROR('Revenue Model'!C16/'Headcount Plan'!C11,0)</f>
        <v>366567.27272727282</v>
      </c>
      <c r="D15" s="5">
        <f>IFERROR('Revenue Model'!D16/'Headcount Plan'!D11,0)</f>
        <v>404948.31567567581</v>
      </c>
      <c r="E15" t="s">
        <v>148</v>
      </c>
    </row>
    <row r="16" spans="1:5" x14ac:dyDescent="0.35">
      <c r="A16" t="s">
        <v>149</v>
      </c>
      <c r="B16" s="4">
        <f>IFERROR('Operating Expenses'!B37,0)</f>
        <v>0.13148148148148148</v>
      </c>
      <c r="C16" s="4">
        <f>IFERROR('Operating Expenses'!C37,0)</f>
        <v>0.22520365851239024</v>
      </c>
      <c r="D16" s="4">
        <f>IFERROR('Operating Expenses'!D37,0)</f>
        <v>0.25619566329601845</v>
      </c>
      <c r="E16" t="s">
        <v>150</v>
      </c>
    </row>
    <row r="18" spans="1:5" ht="18.5" x14ac:dyDescent="0.45">
      <c r="A18" s="1" t="s">
        <v>151</v>
      </c>
    </row>
    <row r="20" spans="1:5" x14ac:dyDescent="0.35">
      <c r="A20" s="2" t="s">
        <v>152</v>
      </c>
      <c r="B20" s="2" t="s">
        <v>2</v>
      </c>
      <c r="C20" s="2" t="s">
        <v>3</v>
      </c>
      <c r="D20" s="2" t="s">
        <v>4</v>
      </c>
      <c r="E20" s="2" t="s">
        <v>130</v>
      </c>
    </row>
    <row r="21" spans="1:5" x14ac:dyDescent="0.35">
      <c r="A21" t="s">
        <v>153</v>
      </c>
      <c r="B21" s="7">
        <f>IFERROR('Balance Sheet'!B9/'Balance Sheet'!B24,0)</f>
        <v>4.2403557114228452</v>
      </c>
      <c r="C21" s="7">
        <f>IFERROR('Balance Sheet'!C9/'Balance Sheet'!C24,0)</f>
        <v>3.4420252531989144</v>
      </c>
      <c r="D21" s="7">
        <f>IFERROR('Balance Sheet'!D9/'Balance Sheet'!D24,0)</f>
        <v>3.5135629633403593</v>
      </c>
      <c r="E21" t="s">
        <v>154</v>
      </c>
    </row>
    <row r="22" spans="1:5" x14ac:dyDescent="0.35">
      <c r="A22" t="s">
        <v>155</v>
      </c>
      <c r="B22" s="7">
        <f>IFERROR(('Balance Sheet'!B6+'Balance Sheet'!B7)/'Balance Sheet'!B24,0)</f>
        <v>4.0879676018704068</v>
      </c>
      <c r="C22" s="7">
        <f>IFERROR(('Balance Sheet'!C6+'Balance Sheet'!C7)/'Balance Sheet'!C24,0)</f>
        <v>3.3635844865797515</v>
      </c>
      <c r="D22" s="7">
        <f>IFERROR(('Balance Sheet'!D6+'Balance Sheet'!D7)/'Balance Sheet'!D24,0)</f>
        <v>3.4595799780986303</v>
      </c>
      <c r="E22" t="s">
        <v>156</v>
      </c>
    </row>
    <row r="23" spans="1:5" x14ac:dyDescent="0.35">
      <c r="A23" t="s">
        <v>157</v>
      </c>
      <c r="B23" s="7">
        <f>IFERROR('Balance Sheet'!B27/'Balance Sheet'!B35,0)</f>
        <v>0.25</v>
      </c>
      <c r="C23" s="7">
        <f>IFERROR('Balance Sheet'!C27/'Balance Sheet'!C35,0)</f>
        <v>0.12345679012345678</v>
      </c>
      <c r="D23" s="7">
        <f>IFERROR('Balance Sheet'!D27/'Balance Sheet'!D35,0)</f>
        <v>0</v>
      </c>
      <c r="E23" t="s">
        <v>158</v>
      </c>
    </row>
    <row r="24" spans="1:5" x14ac:dyDescent="0.35">
      <c r="A24" t="s">
        <v>159</v>
      </c>
      <c r="B24" s="4">
        <f>IFERROR('Operating Expenses'!B36/'Revenue Model'!B16,0)</f>
        <v>0.13148148148148148</v>
      </c>
      <c r="C24" s="4">
        <f>IFERROR('Operating Expenses'!C36/'Revenue Model'!C16,0)</f>
        <v>0.22520365851239024</v>
      </c>
      <c r="D24" s="4">
        <f>IFERROR('Operating Expenses'!D36/'Revenue Model'!D16,0)</f>
        <v>0.25619566329601845</v>
      </c>
      <c r="E24" t="s">
        <v>132</v>
      </c>
    </row>
    <row r="25" spans="1:5" x14ac:dyDescent="0.35">
      <c r="A25" t="s">
        <v>160</v>
      </c>
      <c r="B25">
        <f>0+'Operating Expenses'!B37</f>
        <v>0.13148148148148148</v>
      </c>
      <c r="C25">
        <f>IFERROR('Revenue Model'!C17,0)+'Operating Expenses'!C37</f>
        <v>1.7142406955494278</v>
      </c>
      <c r="D25">
        <f>IFERROR('Revenue Model'!D17,0)+'Operating Expenses'!D37</f>
        <v>1.1141068590581757</v>
      </c>
      <c r="E25" t="s">
        <v>161</v>
      </c>
    </row>
  </sheetData>
  <conditionalFormatting sqref="B16:D16">
    <cfRule type="cellIs" dxfId="0" priority="1" operator="greaterThanOrEqual">
      <formula>0.15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workbookViewId="0">
      <selection activeCell="D15" sqref="D15"/>
    </sheetView>
  </sheetViews>
  <sheetFormatPr defaultRowHeight="14.5" x14ac:dyDescent="0.35"/>
  <cols>
    <col min="1" max="1" width="32.7265625" customWidth="1"/>
    <col min="2" max="4" width="16.7265625" customWidth="1"/>
  </cols>
  <sheetData>
    <row r="1" spans="1:4" ht="18.5" x14ac:dyDescent="0.45">
      <c r="A1" s="1" t="s">
        <v>162</v>
      </c>
    </row>
    <row r="3" spans="1:4" x14ac:dyDescent="0.35">
      <c r="A3" s="2" t="s">
        <v>163</v>
      </c>
      <c r="B3" s="2" t="s">
        <v>164</v>
      </c>
      <c r="C3" s="2" t="s">
        <v>165</v>
      </c>
      <c r="D3" s="2" t="s">
        <v>166</v>
      </c>
    </row>
    <row r="4" spans="1:4" x14ac:dyDescent="0.35">
      <c r="A4" t="s">
        <v>167</v>
      </c>
      <c r="B4">
        <v>0.56000000000000005</v>
      </c>
      <c r="C4">
        <v>0.7</v>
      </c>
      <c r="D4">
        <v>0.84</v>
      </c>
    </row>
    <row r="5" spans="1:4" x14ac:dyDescent="0.35">
      <c r="A5" t="s">
        <v>168</v>
      </c>
      <c r="B5">
        <v>0.52</v>
      </c>
      <c r="C5">
        <v>0.65</v>
      </c>
      <c r="D5">
        <v>0.78</v>
      </c>
    </row>
    <row r="6" spans="1:4" x14ac:dyDescent="0.35">
      <c r="A6" t="s">
        <v>169</v>
      </c>
      <c r="B6">
        <v>0.08</v>
      </c>
      <c r="C6">
        <v>0.1</v>
      </c>
      <c r="D6">
        <v>0.12</v>
      </c>
    </row>
    <row r="7" spans="1:4" x14ac:dyDescent="0.35">
      <c r="A7" t="s">
        <v>170</v>
      </c>
      <c r="B7">
        <v>0.1</v>
      </c>
      <c r="C7">
        <v>0.08</v>
      </c>
      <c r="D7">
        <v>0.06</v>
      </c>
    </row>
    <row r="8" spans="1:4" x14ac:dyDescent="0.35">
      <c r="A8" t="s">
        <v>171</v>
      </c>
      <c r="B8">
        <v>0.65</v>
      </c>
      <c r="C8">
        <v>0.7</v>
      </c>
      <c r="D8">
        <v>0.75</v>
      </c>
    </row>
    <row r="9" spans="1:4" x14ac:dyDescent="0.35">
      <c r="A9" t="s">
        <v>10</v>
      </c>
      <c r="B9">
        <v>0.4</v>
      </c>
      <c r="C9">
        <v>0.35</v>
      </c>
      <c r="D9">
        <v>0.3</v>
      </c>
    </row>
    <row r="12" spans="1:4" ht="18.5" x14ac:dyDescent="0.45">
      <c r="A12" s="1" t="s">
        <v>172</v>
      </c>
    </row>
    <row r="14" spans="1:4" x14ac:dyDescent="0.35">
      <c r="A14" s="2" t="s">
        <v>173</v>
      </c>
      <c r="B14" s="2" t="s">
        <v>164</v>
      </c>
      <c r="C14" s="2" t="s">
        <v>165</v>
      </c>
      <c r="D14" s="2" t="s">
        <v>166</v>
      </c>
    </row>
    <row r="15" spans="1:4" x14ac:dyDescent="0.35">
      <c r="A15" s="5" t="s">
        <v>174</v>
      </c>
      <c r="B15" s="5">
        <v>16262400</v>
      </c>
      <c r="C15" s="5">
        <v>20328000</v>
      </c>
      <c r="D15" s="5">
        <v>24393600</v>
      </c>
    </row>
    <row r="16" spans="1:4" x14ac:dyDescent="0.35">
      <c r="A16" s="5" t="s">
        <v>58</v>
      </c>
      <c r="B16" s="5">
        <v>3249197</v>
      </c>
      <c r="C16" s="5">
        <v>4811496</v>
      </c>
      <c r="D16" s="5">
        <v>6373795</v>
      </c>
    </row>
    <row r="17" spans="1:4" x14ac:dyDescent="0.35">
      <c r="A17" s="5" t="s">
        <v>175</v>
      </c>
      <c r="B17" s="5">
        <v>5960000</v>
      </c>
      <c r="C17" s="5">
        <v>7450000</v>
      </c>
      <c r="D17" s="5">
        <v>8940000</v>
      </c>
    </row>
    <row r="18" spans="1:4" x14ac:dyDescent="0.35">
      <c r="A18" s="3" t="s">
        <v>176</v>
      </c>
      <c r="B18" s="3">
        <v>55</v>
      </c>
      <c r="C18" s="3">
        <v>69</v>
      </c>
      <c r="D18" s="3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workbookViewId="0">
      <selection activeCell="E18" sqref="E18"/>
    </sheetView>
  </sheetViews>
  <sheetFormatPr defaultRowHeight="14.5" x14ac:dyDescent="0.35"/>
  <cols>
    <col min="1" max="4" width="12.7265625" customWidth="1"/>
    <col min="5" max="7" width="16.7265625" customWidth="1"/>
  </cols>
  <sheetData>
    <row r="1" spans="1:7" ht="18.5" x14ac:dyDescent="0.45">
      <c r="A1" s="1" t="s">
        <v>177</v>
      </c>
    </row>
    <row r="3" spans="1:7" x14ac:dyDescent="0.35">
      <c r="A3" s="2" t="s">
        <v>178</v>
      </c>
      <c r="B3" s="2" t="s">
        <v>179</v>
      </c>
      <c r="C3" s="2" t="s">
        <v>180</v>
      </c>
      <c r="D3" s="2" t="s">
        <v>181</v>
      </c>
      <c r="E3" s="2" t="s">
        <v>182</v>
      </c>
      <c r="F3" s="2" t="s">
        <v>183</v>
      </c>
      <c r="G3" s="9"/>
    </row>
    <row r="4" spans="1:7" x14ac:dyDescent="0.35">
      <c r="A4" t="s">
        <v>184</v>
      </c>
      <c r="B4">
        <v>45</v>
      </c>
      <c r="C4">
        <v>45</v>
      </c>
      <c r="D4">
        <v>0</v>
      </c>
      <c r="E4">
        <f>B4*'Assumptions &amp; Drivers'!B6/12</f>
        <v>45000</v>
      </c>
      <c r="F4">
        <f t="shared" ref="F4:F15" si="0">E4*12</f>
        <v>540000</v>
      </c>
    </row>
    <row r="5" spans="1:7" x14ac:dyDescent="0.35">
      <c r="A5" t="s">
        <v>185</v>
      </c>
      <c r="B5">
        <v>80</v>
      </c>
      <c r="C5">
        <v>38</v>
      </c>
      <c r="D5">
        <v>-3</v>
      </c>
      <c r="E5">
        <f>B5*'Assumptions &amp; Drivers'!B6/12</f>
        <v>80000</v>
      </c>
      <c r="F5">
        <f t="shared" si="0"/>
        <v>960000</v>
      </c>
    </row>
    <row r="6" spans="1:7" x14ac:dyDescent="0.35">
      <c r="A6" t="s">
        <v>186</v>
      </c>
      <c r="B6">
        <v>120</v>
      </c>
      <c r="C6">
        <v>42</v>
      </c>
      <c r="D6">
        <v>-2</v>
      </c>
      <c r="E6">
        <f>B6*'Assumptions &amp; Drivers'!B6/12</f>
        <v>120000</v>
      </c>
      <c r="F6">
        <f t="shared" si="0"/>
        <v>1440000</v>
      </c>
    </row>
    <row r="7" spans="1:7" x14ac:dyDescent="0.35">
      <c r="A7" t="s">
        <v>187</v>
      </c>
      <c r="B7">
        <v>160</v>
      </c>
      <c r="C7">
        <v>40</v>
      </c>
      <c r="D7">
        <v>-2</v>
      </c>
      <c r="E7">
        <f>B7*'Assumptions &amp; Drivers'!B6/12</f>
        <v>160000</v>
      </c>
      <c r="F7">
        <f t="shared" si="0"/>
        <v>1920000</v>
      </c>
    </row>
    <row r="8" spans="1:7" x14ac:dyDescent="0.35">
      <c r="A8" t="s">
        <v>188</v>
      </c>
      <c r="B8">
        <v>200</v>
      </c>
      <c r="C8">
        <v>40</v>
      </c>
      <c r="D8">
        <v>-3</v>
      </c>
      <c r="E8">
        <f>B8*'Assumptions &amp; Drivers'!B6/12</f>
        <v>200000</v>
      </c>
      <c r="F8">
        <f t="shared" si="0"/>
        <v>2400000</v>
      </c>
    </row>
    <row r="9" spans="1:7" x14ac:dyDescent="0.35">
      <c r="A9" t="s">
        <v>189</v>
      </c>
      <c r="B9">
        <v>240</v>
      </c>
      <c r="C9">
        <v>40</v>
      </c>
      <c r="D9">
        <v>-3</v>
      </c>
      <c r="E9">
        <f>B9*'Assumptions &amp; Drivers'!B6/12</f>
        <v>240000</v>
      </c>
      <c r="F9">
        <f t="shared" si="0"/>
        <v>2880000</v>
      </c>
    </row>
    <row r="10" spans="1:7" x14ac:dyDescent="0.35">
      <c r="A10" t="s">
        <v>190</v>
      </c>
      <c r="B10">
        <v>280</v>
      </c>
      <c r="C10">
        <v>40</v>
      </c>
      <c r="D10">
        <v>-3</v>
      </c>
      <c r="E10">
        <f>B10*'Assumptions &amp; Drivers'!B6/12</f>
        <v>280000</v>
      </c>
      <c r="F10">
        <f t="shared" si="0"/>
        <v>3360000</v>
      </c>
    </row>
    <row r="11" spans="1:7" x14ac:dyDescent="0.35">
      <c r="A11" t="s">
        <v>191</v>
      </c>
      <c r="B11">
        <v>320</v>
      </c>
      <c r="C11">
        <v>40</v>
      </c>
      <c r="D11">
        <v>-3</v>
      </c>
      <c r="E11">
        <f>B11*'Assumptions &amp; Drivers'!B6/12</f>
        <v>320000</v>
      </c>
      <c r="F11">
        <f t="shared" si="0"/>
        <v>3840000</v>
      </c>
    </row>
    <row r="12" spans="1:7" x14ac:dyDescent="0.35">
      <c r="A12" t="s">
        <v>192</v>
      </c>
      <c r="B12">
        <v>360</v>
      </c>
      <c r="C12">
        <v>40</v>
      </c>
      <c r="D12">
        <v>-3</v>
      </c>
      <c r="E12">
        <f>B12*'Assumptions &amp; Drivers'!B6/12</f>
        <v>360000</v>
      </c>
      <c r="F12">
        <f t="shared" si="0"/>
        <v>4320000</v>
      </c>
    </row>
    <row r="13" spans="1:7" x14ac:dyDescent="0.35">
      <c r="A13" t="s">
        <v>193</v>
      </c>
      <c r="B13">
        <v>410</v>
      </c>
      <c r="C13">
        <v>50</v>
      </c>
      <c r="D13">
        <v>-3</v>
      </c>
      <c r="E13">
        <f>B13*'Assumptions &amp; Drivers'!B6/12</f>
        <v>410000</v>
      </c>
      <c r="F13">
        <f t="shared" si="0"/>
        <v>4920000</v>
      </c>
    </row>
    <row r="14" spans="1:7" x14ac:dyDescent="0.35">
      <c r="A14" t="s">
        <v>194</v>
      </c>
      <c r="B14">
        <v>455</v>
      </c>
      <c r="C14">
        <v>45</v>
      </c>
      <c r="D14">
        <v>-4</v>
      </c>
      <c r="E14">
        <f>B14*'Assumptions &amp; Drivers'!B6/12</f>
        <v>455000</v>
      </c>
      <c r="F14">
        <f t="shared" si="0"/>
        <v>5460000</v>
      </c>
    </row>
    <row r="15" spans="1:7" x14ac:dyDescent="0.35">
      <c r="A15" t="s">
        <v>195</v>
      </c>
      <c r="B15">
        <v>500</v>
      </c>
      <c r="C15">
        <v>45</v>
      </c>
      <c r="D15">
        <v>-5</v>
      </c>
      <c r="E15">
        <f>B15*'Assumptions &amp; Drivers'!B6/12</f>
        <v>500000</v>
      </c>
      <c r="F15">
        <f t="shared" si="0"/>
        <v>6000000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 &amp; Drivers</vt:lpstr>
      <vt:lpstr>Revenue Model</vt:lpstr>
      <vt:lpstr>Operating Expenses</vt:lpstr>
      <vt:lpstr>Balance Sheet</vt:lpstr>
      <vt:lpstr>Cash Flow Statement</vt:lpstr>
      <vt:lpstr>Headcount Plan</vt:lpstr>
      <vt:lpstr>KPI Dashboard</vt:lpstr>
      <vt:lpstr>Scenario Analysis</vt:lpstr>
      <vt:lpstr>Monthly Breakdown (Y1)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NITHIL KUMMARI</dc:creator>
  <cp:lastModifiedBy>Kummari, Sunny Nithil</cp:lastModifiedBy>
  <dcterms:created xsi:type="dcterms:W3CDTF">2025-10-23T15:47:08Z</dcterms:created>
  <dcterms:modified xsi:type="dcterms:W3CDTF">2025-10-23T15:58:27Z</dcterms:modified>
</cp:coreProperties>
</file>