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copus" sheetId="1" r:id="rId4"/>
    <sheet state="visible" name="IEEE" sheetId="2" r:id="rId5"/>
    <sheet state="visible" name="ACM" sheetId="3" r:id="rId6"/>
    <sheet state="visible" name="WOS" sheetId="4" r:id="rId7"/>
    <sheet state="visible" name="INCLUSION_EXCLUSION" sheetId="5" r:id="rId8"/>
    <sheet state="visible" name="CLASSIFICATION" sheetId="6" r:id="rId9"/>
  </sheets>
  <definedNames>
    <definedName hidden="1" localSheetId="4" name="_xlnm._FilterDatabase">INCLUSION_EXCLUSION!$A$1:$A$852</definedName>
  </definedNames>
  <calcPr/>
  <extLst>
    <ext uri="GoogleSheetsCustomDataVersion2">
      <go:sheetsCustomData xmlns:go="http://customooxmlschemas.google.com/" r:id="rId10" roundtripDataChecksum="dL1JpD2QHxj6mDSzXVwvIfKjiECU8GcakbAryMk41RA="/>
    </ext>
  </extLst>
</workbook>
</file>

<file path=xl/sharedStrings.xml><?xml version="1.0" encoding="utf-8"?>
<sst xmlns="http://schemas.openxmlformats.org/spreadsheetml/2006/main" count="29814" uniqueCount="9617">
  <si>
    <t>Title</t>
  </si>
  <si>
    <t>Authors</t>
  </si>
  <si>
    <t>Year</t>
  </si>
  <si>
    <t>Source title</t>
  </si>
  <si>
    <t>DOI</t>
  </si>
  <si>
    <t>Link</t>
  </si>
  <si>
    <t>Cited by</t>
  </si>
  <si>
    <t>Source</t>
  </si>
  <si>
    <t>Document Type</t>
  </si>
  <si>
    <t>Fine-Grained Causality Extraction from Natural Language Requirements Using Recursive Neural Tensor Networks</t>
  </si>
  <si>
    <t>Fischbach J.; Springer T.; Frattini J.; Femmer H.; Vogelsang A.; Mendez D.</t>
  </si>
  <si>
    <t>Proceedings of the IEEE International Conference on Requirements Engineering</t>
  </si>
  <si>
    <t>10.1109/REW53955.2021.00016</t>
  </si>
  <si>
    <t>https://www.scopus.com/inward/record.uri?eid=2-s2.0-85118428365&amp;doi=10.1109%2fREW53955.2021.00016&amp;partnerID=40&amp;md5=9ccee72532108df1e81f3d7aa6703afa</t>
  </si>
  <si>
    <t>Scopus</t>
  </si>
  <si>
    <t>Conference paper</t>
  </si>
  <si>
    <t>Causal-ARG: a causality-guided framework for annotating properties of antibiotic resistance genes</t>
  </si>
  <si>
    <t>Zhao W.; Wu J.; Jiang X.; He T.; Hu X.</t>
  </si>
  <si>
    <t>Bioinformatics</t>
  </si>
  <si>
    <t>10.1093/bioinformatics/btae180</t>
  </si>
  <si>
    <t>https://www.scopus.com/inward/record.uri?eid=2-s2.0-85191041871&amp;doi=10.1093%2fbioinformatics%2fbtae180&amp;partnerID=40&amp;md5=9ae4c13874a2a1a90331f908f0d1af54</t>
  </si>
  <si>
    <t>Article</t>
  </si>
  <si>
    <t>Bayesian sparse joint dynamic topic model with flexible lead-lag order</t>
  </si>
  <si>
    <t>Wang F.; Zhou R.; Feng Y.; Lu X.</t>
  </si>
  <si>
    <t>Information Sciences</t>
  </si>
  <si>
    <t>10.1016/j.ins.2022.10.119</t>
  </si>
  <si>
    <t>https://www.scopus.com/inward/record.uri?eid=2-s2.0-85141996723&amp;doi=10.1016%2fj.ins.2022.10.119&amp;partnerID=40&amp;md5=146eed623ec3c7e905053324790976f4</t>
  </si>
  <si>
    <t>Probabilistic Modeling of Maritime Accident Scenarios Leveraging Bayesian Network Techniques</t>
  </si>
  <si>
    <t>Liao S.; Weng J.; Zhang Z.; Li Z.; Li F.</t>
  </si>
  <si>
    <t>Journal of Marine Science and Engineering</t>
  </si>
  <si>
    <t>10.3390/jmse11081513</t>
  </si>
  <si>
    <t>https://www.scopus.com/inward/record.uri?eid=2-s2.0-85169148168&amp;doi=10.3390%2fjmse11081513&amp;partnerID=40&amp;md5=b6463fb6728adb9863459fe59b6e212a</t>
  </si>
  <si>
    <t>Machine Learning at Work? The Issue of Data Quality When Developing New Insight in Occupational Accidents</t>
  </si>
  <si>
    <t>Shayboun M.; Koch C.; Kifokeris D.</t>
  </si>
  <si>
    <t>Computing in Civil Engineering 2023: Resilience, Safety, and Sustainability - Selected Papers from the ASCE International Conference on Computing in Civil Engineering 2023</t>
  </si>
  <si>
    <t>10.1061/9780784485248.055</t>
  </si>
  <si>
    <t>https://www.scopus.com/inward/record.uri?eid=2-s2.0-85184084197&amp;doi=10.1061%2f9780784485248.055&amp;partnerID=40&amp;md5=3cd7b5505145412b4192688990541228</t>
  </si>
  <si>
    <t>Look-Ahead VNF-FG Embedding Framework for Latency-Sensitive Network Services</t>
  </si>
  <si>
    <t>Recse A.; Promwongsa N.; Ebrahimzadeh A.; Afrasiabi S.N.; Mouradian C.; Li W.; Szabó R.; Glitho R.H.</t>
  </si>
  <si>
    <t>IEEE Transactions on Network and Service Management</t>
  </si>
  <si>
    <t>10.1109/TNSM.2023.3243435</t>
  </si>
  <si>
    <t>https://www.scopus.com/inward/record.uri?eid=2-s2.0-85148430165&amp;doi=10.1109%2fTNSM.2023.3243435&amp;partnerID=40&amp;md5=005a4d364cf666b88efd79c877ddef2b</t>
  </si>
  <si>
    <t>Meraki: Encouraging Language Learning in Real-World Simulations Through AI Para-Social Relationship Building</t>
  </si>
  <si>
    <t>Namburi S.; Hopkins G.</t>
  </si>
  <si>
    <t>Proceedings of the European Conference on Games-based Learning</t>
  </si>
  <si>
    <t>https://www.scopus.com/inward/record.uri?eid=2-s2.0-85179002397&amp;partnerID=40&amp;md5=78a028aab67e3ebee12c8e9383261654</t>
  </si>
  <si>
    <t>Integration and development of modern art design and environmental design based on VAR modeling</t>
  </si>
  <si>
    <t>Shi B.</t>
  </si>
  <si>
    <t>Applied Mathematics and Nonlinear Sciences</t>
  </si>
  <si>
    <t>10.2478/amns-2024-0087</t>
  </si>
  <si>
    <t>https://www.scopus.com/inward/record.uri?eid=2-s2.0-85185198573&amp;doi=10.2478%2famns-2024-0087&amp;partnerID=40&amp;md5=4e74cbd9ea045a58ee3f21ec4457819a</t>
  </si>
  <si>
    <t>Fairness under Feature Exemptions: Counterfactual and Observational Measures</t>
  </si>
  <si>
    <t>Dutta S.; Venkatesh P.; Mardziel P.; Datta A.; Grover P.</t>
  </si>
  <si>
    <t>IEEE Transactions on Information Theory</t>
  </si>
  <si>
    <t>10.1109/TIT.2021.3103206</t>
  </si>
  <si>
    <t>https://www.scopus.com/inward/record.uri?eid=2-s2.0-85115266183&amp;doi=10.1109%2fTIT.2021.3103206&amp;partnerID=40&amp;md5=1996f37b31a7c3200866acb9052fee28</t>
  </si>
  <si>
    <t>A learned pixel-by-pixel lossless image compression method with 59K parameters and parallel decoding</t>
  </si>
  <si>
    <t>Gümüş S.; Kamisli F.</t>
  </si>
  <si>
    <t>Multimedia Tools and Applications</t>
  </si>
  <si>
    <t>10.1007/s11042-023-16270-4</t>
  </si>
  <si>
    <t>https://www.scopus.com/inward/record.uri?eid=2-s2.0-85167513614&amp;doi=10.1007%2fs11042-023-16270-4&amp;partnerID=40&amp;md5=a8014e6d1f9393c2be28380b31c30d4d</t>
  </si>
  <si>
    <t>Chest X-ray Image Classification: A Causal Perspective</t>
  </si>
  <si>
    <t>Nie W.; Zhang C.; Song D.; Bai Y.; Xie K.; Liu A.-A.</t>
  </si>
  <si>
    <t>Lecture Notes in Computer Science (including subseries Lecture Notes in Artificial Intelligence and Lecture Notes in Bioinformatics)</t>
  </si>
  <si>
    <t>10.1007/978-3-031-43898-1_3</t>
  </si>
  <si>
    <t>https://www.scopus.com/inward/record.uri?eid=2-s2.0-85174738833&amp;doi=10.1007%2f978-3-031-43898-1_3&amp;partnerID=40&amp;md5=da0dd01b027b22b48ff084d764ae4959</t>
  </si>
  <si>
    <t>Defect Prediction Method Using Stable Learning</t>
  </si>
  <si>
    <t>Zheng W.; Cai F.; Chen T.; Yang T.; Yang F.; Xiao P.</t>
  </si>
  <si>
    <t>Proceedings - 2023 International Conference on Image Processing and Computer Vision, IPCV 2023</t>
  </si>
  <si>
    <t>10.1109/IPCV57033.2023.00023</t>
  </si>
  <si>
    <t>https://www.scopus.com/inward/record.uri?eid=2-s2.0-85185344185&amp;doi=10.1109%2fIPCV57033.2023.00023&amp;partnerID=40&amp;md5=fe10264fcee49606cbd789a4dc420f54</t>
  </si>
  <si>
    <t>Explaining Regressions via Alignment Slicing and Mending</t>
  </si>
  <si>
    <t>Wang H.; Lin Y.; Yang Z.; Sun J.; Liu Y.; Dong J.; Zheng Q.; Liu T.</t>
  </si>
  <si>
    <t>IEEE Transactions on Software Engineering</t>
  </si>
  <si>
    <t>10.1109/TSE.2019.2949568</t>
  </si>
  <si>
    <t>https://www.scopus.com/inward/record.uri?eid=2-s2.0-85119597010&amp;doi=10.1109%2fTSE.2019.2949568&amp;partnerID=40&amp;md5=886e847de8d11e56e35eb90091ff02ce</t>
  </si>
  <si>
    <t>Reasoning-Based Software Testing</t>
  </si>
  <si>
    <t>Giamattei L.; Pietrantuono R.; Russo S.</t>
  </si>
  <si>
    <t>Proceedings - International Conference on Software Engineering</t>
  </si>
  <si>
    <t>10.1109/ICSE-NIER58687.2023.00018</t>
  </si>
  <si>
    <t>https://www.scopus.com/inward/record.uri?eid=2-s2.0-85172069503&amp;doi=10.1109%2fICSE-NIER58687.2023.00018&amp;partnerID=40&amp;md5=f330454ba07dca289a1b1e9763511632</t>
  </si>
  <si>
    <t>CC: Causality-Aware Coverage Criterion for Deep Neural Networks</t>
  </si>
  <si>
    <t>Ji Z.; Ma P.; Yuan Y.; Wang S.</t>
  </si>
  <si>
    <t>10.1109/ICSE48619.2023.00153</t>
  </si>
  <si>
    <t>https://www.scopus.com/inward/record.uri?eid=2-s2.0-85171787833&amp;doi=10.1109%2fICSE48619.2023.00153&amp;partnerID=40&amp;md5=527f863e656d62143bd2b12bbf94be8e</t>
  </si>
  <si>
    <t>AutoHyper: Explicit-State Model Checking for HyperLTL</t>
  </si>
  <si>
    <t>Beutner R.; Finkbeiner B.</t>
  </si>
  <si>
    <t>10.1007/978-3-031-30823-9_8</t>
  </si>
  <si>
    <t>https://www.scopus.com/inward/record.uri?eid=2-s2.0-85161438369&amp;doi=10.1007%2f978-3-031-30823-9_8&amp;partnerID=40&amp;md5=049ced57c9dd1fba4d5235b773f6793e</t>
  </si>
  <si>
    <t>AutoModel: Automatic Synthesis of Models from Communication Traces of SoC Designs</t>
  </si>
  <si>
    <t>Ahmed M.R.; Nadimi B.; Zheng H.</t>
  </si>
  <si>
    <t>IEEE Transactions on Computer-Aided Design of Integrated Circuits and Systems</t>
  </si>
  <si>
    <t>10.1109/TCAD.2024.3362598</t>
  </si>
  <si>
    <t>https://www.scopus.com/inward/record.uri?eid=2-s2.0-85184825596&amp;doi=10.1109%2fTCAD.2024.3362598&amp;partnerID=40&amp;md5=3dabf331dbbdfe66d062215bf7d574aa</t>
  </si>
  <si>
    <t>The Causal Reasoning Ability of Open Large Language Model: A Comprehensive and Exemplary Functional Testing</t>
  </si>
  <si>
    <t>Li S.-H.; Zhou G.; Li Z.-B.; Lu J.-C.; Huang N.-B.</t>
  </si>
  <si>
    <t>IEEE International Conference on Software Quality, Reliability and Security, QRS</t>
  </si>
  <si>
    <t>10.1109/QRS60937.2023.00032</t>
  </si>
  <si>
    <t>https://www.scopus.com/inward/record.uri?eid=2-s2.0-85182519704&amp;doi=10.1109%2fQRS60937.2023.00032&amp;partnerID=40&amp;md5=ad865a917913aa2f9ecfcdf2ea6b69e1</t>
  </si>
  <si>
    <t>Transcranial Alternating Current Stimulation Improves Memory Function in Alzheimer's Mice by Ameliorating Abnormal Gamma Oscillation</t>
  </si>
  <si>
    <t>Wu L.; Zhang W.; Li S.; Li Y.; Yuan Y.; Huang L.; Cao T.; Fan L.; Chen J.; Wang J.; Liu T.; Wang J.</t>
  </si>
  <si>
    <t>IEEE Transactions on Neural Systems and Rehabilitation Engineering</t>
  </si>
  <si>
    <t>10.1109/TNSRE.2023.3265378</t>
  </si>
  <si>
    <t>https://www.scopus.com/inward/record.uri?eid=2-s2.0-85153798256&amp;doi=10.1109%2fTNSRE.2023.3265378&amp;partnerID=40&amp;md5=6467190c76ef1bb39ee806561d754836</t>
  </si>
  <si>
    <t>A Causality-Aware Graph Convolutional Network Framework for Rigidity Assessment in Parkinsonians</t>
  </si>
  <si>
    <t>Tang X.; Zhang C.; Guo R.; Yang X.; Qian X.</t>
  </si>
  <si>
    <t>IEEE Transactions on Medical Imaging</t>
  </si>
  <si>
    <t>10.1109/TMI.2023.3294182</t>
  </si>
  <si>
    <t>https://www.scopus.com/inward/record.uri?eid=2-s2.0-85164697513&amp;doi=10.1109%2fTMI.2023.3294182&amp;partnerID=40&amp;md5=ff7dde5096f00079e4adea23de8745db</t>
  </si>
  <si>
    <t>ToMExO: A probabilistic tree-structured model for cancer progression</t>
  </si>
  <si>
    <t>Neyshabouri M.M.; Lagergren J.</t>
  </si>
  <si>
    <t>PLoS Computational Biology</t>
  </si>
  <si>
    <t>10.1371/journal.pcbi.1010732</t>
  </si>
  <si>
    <t>https://www.scopus.com/inward/record.uri?eid=2-s2.0-85144586619&amp;doi=10.1371%2fjournal.pcbi.1010732&amp;partnerID=40&amp;md5=cd255f268f3522acb4e00933fa9c7d20</t>
  </si>
  <si>
    <t>Telemetry-Based Software Failure Prediction by Concept-Space Model Creation</t>
  </si>
  <si>
    <t>Afshinpour B.; Groz R.; Amini M.-R.</t>
  </si>
  <si>
    <t>10.1109/QRS57517.2022.00030</t>
  </si>
  <si>
    <t>https://www.scopus.com/inward/record.uri?eid=2-s2.0-85151424504&amp;doi=10.1109%2fQRS57517.2022.00030&amp;partnerID=40&amp;md5=4aa95a551aab304751d7556edd06d12f</t>
  </si>
  <si>
    <t>“Using the STAMP systems-based approach to identify hazards for the Transient Operating State: What is it and How can it help us?”</t>
  </si>
  <si>
    <t>Grattan D.</t>
  </si>
  <si>
    <t>2022 AIChE Spring Meeting and 18th Global Congress on Process Safety, GCPS 2022</t>
  </si>
  <si>
    <t>https://www.scopus.com/inward/record.uri?eid=2-s2.0-85151664714&amp;partnerID=40&amp;md5=42fd43ab284dfbc3a1c04d5736ca6200</t>
  </si>
  <si>
    <t>Testing Causality in Scientific Modelling Software</t>
  </si>
  <si>
    <t>Clark A.G.; Foster M.; Prifling B.; Walkinshaw N.; Hierons R.M.; Schmidt V.; Turner R.D.</t>
  </si>
  <si>
    <t>ACM Transactions on Software Engineering and Methodology</t>
  </si>
  <si>
    <t>10.1145/3607184</t>
  </si>
  <si>
    <t>https://www.scopus.com/inward/record.uri?eid=2-s2.0-85183781762&amp;doi=10.1145%2f3607184&amp;partnerID=40&amp;md5=d836c80c12a237426931d9d9a372f79d</t>
  </si>
  <si>
    <t>Scalable Empirical Dynamic Modeling With Parallel Computing and Approximate k-NN Search</t>
  </si>
  <si>
    <t>Takahashi K.; Ichikawa K.; Park J.; Pao G.M.</t>
  </si>
  <si>
    <t>IEEE Access</t>
  </si>
  <si>
    <t>10.1109/ACCESS.2023.3289836</t>
  </si>
  <si>
    <t>https://www.scopus.com/inward/record.uri?eid=2-s2.0-85163505933&amp;doi=10.1109%2fACCESS.2023.3289836&amp;partnerID=40&amp;md5=32ff68b2c6e6652d9380b1a8fc3af2db</t>
  </si>
  <si>
    <t>Use of Technological Resources for the Development of Computational Thinking Following the Steps of Solving Problems in Engineering Students Recently Entering College</t>
  </si>
  <si>
    <t>Paucar-Curasma R.; Villalba-Condori K.O.; Mamani-Calcina J.; Rondon D.; Berrios-Espezúa M.G.; Acra-Despradel C.</t>
  </si>
  <si>
    <t>Education Sciences</t>
  </si>
  <si>
    <t>10.3390/educsci13030279</t>
  </si>
  <si>
    <t>https://www.scopus.com/inward/record.uri?eid=2-s2.0-85151092567&amp;doi=10.3390%2feducsci13030279&amp;partnerID=40&amp;md5=eee1c821f2b80c3bd8c9b28ed49c2b22</t>
  </si>
  <si>
    <t>A Constructive State-based Semantics and Interpreter for a Synchronous Data-flow Language with State Machines</t>
  </si>
  <si>
    <t>Colaço J.-L.; Mendler M.; Pauget B.; Pouzet M.</t>
  </si>
  <si>
    <t>ACM Transactions on Embedded Computing Systems</t>
  </si>
  <si>
    <t>10.1145/3609131</t>
  </si>
  <si>
    <t>https://www.scopus.com/inward/record.uri?eid=2-s2.0-85171803552&amp;doi=10.1145%2f3609131&amp;partnerID=40&amp;md5=0e0d1b9298f0807386ae5dd8c557b1cd</t>
  </si>
  <si>
    <t>Adaptive Incremental Learning for Software Reliability Growth Models</t>
  </si>
  <si>
    <t>Nagaraju V.; Pritchard S.; Fiondella L.</t>
  </si>
  <si>
    <t>10.1007/978-3-031-06509-5_25</t>
  </si>
  <si>
    <t>https://www.scopus.com/inward/record.uri?eid=2-s2.0-85133180523&amp;doi=10.1007%2f978-3-031-06509-5_25&amp;partnerID=40&amp;md5=71bb354001cbb4c2a1b4de516cf01181</t>
  </si>
  <si>
    <t>Deploying NLP Techniques for Earnings Call Transcripts for Financial Analysis: A Reverse Phenomenon Paradigm</t>
  </si>
  <si>
    <t>Nagendra B.V.; Simha J.B.; Abhi S.; Kumar Chandar S.</t>
  </si>
  <si>
    <t>7th International Conference on I-SMAC (IoT in Social, Mobile, Analytics and Cloud), I-SMAC 2023 - Proceedings</t>
  </si>
  <si>
    <t>10.1109/I-SMAC58438.2023.10290494</t>
  </si>
  <si>
    <t>https://www.scopus.com/inward/record.uri?eid=2-s2.0-85177617890&amp;doi=10.1109%2fI-SMAC58438.2023.10290494&amp;partnerID=40&amp;md5=755f50ad1b49b04b1e9d9a7925199572</t>
  </si>
  <si>
    <t>A Comparative Study on ROS2 Middleware - Performance Aspects within ADAS Simulation Platforms</t>
  </si>
  <si>
    <t>Venkannacharya G.</t>
  </si>
  <si>
    <t>SAE Technical Papers</t>
  </si>
  <si>
    <t>10.4271/2022-28-0386</t>
  </si>
  <si>
    <t>https://www.scopus.com/inward/record.uri?eid=2-s2.0-85141599395&amp;doi=10.4271%2f2022-28-0386&amp;partnerID=40&amp;md5=95e1a41ec723ed81d36a6bc4740ea382</t>
  </si>
  <si>
    <t>BayesianSafety - An Open-Source Package for Causality-Guided, Multi-model Safety Analysis</t>
  </si>
  <si>
    <t>Maier R.; Mottok J.</t>
  </si>
  <si>
    <t>10.1007/978-3-031-14835-4_2</t>
  </si>
  <si>
    <t>https://www.scopus.com/inward/record.uri?eid=2-s2.0-85137991601&amp;doi=10.1007%2f978-3-031-14835-4_2&amp;partnerID=40&amp;md5=bc9ed13a571d01b83ded8f639c2f8f56</t>
  </si>
  <si>
    <t>Building causal models for finding actual causes of unmanned aerial vehicle failures</t>
  </si>
  <si>
    <t>Zibaei E.; Borth R.</t>
  </si>
  <si>
    <t>Frontiers in Robotics and AI</t>
  </si>
  <si>
    <t>10.3389/frobt.2024.1123762</t>
  </si>
  <si>
    <t>https://www.scopus.com/inward/record.uri?eid=2-s2.0-85185487648&amp;doi=10.3389%2ffrobt.2024.1123762&amp;partnerID=40&amp;md5=1e6fd45da581f808c8223d8b122152ba</t>
  </si>
  <si>
    <t>CiRA: An Open-Source Python Package for Automated Generation of Test Case Descriptions from Natural Language Requirements</t>
  </si>
  <si>
    <t>Frattini J.; Fischbach J.; Bauer A.</t>
  </si>
  <si>
    <t>Proceedings - 31st IEEE International Requirements Engineering Conference Workshops, REW 2023</t>
  </si>
  <si>
    <t>10.1109/REW57809.2023.00019</t>
  </si>
  <si>
    <t>https://www.scopus.com/inward/record.uri?eid=2-s2.0-85174681463&amp;doi=10.1109%2fREW57809.2023.00019&amp;partnerID=40&amp;md5=4e21d6c06cfe01b505d6229c8472761f</t>
  </si>
  <si>
    <t>CaRE: Finding Root Causes of Configuration Issues in Highly-Configurable Robots</t>
  </si>
  <si>
    <t>Hossen M.A.; Kharade S.; Schmerl B.; Cámara J.; O'Kane J.M.; Czaplinski E.C.; Dzurilla K.A.; Garlan D.; Jamshidi P.</t>
  </si>
  <si>
    <t>IEEE Robotics and Automation Letters</t>
  </si>
  <si>
    <t>10.1109/LRA.2023.3280810</t>
  </si>
  <si>
    <t>https://www.scopus.com/inward/record.uri?eid=2-s2.0-85161026263&amp;doi=10.1109%2fLRA.2023.3280810&amp;partnerID=40&amp;md5=2f1a19550f0680fae9fe69ae4b9542ef</t>
  </si>
  <si>
    <t>Development of a novel machine learning-based approach for brain function assessment and integrated software solution</t>
  </si>
  <si>
    <t>Qu J.; Cui L.; Guo W.; Bu L.; Wang Z.</t>
  </si>
  <si>
    <t>Advanced Engineering Informatics</t>
  </si>
  <si>
    <t>10.1016/j.aei.2024.102461</t>
  </si>
  <si>
    <t>https://www.scopus.com/inward/record.uri?eid=2-s2.0-85186490026&amp;doi=10.1016%2fj.aei.2024.102461&amp;partnerID=40&amp;md5=df74e729aeadb3406a362f5b3c229617</t>
  </si>
  <si>
    <t>GIG-ECONOMY AS A SAFETY GRADIENT FOR SUSTAINABLE DEVELOPMENT OF THE MINING INDUSTRY; [Гіг-економіка як безпековий градієнт сталого розвитку видобувної галузі]</t>
  </si>
  <si>
    <t>Zalizko V.D.; Dobrowolski R.H.; Cherniak A.M.; Artemov V.Yu.; Nowak D.V.</t>
  </si>
  <si>
    <t>Naukovyi Visnyk Natsionalnoho Hirnychoho Universytetu</t>
  </si>
  <si>
    <t>10.33271/nvngu/2022-4/170</t>
  </si>
  <si>
    <t>https://www.scopus.com/inward/record.uri?eid=2-s2.0-85137741361&amp;doi=10.33271%2fnvngu%2f2022-4%2f170&amp;partnerID=40&amp;md5=acd53f8cd7351f5a6fb622a68f7ab177</t>
  </si>
  <si>
    <t>EnsInfer: a simple ensemble approach to network inference outperforms any single method</t>
  </si>
  <si>
    <t>Shen B.; Coruzzi G.; Shasha D.</t>
  </si>
  <si>
    <t>BMC Bioinformatics</t>
  </si>
  <si>
    <t>10.1186/s12859-023-05231-1</t>
  </si>
  <si>
    <t>https://www.scopus.com/inward/record.uri?eid=2-s2.0-85150938897&amp;doi=10.1186%2fs12859-023-05231-1&amp;partnerID=40&amp;md5=7c30d6e0a77f25af588733a3a0f93dff</t>
  </si>
  <si>
    <t>Matlab Open Source Code: Noise-Assisted Multivariate Empirical Mode Decomposition Based Causal Decomposition for Causality Inference of Bivariate Time Series</t>
  </si>
  <si>
    <t>Zhang Y.; Wang G.; Li Z.; Xie M.; Celler B.; Su S.; Xu P.; Yao D.</t>
  </si>
  <si>
    <t>Frontiers in Neuroinformatics</t>
  </si>
  <si>
    <t>10.3389/fninf.2022.851645</t>
  </si>
  <si>
    <t>https://www.scopus.com/inward/record.uri?eid=2-s2.0-85133500475&amp;doi=10.3389%2ffninf.2022.851645&amp;partnerID=40&amp;md5=13a4f0443afaa346863eefbfcaa9d6b3</t>
  </si>
  <si>
    <t>What can simulation test beds teach us about social science? Results of the ground truth program</t>
  </si>
  <si>
    <t>Naugle A.; Krofcheck D.; Warrender C.; Lakkaraju K.; Swiler L.; Verzi S.; Emery B.; Murdock J.; Bernard M.; Romero V.</t>
  </si>
  <si>
    <t>Computational and Mathematical Organization Theory</t>
  </si>
  <si>
    <t>10.1007/s10588-021-09349-6</t>
  </si>
  <si>
    <t>https://www.scopus.com/inward/record.uri?eid=2-s2.0-85128390167&amp;doi=10.1007%2fs10588-021-09349-6&amp;partnerID=40&amp;md5=b89fe89c057c31a28590ffe0b78e3c85</t>
  </si>
  <si>
    <t>Explaining and predicting human behavior and social dynamics in simulated virtual worlds: reproducibility, generalizability, and robustness of causal discovery methods</t>
  </si>
  <si>
    <t>Volkova S.; Arendt D.; Saldanha E.; Glenski M.; Ayton E.; Cottam J.; Aksoy S.; Jefferson B.; Shrivaram K.</t>
  </si>
  <si>
    <t>10.1007/s10588-021-09351-y</t>
  </si>
  <si>
    <t>https://www.scopus.com/inward/record.uri?eid=2-s2.0-85119490227&amp;doi=10.1007%2fs10588-021-09351-y&amp;partnerID=40&amp;md5=a2aff23960320c4dfa60a4711694a0d5</t>
  </si>
  <si>
    <t>Intelligent diagnosis system for jaundice based on dynamic uncertain causality graph</t>
  </si>
  <si>
    <t>Deng N.; Gengy S.; Hao S.; Zhang Q.; Liz L.</t>
  </si>
  <si>
    <t>International Journal of Information and Communication Technology</t>
  </si>
  <si>
    <t>10.1504/ijict.2022.10047728</t>
  </si>
  <si>
    <t>https://www.scopus.com/inward/record.uri?eid=2-s2.0-85131408624&amp;doi=10.1504%2fijict.2022.10047728&amp;partnerID=40&amp;md5=7f39bf053da79bbe69b94a1549e30078</t>
  </si>
  <si>
    <t>An integrated safety and security analysis for cyber-physical harm scenarios</t>
  </si>
  <si>
    <t>Carreras Guzman N.H.; Kozine I.; Lundteigen M.A.</t>
  </si>
  <si>
    <t>Safety Science</t>
  </si>
  <si>
    <t>10.1016/j.ssci.2021.105458</t>
  </si>
  <si>
    <t>https://www.scopus.com/inward/record.uri?eid=2-s2.0-85114019649&amp;doi=10.1016%2fj.ssci.2021.105458&amp;partnerID=40&amp;md5=691c045c815844ae67c55034c1728ee7</t>
  </si>
  <si>
    <t>Automatic creation of acceptance tests by extracting conditionals from requirements: NLP approach and case study</t>
  </si>
  <si>
    <t>Fischbach J.; Frattini J.; Vogelsang A.; Mendez D.; Unterkalmsteiner M.; Wehrle A.; Henao P.R.; Yousefi P.; Juricic T.; Radduenz J.; Wiecher C.</t>
  </si>
  <si>
    <t>Journal of Systems and Software</t>
  </si>
  <si>
    <t>10.1016/j.jss.2022.111549</t>
  </si>
  <si>
    <t>https://www.scopus.com/inward/record.uri?eid=2-s2.0-85142730522&amp;doi=10.1016%2fj.jss.2022.111549&amp;partnerID=40&amp;md5=624862150366014cba38e93f1c14e413</t>
  </si>
  <si>
    <t>BIM-based decision support for building condition assessment</t>
  </si>
  <si>
    <t>Alavi H.; Bortolini R.; Forcada N.</t>
  </si>
  <si>
    <t>Automation in Construction</t>
  </si>
  <si>
    <t>10.1016/j.autcon.2021.104117</t>
  </si>
  <si>
    <t>https://www.scopus.com/inward/record.uri?eid=2-s2.0-85121962063&amp;doi=10.1016%2fj.autcon.2021.104117&amp;partnerID=40&amp;md5=7bc55e6380210f98948d547cf28c10c4</t>
  </si>
  <si>
    <t>Detecting multi-sensor fusion errors in advanced driver-assistance systems</t>
  </si>
  <si>
    <t>Zhong Z.; Hu Z.; Guo S.; Zhang X.; Zhong Z.; Ray B.</t>
  </si>
  <si>
    <t>ISSTA 2022 - Proceedings of the 31st ACM SIGSOFT International Symposium on Software Testing and Analysis</t>
  </si>
  <si>
    <t>10.1145/3533767.3534223</t>
  </si>
  <si>
    <t>https://www.scopus.com/inward/record.uri?eid=2-s2.0-85136802476&amp;doi=10.1145%2f3533767.3534223&amp;partnerID=40&amp;md5=caa9142830057d6317c4b90168642dcd</t>
  </si>
  <si>
    <t>Interpretable belief rule base for safety state assessment with reverse causal inference</t>
  </si>
  <si>
    <t>Yin X.; He W.; Cao Y.; Zhou G.; Li H.</t>
  </si>
  <si>
    <t>10.1016/j.ins.2023.119748</t>
  </si>
  <si>
    <t>https://www.scopus.com/inward/record.uri?eid=2-s2.0-85173181840&amp;doi=10.1016%2fj.ins.2023.119748&amp;partnerID=40&amp;md5=3ffd734339e095e92667e5e2203a5d12</t>
  </si>
  <si>
    <t>Towards Causal Analysis of Empirical Software Engineering Data: The Impact of Programming Languages on Coding Competitions</t>
  </si>
  <si>
    <t>Furia C.A.; Torkar R.; Feldt R.</t>
  </si>
  <si>
    <t>10.1145/3611667</t>
  </si>
  <si>
    <t>https://www.scopus.com/inward/record.uri?eid=2-s2.0-85183740792&amp;doi=10.1145%2f3611667&amp;partnerID=40&amp;md5=0c830852e75226d750f96919b6b80676</t>
  </si>
  <si>
    <t>Fuzzy Bayesian Network Fault Diagnosis Method Based on Fault Tree for Coal Mine Drainage System</t>
  </si>
  <si>
    <t>Shi X.; Gu H.; Yao B.</t>
  </si>
  <si>
    <t>IEEE Sensors Journal</t>
  </si>
  <si>
    <t>10.1109/JSEN.2024.3354415</t>
  </si>
  <si>
    <t>https://www.scopus.com/inward/record.uri?eid=2-s2.0-85183632443&amp;doi=10.1109%2fJSEN.2024.3354415&amp;partnerID=40&amp;md5=1eb5a3bf8ef73aa82c606ac05c28ca7f</t>
  </si>
  <si>
    <t>variED: An Editor for Collaborative, Real-Time Feature Modeling</t>
  </si>
  <si>
    <t>Kuiter E.; Krieter S.; Krüger J.; Saake G.; Leich T.</t>
  </si>
  <si>
    <t>Lecture Notes in Informatics (LNI), Proceedings - Series of the Gesellschaft fur Informatik (GI)</t>
  </si>
  <si>
    <t>https://www.scopus.com/inward/record.uri?eid=2-s2.0-85150045322&amp;partnerID=40&amp;md5=6b5025f4af895bdfadf5b419fde971a7</t>
  </si>
  <si>
    <t>Microscope: Causality Inference Crossing the Hardware and Software Boundary from Hardware Perspective</t>
  </si>
  <si>
    <t>Liu Z.; Chen K.; Sullivan D.; Arias O.; Dutta R.; Jin Y.; Guo X.</t>
  </si>
  <si>
    <t>Proceedings of the Asia and South Pacific Design Automation Conference, ASP-DAC</t>
  </si>
  <si>
    <t>10.1109/ASP-DAC58780.2024.10473793</t>
  </si>
  <si>
    <t>https://www.scopus.com/inward/record.uri?eid=2-s2.0-85189367528&amp;doi=10.1109%2fASP-DAC58780.2024.10473793&amp;partnerID=40&amp;md5=15101561bfb37c61fd68805437b1ca46</t>
  </si>
  <si>
    <t>Evaluating causal-based feature selection for fuel property prediction models</t>
  </si>
  <si>
    <t>Nguyen B.; Whitmore L.S.; George A.; Hudson C.M.</t>
  </si>
  <si>
    <t>Statistical Analysis and Data Mining</t>
  </si>
  <si>
    <t>10.1002/sam.11511</t>
  </si>
  <si>
    <t>https://www.scopus.com/inward/record.uri?eid=2-s2.0-85105425736&amp;doi=10.1002%2fsam.11511&amp;partnerID=40&amp;md5=8846e36f2a163f89e31e2c190cf3afc4</t>
  </si>
  <si>
    <t>Enabling Runtime Verification of Causal Discovery Algorithms with Automated Conditional Independence Reasoning</t>
  </si>
  <si>
    <t>Ma P.; Ji Z.; Yao P.; Wang S.; Ren K.</t>
  </si>
  <si>
    <t>10.1145/3597503.3623348</t>
  </si>
  <si>
    <t>https://www.scopus.com/inward/record.uri?eid=2-s2.0-85185537852&amp;doi=10.1145%2f3597503.3623348&amp;partnerID=40&amp;md5=b75f5d865ffa3444475232824ec0635b</t>
  </si>
  <si>
    <t>Benchmarking Causal Study to Interpret Large Language Models for Source Code</t>
  </si>
  <si>
    <t>Rodriguez-Cardenas D.; Palacio D.N.; Khati D.; Burke H.; Poshyvanyk D.</t>
  </si>
  <si>
    <t>Proceedings - 2023 IEEE International Conference on Software Maintenance and Evolution, ICSME 2023</t>
  </si>
  <si>
    <t>10.1109/ICSME58846.2023.00040</t>
  </si>
  <si>
    <t>https://www.scopus.com/inward/record.uri?eid=2-s2.0-85181540936&amp;doi=10.1109%2fICSME58846.2023.00040&amp;partnerID=40&amp;md5=3f30fddab450383f7c1fe92190286e8f</t>
  </si>
  <si>
    <t>A practical approach to explaining defect proneness of code commits by causal discovery</t>
  </si>
  <si>
    <t>Hu Y.; Luo W.; Hu Z.</t>
  </si>
  <si>
    <t>Engineering Applications of Artificial Intelligence</t>
  </si>
  <si>
    <t>10.1016/j.engappai.2023.106187</t>
  </si>
  <si>
    <t>https://www.scopus.com/inward/record.uri?eid=2-s2.0-85151306454&amp;doi=10.1016%2fj.engappai.2023.106187&amp;partnerID=40&amp;md5=50c2d27a70f9bf8daec6e4749716378a</t>
  </si>
  <si>
    <t>A Review of Modelling Methods for Manufacturing as a Service – Case Additive Manufacturing</t>
  </si>
  <si>
    <t>Pulkkinen A.; Nagarajan H.P.N.; Heilala J.</t>
  </si>
  <si>
    <t>Advances in Transdisciplinary Engineering</t>
  </si>
  <si>
    <t>10.3233/ATDE240176</t>
  </si>
  <si>
    <t>https://www.scopus.com/inward/record.uri?eid=2-s2.0-85191355614&amp;doi=10.3233%2fATDE240176&amp;partnerID=40&amp;md5=c0cf028f94ccf30c7e3198fc0e7f3d28</t>
  </si>
  <si>
    <t>Electromagnetic Transients in Medium Voltage Networks with Realistic Load Modeling and their Impact on Power Quality</t>
  </si>
  <si>
    <t>Leitao Vasconcelos R.A.; Moraes C.M.; Martins-Britto A.G.</t>
  </si>
  <si>
    <t>2023 Workshop on Communication Networks and Power Systems, WCNPS 2023</t>
  </si>
  <si>
    <t>10.1109/WCNPS60622.2023.10345177</t>
  </si>
  <si>
    <t>https://www.scopus.com/inward/record.uri?eid=2-s2.0-85182262756&amp;doi=10.1109%2fWCNPS60622.2023.10345177&amp;partnerID=40&amp;md5=236e54a63217a36dcffaf607440bbaca</t>
  </si>
  <si>
    <t>Eosinophilic Infiltration of the Sino-Atrial Node in Sudden Cardiac Death Caused by Long QT Syndrome</t>
  </si>
  <si>
    <t>Grassi S.; Campuzano O.; Coll M.; Cazzato F.; Iglesias A.; Ausania F.; Scarnicci F.; Sarquella-Brugada G.; Brugada J.; Arena V.; Oliva A.; Brugada R.</t>
  </si>
  <si>
    <t>International Journal of Molecular Sciences</t>
  </si>
  <si>
    <t>10.3390/ijms231911666</t>
  </si>
  <si>
    <t>https://www.scopus.com/inward/record.uri?eid=2-s2.0-85139953520&amp;doi=10.3390%2fijms231911666&amp;partnerID=40&amp;md5=3b71b77d31639c3cc0d36dc007250f1a</t>
  </si>
  <si>
    <t>Automated identification of network anomalies and their causes with interpretable machine learning: The CIAN methodology and TTrees implementation</t>
  </si>
  <si>
    <t>Moulay M.; Leiva R.G.; Rojo Maroni P.J.; Diez F.; Mancuso V.; Fernández Anta A.</t>
  </si>
  <si>
    <t>Computer Communications</t>
  </si>
  <si>
    <t>10.1016/j.comcom.2022.05.013</t>
  </si>
  <si>
    <t>https://www.scopus.com/inward/record.uri?eid=2-s2.0-85131089167&amp;doi=10.1016%2fj.comcom.2022.05.013&amp;partnerID=40&amp;md5=01ee7818d958e6698eae704c2bc5f0a6</t>
  </si>
  <si>
    <t>DataPrism: Exposing Disconnect between Data and Systems</t>
  </si>
  <si>
    <t>Galhotra S.; Fariha A.; Lourenço R.; Freire J.; Meliou A.; Srivastava D.</t>
  </si>
  <si>
    <t>Proceedings of the ACM SIGMOD International Conference on Management of Data</t>
  </si>
  <si>
    <t>10.1145/3514221.3517864</t>
  </si>
  <si>
    <t>https://www.scopus.com/inward/record.uri?eid=2-s2.0-85132742654&amp;doi=10.1145%2f3514221.3517864&amp;partnerID=40&amp;md5=872f119482beb3d1d27da81fd627b8fb</t>
  </si>
  <si>
    <t>Interactive fault localization for Python with CharmFL</t>
  </si>
  <si>
    <t>Szatmári A.; Sarhan Q.I.; Beszédes Á.</t>
  </si>
  <si>
    <t>A-TEST 2022 - Proceedings of the 13th International Workshop on Automating Test Case Design, Selection and Evaluation, co-located with ESEC/FSE 2022</t>
  </si>
  <si>
    <t>10.1145/3548659.3561312</t>
  </si>
  <si>
    <t>https://www.scopus.com/inward/record.uri?eid=2-s2.0-85142931030&amp;doi=10.1145%2f3548659.3561312&amp;partnerID=40&amp;md5=69fd4d627d2c201b206a733befa94114</t>
  </si>
  <si>
    <t>Simulation Based Evaluation of Bit-Interaction Side-Channel Leakage on RISC-V Processor</t>
  </si>
  <si>
    <t>Asano T.; Sugawara T.</t>
  </si>
  <si>
    <t>EPiC Series in Computing</t>
  </si>
  <si>
    <t>10.29007/5wq7</t>
  </si>
  <si>
    <t>https://www.scopus.com/inward/record.uri?eid=2-s2.0-85141883215&amp;doi=10.29007%2f5wq7&amp;partnerID=40&amp;md5=23d94dc3409b3d1f3cca3b39ef56abed</t>
  </si>
  <si>
    <t>Speak, Memory! Analyzing Historical Accidents to Sensitize Software Testing Novices</t>
  </si>
  <si>
    <t>Silvis-Cividjian N.; Hager F.</t>
  </si>
  <si>
    <t>10.1109/ICSE-SEET58685.2023.00013</t>
  </si>
  <si>
    <t>https://www.scopus.com/inward/record.uri?eid=2-s2.0-85171743778&amp;doi=10.1109%2fICSE-SEET58685.2023.00013&amp;partnerID=40&amp;md5=86a107854bf8f4e5eb2e99b9223c5603</t>
  </si>
  <si>
    <t>Crowd Sensing and Living Lab Outdoor Experimentation Made Easy</t>
  </si>
  <si>
    <t>Pournaras E.; Ghulam A.N.; Kunz R.; Hanggli R.</t>
  </si>
  <si>
    <t>IEEE Pervasive Computing</t>
  </si>
  <si>
    <t>10.1109/MPRV.2021.3116466</t>
  </si>
  <si>
    <t>https://www.scopus.com/inward/record.uri?eid=2-s2.0-85118681715&amp;doi=10.1109%2fMPRV.2021.3116466&amp;partnerID=40&amp;md5=9a0c22bfc562e2571783141c646bea79</t>
  </si>
  <si>
    <t>Study on construction safety management in megaprojects from the perspective of resilient governance</t>
  </si>
  <si>
    <t>Liu K.; Liu Y.; Kou Y.</t>
  </si>
  <si>
    <t>10.1016/j.ssci.2024.106442</t>
  </si>
  <si>
    <t>https://www.scopus.com/inward/record.uri?eid=2-s2.0-85183955057&amp;doi=10.1016%2fj.ssci.2024.106442&amp;partnerID=40&amp;md5=66dd152fa3c2cb90e16d9a03c43c36eb</t>
  </si>
  <si>
    <t>Testing Concerns about Technology's Behavioral Impacts with N-of-one Trials</t>
  </si>
  <si>
    <t>Matias N.; Pennington E.; Chan Z.</t>
  </si>
  <si>
    <t>ACM International Conference Proceeding Series</t>
  </si>
  <si>
    <t>10.1145/3531146.3533227</t>
  </si>
  <si>
    <t>https://www.scopus.com/inward/record.uri?eid=2-s2.0-85132971782&amp;doi=10.1145%2f3531146.3533227&amp;partnerID=40&amp;md5=5423beded515f8641885612d54ecdeed</t>
  </si>
  <si>
    <t>From Input to Failure: Explaining Program Behavior via Cause-Effect Chains</t>
  </si>
  <si>
    <t>Smytzek M.</t>
  </si>
  <si>
    <t>10.1109/ICSE-Companion58688.2023.00081</t>
  </si>
  <si>
    <t>https://www.scopus.com/inward/record.uri?eid=2-s2.0-85171890012&amp;doi=10.1109%2fICSE-Companion58688.2023.00081&amp;partnerID=40&amp;md5=a3c106dd961e8e0c7a8d3d29bd9c1a94</t>
  </si>
  <si>
    <t>A Bond Graph Approach to Detect and Isolate Fault on Hybrid Multi-Source System</t>
  </si>
  <si>
    <t>Boukerdja M.; Ould-Bouamama B.; Dash B.M.</t>
  </si>
  <si>
    <t>2023 IEEE 11th International Conference on Systems and Control, ICSC 2023</t>
  </si>
  <si>
    <t>10.1109/ICSC58660.2023.10449736</t>
  </si>
  <si>
    <t>https://www.scopus.com/inward/record.uri?eid=2-s2.0-85187779681&amp;doi=10.1109%2fICSC58660.2023.10449736&amp;partnerID=40&amp;md5=9facb778c70d5befae95999aa0916401</t>
  </si>
  <si>
    <t>Natural Language Processing for the identification of Human factors in aviation accidents causes: An application to the SHEL methodology</t>
  </si>
  <si>
    <t>Perboli G.; Gajetti M.; Fedorov S.; Giudice S.L.</t>
  </si>
  <si>
    <t>Expert Systems with Applications</t>
  </si>
  <si>
    <t>10.1016/j.eswa.2021.115694</t>
  </si>
  <si>
    <t>https://www.scopus.com/inward/record.uri?eid=2-s2.0-85112634598&amp;doi=10.1016%2fj.eswa.2021.115694&amp;partnerID=40&amp;md5=d25e7bdc6d5987ecd4dad9b60d001f3a</t>
  </si>
  <si>
    <t>Simulation and Analysis of AFDX Performance Based on Petri Net</t>
  </si>
  <si>
    <t>Liu D.</t>
  </si>
  <si>
    <t>Proceedings - 2022 4th International Conference on Applied Machine Learning, ICAML 2022</t>
  </si>
  <si>
    <t>10.1109/ICAML57167.2022.00062</t>
  </si>
  <si>
    <t>https://www.scopus.com/inward/record.uri?eid=2-s2.0-85150352272&amp;doi=10.1109%2fICAML57167.2022.00062&amp;partnerID=40&amp;md5=55e73f64a4d2c5b28557f6513510d577</t>
  </si>
  <si>
    <t>Mediation of knowledge management processes in enabling strategic HR practices to achieve differentiation and cost-effectiveness</t>
  </si>
  <si>
    <t>Trivedi K.; Srivastava K.B.L.</t>
  </si>
  <si>
    <t>Kybernetes</t>
  </si>
  <si>
    <t>10.1108/K-06-2023-0959</t>
  </si>
  <si>
    <t>https://www.scopus.com/inward/record.uri?eid=2-s2.0-85175035885&amp;doi=10.1108%2fK-06-2023-0959&amp;partnerID=40&amp;md5=451df82fdb27b400e5bc7b76d369f1ed</t>
  </si>
  <si>
    <t>A Discourse Analysis of Tweets and Its Implications for Cryptocurrency Prices and Trade Volumes</t>
  </si>
  <si>
    <t>de Souza K.G.; Barboza F.; Garruti D.V.T.</t>
  </si>
  <si>
    <t>Computational Economics</t>
  </si>
  <si>
    <t>10.1007/s10614-023-10504-1</t>
  </si>
  <si>
    <t>https://www.scopus.com/inward/record.uri?eid=2-s2.0-85178409640&amp;doi=10.1007%2fs10614-023-10504-1&amp;partnerID=40&amp;md5=2cec031e248800cd4fd1d414157b31d0</t>
  </si>
  <si>
    <t>Heterogeneous Effects of Software Patches in aMultiplayer Online Battle Arena Game</t>
  </si>
  <si>
    <t>He Y.; Tran C.; Jiang J.; Burghardt K.; Ferrara E.; Zheleva E.; Lerman K.</t>
  </si>
  <si>
    <t>10.1145/3472538.3472550</t>
  </si>
  <si>
    <t>https://www.scopus.com/inward/record.uri?eid=2-s2.0-85118263728&amp;doi=10.1145%2f3472538.3472550&amp;partnerID=40&amp;md5=5bc9fb4645ba059b636042261563e3a4</t>
  </si>
  <si>
    <t>Inferring brain causal and temporal-lag networks for recognizing abnormal patterns of dementia</t>
  </si>
  <si>
    <t>Xia Z.; Zhou T.; Mamoon S.; Lu J.</t>
  </si>
  <si>
    <t>Medical Image Analysis</t>
  </si>
  <si>
    <t>10.1016/j.media.2024.103133</t>
  </si>
  <si>
    <t>https://www.scopus.com/inward/record.uri?eid=2-s2.0-85187135936&amp;doi=10.1016%2fj.media.2024.103133&amp;partnerID=40&amp;md5=f7c54cdd24c76cf39b1ceeb1c7785c9c</t>
  </si>
  <si>
    <t>Schema-guided Testing of Message-oriented Systems</t>
  </si>
  <si>
    <t>Santos A.; Cunha A.; Macedo N.</t>
  </si>
  <si>
    <t>International Conference on Evaluation of Novel Approaches to Software Engineering, ENASE - Proceedings</t>
  </si>
  <si>
    <t>10.5220/0010976100003176</t>
  </si>
  <si>
    <t>https://www.scopus.com/inward/record.uri?eid=2-s2.0-85140954910&amp;doi=10.5220%2f0010976100003176&amp;partnerID=40&amp;md5=3cc16e4bc7d1dfd9f942cb274cf2680a</t>
  </si>
  <si>
    <t>Perfce: Performance Debugging on Databases with Chaos Engineering-Enhanced Causality Analysis</t>
  </si>
  <si>
    <t>Ji Z.; Ma P.; Wang S.</t>
  </si>
  <si>
    <t>Proceedings - 2023 38th IEEE/ACM International Conference on Automated Software Engineering, ASE 2023</t>
  </si>
  <si>
    <t>10.1109/ASE56229.2023.00106</t>
  </si>
  <si>
    <t>https://www.scopus.com/inward/record.uri?eid=2-s2.0-85179001772&amp;doi=10.1109%2fASE56229.2023.00106&amp;partnerID=40&amp;md5=2686be7ccce184591b14e6da9858887f</t>
  </si>
  <si>
    <t>Generalising Projection in Asynchronous Multiparty Session Types</t>
  </si>
  <si>
    <t>Majumdar R.; Mukund M.; Stutz F.; Zufferey D.</t>
  </si>
  <si>
    <t>Leibniz International Proceedings in Informatics, LIPIcs</t>
  </si>
  <si>
    <t>10.4230/LIPIcs.CONCUR.2021.35</t>
  </si>
  <si>
    <t>https://www.scopus.com/inward/record.uri?eid=2-s2.0-85115332002&amp;doi=10.4230%2fLIPIcs.CONCUR.2021.35&amp;partnerID=40&amp;md5=9d07011cd0d64a5e51724e1aacaf42d3</t>
  </si>
  <si>
    <t>Redshift: Manipulating Signal Propagation Delay via Continuous-Wave Lasers</t>
  </si>
  <si>
    <t>Yamashita K.; Cyr B.; Fu K.; Burleson W.; Sugawara T.</t>
  </si>
  <si>
    <t>IACR Transactions on Cryptographic Hardware and Embedded Systems</t>
  </si>
  <si>
    <t>10.46586/tches.v2022.i4.463-489</t>
  </si>
  <si>
    <t>https://www.scopus.com/inward/record.uri?eid=2-s2.0-85137074808&amp;doi=10.46586%2ftches.v2022.i4.463-489&amp;partnerID=40&amp;md5=b2519c730430282ec2b0752ef093f127</t>
  </si>
  <si>
    <t>Dataflow graphs as complete causal graphs</t>
  </si>
  <si>
    <t>Paleyes A.; Guo S.; Schölkopf B.; Lawrence N.D.</t>
  </si>
  <si>
    <t>Proceedings - 2023 IEEE/ACM 2nd International Conference on AI Engineering - Software Engineering for AI, CAIN 2023</t>
  </si>
  <si>
    <t>10.1109/CAIN58948.2023.00010</t>
  </si>
  <si>
    <t>https://www.scopus.com/inward/record.uri?eid=2-s2.0-85165138180&amp;doi=10.1109%2fCAIN58948.2023.00010&amp;partnerID=40&amp;md5=0442fb39f72f22ed1a31933d11487476</t>
  </si>
  <si>
    <t>Unicorn: Reasoning about Confgurable System Performance through the Lens of Causality</t>
  </si>
  <si>
    <t>Iqbal M.S.; Krishna R.; Javidian M.A.; Ray B.; Jamshidi P.</t>
  </si>
  <si>
    <t>EuroSys 2022 - Proceedings of the 17th European Conference on Computer Systems</t>
  </si>
  <si>
    <t>10.1145/3492321.3519575</t>
  </si>
  <si>
    <t>https://www.scopus.com/inward/record.uri?eid=2-s2.0-85127771506&amp;doi=10.1145%2f3492321.3519575&amp;partnerID=40&amp;md5=85db8f893f01bb456315ce6af0101047</t>
  </si>
  <si>
    <t>Understanding shared links and their intentions to meet information needs in modern code review:: A case study of the OpenStack and Qt projects</t>
  </si>
  <si>
    <t>Wang D.; Xiao T.; Thongtanunam P.; Kula R.G.; Matsumoto K.</t>
  </si>
  <si>
    <t>Empirical Software Engineering</t>
  </si>
  <si>
    <t>10.1007/s10664-021-09997-x</t>
  </si>
  <si>
    <t>https://www.scopus.com/inward/record.uri?eid=2-s2.0-85109709343&amp;doi=10.1007%2fs10664-021-09997-x&amp;partnerID=40&amp;md5=c5cd9769e1a43ed45fbdb9e7698a398c</t>
  </si>
  <si>
    <t>Toward a Theory of Causation for Interpreting Neural Code Models</t>
  </si>
  <si>
    <t>Palacio D.N.; Velasco A.; Cooper N.; Rodriguez A.; Moran K.; Poshyvanyk D.</t>
  </si>
  <si>
    <t>10.1109/TSE.2024.3379943</t>
  </si>
  <si>
    <t>https://www.scopus.com/inward/record.uri?eid=2-s2.0-85188881923&amp;doi=10.1109%2fTSE.2024.3379943&amp;partnerID=40&amp;md5=6e4a09ebc8e19c2aeee3685ce9c36279</t>
  </si>
  <si>
    <t>BARD: A Structured Technique for Group Elicitation of Bayesian Networks to Support Analytic Reasoning</t>
  </si>
  <si>
    <t>Nyberg E.P.; Nicholson A.E.; Korb K.B.; Wybrow M.; Zukerman I.; Mascaro S.; Thakur S.; Oshni Alvandi A.; Riley J.; Pearson R.; Morris S.; Herrmann M.; Azad A.K.M.; Bolger F.; Hahn U.; Lagnado D.</t>
  </si>
  <si>
    <t>Risk Analysis</t>
  </si>
  <si>
    <t>10.1111/risa.13759</t>
  </si>
  <si>
    <t>https://www.scopus.com/inward/record.uri?eid=2-s2.0-85108331183&amp;doi=10.1111%2frisa.13759&amp;partnerID=40&amp;md5=81fef1a044cb1b590783988a35ae4074</t>
  </si>
  <si>
    <t>How Do Innovation Types and Collaborative Modes Drive Firm Performance? An FsQCA Analysis Based on Evidence From Software Ecosystems</t>
  </si>
  <si>
    <t>Wei F.; Feng N.; Evans R.D.; Zhao R.; Yang S.</t>
  </si>
  <si>
    <t>IEEE Transactions on Engineering Management</t>
  </si>
  <si>
    <t>10.1109/TEM.2021.3102321</t>
  </si>
  <si>
    <t>https://www.scopus.com/inward/record.uri?eid=2-s2.0-85115162927&amp;doi=10.1109%2fTEM.2021.3102321&amp;partnerID=40&amp;md5=0a92044ee5e287f72e544961f5b5c112</t>
  </si>
  <si>
    <t>LADDERS: Log Based Anomaly Detection and Diagnosis for Enterprise Systems</t>
  </si>
  <si>
    <t>Mondal S.A.; Rv P.; Rao S.; Menon A.</t>
  </si>
  <si>
    <t>Annals of Data Science</t>
  </si>
  <si>
    <t>10.1007/s40745-023-00471-7</t>
  </si>
  <si>
    <t>https://www.scopus.com/inward/record.uri?eid=2-s2.0-85160837207&amp;doi=10.1007%2fs40745-023-00471-7&amp;partnerID=40&amp;md5=63df6cc65cddf2c2892170ce79475341</t>
  </si>
  <si>
    <t>Applications of Causality and Causal Inference in Software Engineering</t>
  </si>
  <si>
    <t>Chadbourne P.; Eisty N.U.</t>
  </si>
  <si>
    <t>Proceedings - 2023 IEEE/ACIS 21st International Conference on Software Engineering Research, Management and Applications, SERA 2023</t>
  </si>
  <si>
    <t>10.1109/SERA57763.2023.10197835</t>
  </si>
  <si>
    <t>https://www.scopus.com/inward/record.uri?eid=2-s2.0-85168770994&amp;doi=10.1109%2fSERA57763.2023.10197835&amp;partnerID=40&amp;md5=4585f442f1486a0ef77c40af2d43d737</t>
  </si>
  <si>
    <t>The Ground Truth program: simulations as test beds for social science research methods</t>
  </si>
  <si>
    <t>Naugle A.; Russell A.; Lakkaraju K.; Swiler L.; Verzi S.; Romero V.</t>
  </si>
  <si>
    <t>10.1007/s10588-021-09346-9</t>
  </si>
  <si>
    <t>https://www.scopus.com/inward/record.uri?eid=2-s2.0-85128389822&amp;doi=10.1007%2fs10588-021-09346-9&amp;partnerID=40&amp;md5=a206c995d5f7999fe6fa0af033e6877f</t>
  </si>
  <si>
    <t>The Mediating Impact of Goal–Role Clarity on the Relationship between Feedback–Seeking Behavior and Goal Orientations with Job Satisfaction Intrinsic Cognitions and Person–Organization Fit</t>
  </si>
  <si>
    <t>Manolache M.; Epuran G.</t>
  </si>
  <si>
    <t>Sustainability (Switzerland)</t>
  </si>
  <si>
    <t>10.3390/su151712776</t>
  </si>
  <si>
    <t>https://www.scopus.com/inward/record.uri?eid=2-s2.0-85170205533&amp;doi=10.3390%2fsu151712776&amp;partnerID=40&amp;md5=6c4addece4ac4ac917e2fce5ab3e20b5</t>
  </si>
  <si>
    <t>Byzantine Fault-Tolerant Causal Broadcast on Incomplete Graphs</t>
  </si>
  <si>
    <t>Misra A.; Kshemkalyani A.D.</t>
  </si>
  <si>
    <t>NCA 2022 - 2022 IEEE 21st International Symposium on Network Computing and Applications</t>
  </si>
  <si>
    <t>10.1109/NCA57778.2022.10013642</t>
  </si>
  <si>
    <t>https://www.scopus.com/inward/record.uri?eid=2-s2.0-85147334060&amp;doi=10.1109%2fNCA57778.2022.10013642&amp;partnerID=40&amp;md5=9a518994ef134f98b849c0f319499825</t>
  </si>
  <si>
    <t>Causal Support: Modeling Causal Inferences with Visualizations</t>
  </si>
  <si>
    <t>Kale A.; Wu Y.; Hullman J.</t>
  </si>
  <si>
    <t>IEEE Transactions on Visualization and Computer Graphics</t>
  </si>
  <si>
    <t>10.1109/TVCG.2021.3114824</t>
  </si>
  <si>
    <t>https://www.scopus.com/inward/record.uri?eid=2-s2.0-85118643206&amp;doi=10.1109%2fTVCG.2021.3114824&amp;partnerID=40&amp;md5=c9c6b8f98d0bafc419ef15d01cd3e7e6</t>
  </si>
  <si>
    <t>Improving test case selection by handling class and attribute noise</t>
  </si>
  <si>
    <t>Al-Sabbagh K.W.; Staron M.; Hebig R.</t>
  </si>
  <si>
    <t>10.1016/j.jss.2021.111093</t>
  </si>
  <si>
    <t>https://www.scopus.com/inward/record.uri?eid=2-s2.0-85122509530&amp;doi=10.1016%2fj.jss.2021.111093&amp;partnerID=40&amp;md5=dcd9b056a13bedbfed539d9fb158d169</t>
  </si>
  <si>
    <t>An empirical analysis on the relationship between financial industry agglomeration and regional economic growth-take hangzhou as an example</t>
  </si>
  <si>
    <t>Cui Q.</t>
  </si>
  <si>
    <t>10.1145/3465631.3465711</t>
  </si>
  <si>
    <t>https://www.scopus.com/inward/record.uri?eid=2-s2.0-85113412002&amp;doi=10.1145%2f3465631.3465711&amp;partnerID=40&amp;md5=56cdcf809047c7904227a9a2251eb020</t>
  </si>
  <si>
    <t>Rethinking Monitoring for Cloud Environments: BMC Software AIOps Case Study</t>
  </si>
  <si>
    <t>Garapati S.E.; Giral E.; Antonijević S.</t>
  </si>
  <si>
    <t>Communications in Computer and Information Science</t>
  </si>
  <si>
    <t>10.1007/978-3-031-23298-5_11</t>
  </si>
  <si>
    <t>https://www.scopus.com/inward/record.uri?eid=2-s2.0-85148009269&amp;doi=10.1007%2f978-3-031-23298-5_11&amp;partnerID=40&amp;md5=f9c14ff4bb6fa281a5296b41c08b6177</t>
  </si>
  <si>
    <t>The Effectiveness of Digital Culture and Online Training in Improving Learning Agility of Bank Employees as an Adaptation Step to the Covid-19 Pandemic (Empirical Study on a Branch of Commercial Bank)</t>
  </si>
  <si>
    <t>Setiadi N.J.; Christianto A.; Sutanto H.</t>
  </si>
  <si>
    <t>2022 10th International Conference on Cyber and IT Service Management, CITSM 2022</t>
  </si>
  <si>
    <t>10.1109/CITSM56380.2022.9935957</t>
  </si>
  <si>
    <t>https://www.scopus.com/inward/record.uri?eid=2-s2.0-85142886540&amp;doi=10.1109%2fCITSM56380.2022.9935957&amp;partnerID=40&amp;md5=45f4a84a7a5c2e52651484dd53572fc9</t>
  </si>
  <si>
    <t>ViSRE: A Unified Visual Analysis Dashboard for Proactive Cloud Outage Management</t>
  </si>
  <si>
    <t>Kayongo P.; Hoffswell J.; Saini S.; Garg S.; Koh E.; Wang H.; Jacobs T.</t>
  </si>
  <si>
    <t>Proceedings - 2022 Working Conference on Software Visualization, VISSOFT 2022</t>
  </si>
  <si>
    <t>10.1109/VISSOFT55257.2022.00010</t>
  </si>
  <si>
    <t>https://www.scopus.com/inward/record.uri?eid=2-s2.0-85146235227&amp;doi=10.1109%2fVISSOFT55257.2022.00010&amp;partnerID=40&amp;md5=8cdbe0e5fe1ba6e67d64f1a53b618f3b</t>
  </si>
  <si>
    <t>An Empirical Study of Software Testing Quality based on Natural Experiments</t>
  </si>
  <si>
    <t>Li J.; Cui X.; Wang Y.; Xie F.</t>
  </si>
  <si>
    <t>Proceedings - 2022 IEEE 22nd International Conference on Software Quality, Reliability and Security Companion, QRS-C 2022</t>
  </si>
  <si>
    <t>10.1109/QRS-C57518.2022.00080</t>
  </si>
  <si>
    <t>https://www.scopus.com/inward/record.uri?eid=2-s2.0-85152635427&amp;doi=10.1109%2fQRS-C57518.2022.00080&amp;partnerID=40&amp;md5=e30a2dad5a0602cfad2e4e7ad89478cf</t>
  </si>
  <si>
    <t>Solvability of Byzantine Fault-Tolerant Causal Ordering Problems</t>
  </si>
  <si>
    <t>10.1007/978-3-031-17436-0_7</t>
  </si>
  <si>
    <t>https://www.scopus.com/inward/record.uri?eid=2-s2.0-85140490566&amp;doi=10.1007%2f978-3-031-17436-0_7&amp;partnerID=40&amp;md5=4e7f389326700cdea37388f12ab7719b</t>
  </si>
  <si>
    <t>Dagma-DCE: Interpretable, Non-Parametric Differentiable Causal Discovery</t>
  </si>
  <si>
    <t>Waxman D.; Butler K.; Djuric P.M.</t>
  </si>
  <si>
    <t>IEEE Open Journal of Signal Processing</t>
  </si>
  <si>
    <t>10.1109/OJSP.2024.3351593</t>
  </si>
  <si>
    <t>https://www.scopus.com/inward/record.uri?eid=2-s2.0-85182362164&amp;doi=10.1109%2fOJSP.2024.3351593&amp;partnerID=40&amp;md5=ea20f67baca8c51a4c389b2e1cb533d0</t>
  </si>
  <si>
    <t>Simulation-based evaluation of bit-interaction side-channel leakage on RISC-V: extended version</t>
  </si>
  <si>
    <t>Journal of Cryptographic Engineering</t>
  </si>
  <si>
    <t>10.1007/s13389-023-00319-z</t>
  </si>
  <si>
    <t>https://www.scopus.com/inward/record.uri?eid=2-s2.0-85162203946&amp;doi=10.1007%2fs13389-023-00319-z&amp;partnerID=40&amp;md5=e6317b7fa08213f4fddacae01c32f3a1</t>
  </si>
  <si>
    <t>Unifying pairwise interactions in complex dynamics</t>
  </si>
  <si>
    <t>Cliff O.M.; Bryant A.G.; Lizier J.T.; Tsuchiya N.; Fulcher B.D.</t>
  </si>
  <si>
    <t>Nature Computational Science</t>
  </si>
  <si>
    <t>10.1038/s43588-023-00519-x</t>
  </si>
  <si>
    <t>https://www.scopus.com/inward/record.uri?eid=2-s2.0-85172121285&amp;doi=10.1038%2fs43588-023-00519-x&amp;partnerID=40&amp;md5=654d0a9ff7e9dfaca92b577d1bb6a091</t>
  </si>
  <si>
    <t>Root Cause Analysis of Failures in Microservices through Causal Discovery</t>
  </si>
  <si>
    <t>Ikram A.; Chakraborty S.; Mitra S.; Saini S.K.; Bagchi S.; Kocaoglu M.</t>
  </si>
  <si>
    <t>Advances in Neural Information Processing Systems</t>
  </si>
  <si>
    <t>https://www.scopus.com/inward/record.uri?eid=2-s2.0-85150005024&amp;partnerID=40&amp;md5=4eacfb15b3332ba21e00089f98fbb204</t>
  </si>
  <si>
    <t>The Index of Pupillary activity: Measuring cognitive load vis-à-vis task difficulty with pupil oscillation</t>
  </si>
  <si>
    <t>Duchowski A.T.; Biele C.; Niedzielska A.; Krejtz K.; Krejtz I.; Kiefer P.; Raubal M.; Giannopoulos I.</t>
  </si>
  <si>
    <t>Conference on Human Factors in Computing Systems - Proceedings</t>
  </si>
  <si>
    <t>10.1145/3173574.3173856</t>
  </si>
  <si>
    <t>https://www.scopus.com/inward/record.uri?eid=2-s2.0-85046459862&amp;doi=10.1145%2f3173574.3173856&amp;partnerID=40&amp;md5=54436d706271319b0cb6026141cab9f8</t>
  </si>
  <si>
    <t>Analyse resilience risks in microservice architecture systems with causality search and inference algorithms</t>
  </si>
  <si>
    <t>Yin K.; Du Q.; Qiu J.</t>
  </si>
  <si>
    <t>International Journal of Web and Grid Services</t>
  </si>
  <si>
    <t>10.1504/IJWGS.2020.107921</t>
  </si>
  <si>
    <t>https://www.scopus.com/inward/record.uri?eid=2-s2.0-85087920447&amp;doi=10.1504%2fIJWGS.2020.107921&amp;partnerID=40&amp;md5=882b7e72b1c1b99d1c9a6c507a8da8b1</t>
  </si>
  <si>
    <t>Public Response to a Near-Miss Nuclear Accident Scenario Varying in Causal Attributions and Outcome Uncertainty</t>
  </si>
  <si>
    <t>Cui J.; Rosoff H.; John R.S.</t>
  </si>
  <si>
    <t>10.1111/risa.12920</t>
  </si>
  <si>
    <t>https://www.scopus.com/inward/record.uri?eid=2-s2.0-85035044091&amp;doi=10.1111%2frisa.12920&amp;partnerID=40&amp;md5=abaecbd8d7d305fb086d14338c219904</t>
  </si>
  <si>
    <t>Faster, deeper, easier: Crowdsourcing diagnosis of microservice kernel failure from user space</t>
  </si>
  <si>
    <t>Pan Y.; Ma M.; Jiang X.; Wang P.</t>
  </si>
  <si>
    <t>ISSTA 2021 - Proceedings of the 30th ACM SIGSOFT International Symposium on Software Testing and Analysis</t>
  </si>
  <si>
    <t>10.1145/3460319.3464805</t>
  </si>
  <si>
    <t>https://www.scopus.com/inward/record.uri?eid=2-s2.0-85111452708&amp;doi=10.1145%2f3460319.3464805&amp;partnerID=40&amp;md5=e6f6c806f0833c74d4ee77a90484fc4f</t>
  </si>
  <si>
    <t>A Software Safety Requirements Elicitation Approach Based on Hazardous Control Action Tree Modelling</t>
  </si>
  <si>
    <t>Danjiang Z.H.U.; Shuzhen Y.A.O.; Huobin T.A.N.</t>
  </si>
  <si>
    <t>Chinese Journal of Electronics</t>
  </si>
  <si>
    <t>10.1049/cje.2021.05.009</t>
  </si>
  <si>
    <t>https://www.scopus.com/inward/record.uri?eid=2-s2.0-85111161081&amp;doi=10.1049%2fcje.2021.05.009&amp;partnerID=40&amp;md5=6c5064f6675168e4e781fe39726f3420</t>
  </si>
  <si>
    <t>Analysis of soft competence with intellectual capital and talent management and its impact on service quality at mega bank regional Makassar</t>
  </si>
  <si>
    <t>Saleh S.; Ilyas G.B.; Syarifuddin U.; Elpisah; Yusriadi Y.; Syafruddin; Haudi</t>
  </si>
  <si>
    <t>Proceedings of the International Conference on Industrial Engineering and Operations Management</t>
  </si>
  <si>
    <t>https://www.scopus.com/inward/record.uri?eid=2-s2.0-85121110059&amp;partnerID=40&amp;md5=35efd43c5adf97d51d9374635f5cbd35</t>
  </si>
  <si>
    <t>Are donation badges appealing?: A case study of developer responses to eclipse bug reports</t>
  </si>
  <si>
    <t>Nakasai K.; Hata H.; Matsumoto K.</t>
  </si>
  <si>
    <t>IEEE Software</t>
  </si>
  <si>
    <t>10.1109/MS.2018.2874568</t>
  </si>
  <si>
    <t>https://www.scopus.com/inward/record.uri?eid=2-s2.0-85055215260&amp;doi=10.1109%2fMS.2018.2874568&amp;partnerID=40&amp;md5=f369ea8df51325898e5d999a88328277</t>
  </si>
  <si>
    <t>Modeling reality: Revisiting Calvert's fitness simulation</t>
  </si>
  <si>
    <t>Hartzler A.; Qian A.; Rupert D.; Sethi M.; Van Bibber H.; Bova T.; Seshadri D.; Drummond C.</t>
  </si>
  <si>
    <t>Proceedings of the 2021 Design of Medical Devices Conference, DMD 2021</t>
  </si>
  <si>
    <t>10.1115/DMD2021-1068</t>
  </si>
  <si>
    <t>https://www.scopus.com/inward/record.uri?eid=2-s2.0-85107181804&amp;doi=10.1115%2fDMD2021-1068&amp;partnerID=40&amp;md5=57e4faec179ff2bd1a69f6c1efc93a02</t>
  </si>
  <si>
    <t>Bayesian weighted Mendelian randomization for causal inference based on summary statistics</t>
  </si>
  <si>
    <t>Zhao J.; Ming J.; Hu X.; Chen G.; Liu J.; Yang C.</t>
  </si>
  <si>
    <t>10.1093/bioinformatics/btz749</t>
  </si>
  <si>
    <t>https://www.scopus.com/inward/record.uri?eid=2-s2.0-85081737169&amp;doi=10.1093%2fbioinformatics%2fbtz749&amp;partnerID=40&amp;md5=cfe94af3c7c3194d8161e43f8fc1b37f</t>
  </si>
  <si>
    <t>1st Workshop on Software Engineering for Applied Embedded Real-Time Systems (SEERTS)</t>
  </si>
  <si>
    <t>Hoettger R.; Tessmer J.</t>
  </si>
  <si>
    <t>CEUR Workshop Proceedings</t>
  </si>
  <si>
    <t>https://www.scopus.com/inward/record.uri?eid=2-s2.0-85044502826&amp;partnerID=40&amp;md5=121e8e44dd9f8d310187543c5ee8589f</t>
  </si>
  <si>
    <t>Online reasoning about the root causes of software rollout failures in the smart grid</t>
  </si>
  <si>
    <t>Piatkowska E.; Gavriluta C.; Smith P.; Andren F.P.</t>
  </si>
  <si>
    <t>2020 IEEE International Conference on Communications, Control, and Computing Technologies for Smart Grids, SmartGridComm 2020</t>
  </si>
  <si>
    <t>10.1109/SmartGridComm47815.2020.9303005</t>
  </si>
  <si>
    <t>https://www.scopus.com/inward/record.uri?eid=2-s2.0-85099470379&amp;doi=10.1109%2fSmartGridComm47815.2020.9303005&amp;partnerID=40&amp;md5=1f22a6600c93f712e855b37801277ade</t>
  </si>
  <si>
    <t>Boosting Synthetic Data Generation with Effective Nonlinear Causal Discovery</t>
  </si>
  <si>
    <t>Cinquini M.; Giannotti F.; Guidotti R.</t>
  </si>
  <si>
    <t>Proceedings - 2021 IEEE 3rd International Conference on Cognitive Machine Intelligence, CogMI 2021</t>
  </si>
  <si>
    <t>10.1109/CogMI52975.2021.00016</t>
  </si>
  <si>
    <t>https://www.scopus.com/inward/record.uri?eid=2-s2.0-85128804338&amp;doi=10.1109%2fCogMI52975.2021.00016&amp;partnerID=40&amp;md5=19e35d59179dc479866bc755f4e8c6a2</t>
  </si>
  <si>
    <t>Systems Thinking in Software Projects-an Artificial Neural Network Approach</t>
  </si>
  <si>
    <t>Mitrovic Z.M.; Rakicevic A.M.; Petrovic D.C.; Mihic M.M.; Rakicevic J.D.; Jelisic E.T.</t>
  </si>
  <si>
    <t>10.1109/ACCESS.2020.3040169</t>
  </si>
  <si>
    <t>https://www.scopus.com/inward/record.uri?eid=2-s2.0-85097162026&amp;doi=10.1109%2fACCESS.2020.3040169&amp;partnerID=40&amp;md5=01ee61504a9bfd8d147d8821ced49047</t>
  </si>
  <si>
    <t>A Hazard Analysis Method for Software-Controlled Systems Based on System-Theoretic Accident Modeling and Process</t>
  </si>
  <si>
    <t>Zhu D.; Yao S.</t>
  </si>
  <si>
    <t>Proceedings of the IEEE International Conference on Software Engineering and Service Sciences, ICSESS</t>
  </si>
  <si>
    <t>10.1109/ICSESS.2018.8663927</t>
  </si>
  <si>
    <t>https://www.scopus.com/inward/record.uri?eid=2-s2.0-85063632056&amp;doi=10.1109%2fICSESS.2018.8663927&amp;partnerID=40&amp;md5=23547e1db00dd1fc1482f2cb4b5696a3</t>
  </si>
  <si>
    <t>Scade 6: From a Kahn Semantics to a Kahn Implementation for Multicore</t>
  </si>
  <si>
    <t>Colaço J.-L.; Pagano B.; Pasteur C.; Pouzet M.</t>
  </si>
  <si>
    <t>Forum on Specification and Design Languages</t>
  </si>
  <si>
    <t>10.1109/FDL.2018.8524052</t>
  </si>
  <si>
    <t>https://www.scopus.com/inward/record.uri?eid=2-s2.0-85057886459&amp;doi=10.1109%2fFDL.2018.8524052&amp;partnerID=40&amp;md5=4f4a7c33e526911261503a27525e12c1</t>
  </si>
  <si>
    <t>Engineering for a science-centric experimentation platform</t>
  </si>
  <si>
    <t>Diamantopoulos N.; Wong J.; Mattos D.I.; Gerostathopoulos I.; Wardrop M.; Mao T.; McFarland C.</t>
  </si>
  <si>
    <t>10.1145/3377813.3381349</t>
  </si>
  <si>
    <t>https://www.scopus.com/inward/record.uri?eid=2-s2.0-85092572378&amp;doi=10.1145%2f3377813.3381349&amp;partnerID=40&amp;md5=35c489209cca739220d7e769cee55169</t>
  </si>
  <si>
    <t>Causal perception in qestion-answering systems</t>
  </si>
  <si>
    <t>Law P.-M.; Lo L.Y.-H.; Endert A.; Stasko J.; Qu H.</t>
  </si>
  <si>
    <t>10.1145/3411764.3445444</t>
  </si>
  <si>
    <t>https://www.scopus.com/inward/record.uri?eid=2-s2.0-85106739825&amp;doi=10.1145%2f3411764.3445444&amp;partnerID=40&amp;md5=6476bbcba3772650b3b3fc0f0409a7c1</t>
  </si>
  <si>
    <t>An Agency-Directed Approach to Test Generation for Simulation-based Autonomous Vehicle Verification</t>
  </si>
  <si>
    <t>Chance G.; Ghobrial A.; Lemaignan S.; Pipe T.; Eder K.</t>
  </si>
  <si>
    <t>Proceedings - 2020 IEEE International Conference on Artificial Intelligence Testing, AITest 2020</t>
  </si>
  <si>
    <t>10.1109/AITEST49225.2020.00012</t>
  </si>
  <si>
    <t>https://www.scopus.com/inward/record.uri?eid=2-s2.0-85092315843&amp;doi=10.1109%2fAITEST49225.2020.00012&amp;partnerID=40&amp;md5=83aa96e3f07c4d2c81ba6d7c879ca6ee</t>
  </si>
  <si>
    <t>An Empirical Study on the Impact of Refactoring on Quality Metrics in Android Applications</t>
  </si>
  <si>
    <t>Hamdi O.; Ouni A.; Alomar E.A.; O Cinneide M.; Mkaouer M.W.</t>
  </si>
  <si>
    <t>Proceedings - 2021 IEEE/ACM 8th International Conference on Mobile Software Engineering and Systems, MobileSoft 2021</t>
  </si>
  <si>
    <t>10.1109/MobileSoft52590.2021.00010</t>
  </si>
  <si>
    <t>https://www.scopus.com/inward/record.uri?eid=2-s2.0-85113256014&amp;doi=10.1109%2fMobileSoft52590.2021.00010&amp;partnerID=40&amp;md5=ac90b1a1676c398621e1bbe194d39bad</t>
  </si>
  <si>
    <t>Syndrome Diagnostics - Fault Detection and Isolation for Complex Systems using Causation-based AI</t>
  </si>
  <si>
    <t>Zaman N.T.; Stecki J.S.; Lebaigue P.; Apostolou E.</t>
  </si>
  <si>
    <t>Proceedings - Annual Reliability and Maintainability Symposium</t>
  </si>
  <si>
    <t>10.1109/RAMS48097.2021.9605797</t>
  </si>
  <si>
    <t>https://www.scopus.com/inward/record.uri?eid=2-s2.0-85123049768&amp;doi=10.1109%2fRAMS48097.2021.9605797&amp;partnerID=40&amp;md5=9e73c545b4d687564c00d8762b0be354</t>
  </si>
  <si>
    <t>Exploiting Dataflow Models for Parallel Simulation of Discrete Timed Systems</t>
  </si>
  <si>
    <t>Ungureanu G.; Jordao R.; Sander I.</t>
  </si>
  <si>
    <t>10.1109/FDL50818.2020.9232931</t>
  </si>
  <si>
    <t>https://www.scopus.com/inward/record.uri?eid=2-s2.0-85096096516&amp;doi=10.1109%2fFDL50818.2020.9232931&amp;partnerID=40&amp;md5=917234e61e546a812c417021cab11853</t>
  </si>
  <si>
    <t>variED: an editor for collaborative, real-time feature modeling</t>
  </si>
  <si>
    <t>10.1007/s10664-020-09892-x</t>
  </si>
  <si>
    <t>https://www.scopus.com/inward/record.uri?eid=2-s2.0-85102024930&amp;doi=10.1007%2fs10664-020-09892-x&amp;partnerID=40&amp;md5=d127818d6397eb497349ca50f40b12e6</t>
  </si>
  <si>
    <t>Coalgebraic Approach to Studying Discrete Systems with Output: The General and Distributed Cases</t>
  </si>
  <si>
    <t>Zholtkevych G.; Labzhaniia M.</t>
  </si>
  <si>
    <t>10.1007/978-3-030-77592-6_7</t>
  </si>
  <si>
    <t>https://www.scopus.com/inward/record.uri?eid=2-s2.0-85111787393&amp;doi=10.1007%2f978-3-030-77592-6_7&amp;partnerID=40&amp;md5=e6a4d17028b1b1e782d4b1832d9d87b1</t>
  </si>
  <si>
    <t>Demonstration of generating explanations for black-box algorithms using lewis</t>
  </si>
  <si>
    <t>Wang P.Y.; Galhotra S.; Pradhan R.; Salimi B.</t>
  </si>
  <si>
    <t>Proceedings of the VLDB Endowment</t>
  </si>
  <si>
    <t>10.14778/3476311.3476345</t>
  </si>
  <si>
    <t>https://www.scopus.com/inward/record.uri?eid=2-s2.0-85119974497&amp;doi=10.14778%2f3476311.3476345&amp;partnerID=40&amp;md5=506bd6bd86b27d5b8f4140f78eadc34a</t>
  </si>
  <si>
    <t>An ontology-based methodology for hazard identification and causation analysis</t>
  </si>
  <si>
    <t>Aziz A.; Ahmed S.; Khan F.I.</t>
  </si>
  <si>
    <t>Process Safety and Environmental Protection</t>
  </si>
  <si>
    <t>10.1016/j.psep.2018.12.008</t>
  </si>
  <si>
    <t>https://www.scopus.com/inward/record.uri?eid=2-s2.0-85059675605&amp;doi=10.1016%2fj.psep.2018.12.008&amp;partnerID=40&amp;md5=e5b51bca76fa8ffdc482c9fd2f7d423f</t>
  </si>
  <si>
    <t>Fluid mechanical response of a pulse tube cryocooler: Modelling and experimental validation</t>
  </si>
  <si>
    <t>Lauzier K.; Bribiesca-Argomedo F.; Gauthier J.-Y.; Sesmat S.; Lin-Shi X.; Carvalho Lopes D.</t>
  </si>
  <si>
    <t>IOP Conference Series: Materials Science and Engineering</t>
  </si>
  <si>
    <t>10.1088/1757-899X/755/1/012012</t>
  </si>
  <si>
    <t>https://www.scopus.com/inward/record.uri?eid=2-s2.0-85087862375&amp;doi=10.1088%2f1757-899X%2f755%2f1%2f012012&amp;partnerID=40&amp;md5=2537071bd2f9168398d51a83056e565a</t>
  </si>
  <si>
    <t>BFT Protocols for Heterogeneous Resource Allocations in Distributed SDN Control Plane</t>
  </si>
  <si>
    <t>Sakic E.; Kellerer W.</t>
  </si>
  <si>
    <t>IEEE International Conference on Communications</t>
  </si>
  <si>
    <t>10.1109/ICC.2019.8761956</t>
  </si>
  <si>
    <t>https://www.scopus.com/inward/record.uri?eid=2-s2.0-85070229120&amp;doi=10.1109%2fICC.2019.8761956&amp;partnerID=40&amp;md5=9da97107b7b42675cc9f14d31dc81405</t>
  </si>
  <si>
    <t>The interplay between social capital and knowledge contribution in online user communities</t>
  </si>
  <si>
    <t>Yan J.; Leidner D.; Benbya H.; Zou W.</t>
  </si>
  <si>
    <t>ACIS 2018 - 29th Australasian Conference on Information Systems</t>
  </si>
  <si>
    <t>10.5130/acis2018.bt</t>
  </si>
  <si>
    <t>https://www.scopus.com/inward/record.uri?eid=2-s2.0-85088204780&amp;doi=10.5130%2facis2018.bt&amp;partnerID=40&amp;md5=8451b261dac8db535a2a87564042c0a2</t>
  </si>
  <si>
    <t>Improvement of gravity light generation modeling using bond graph method</t>
  </si>
  <si>
    <t>Bammami S.M.; Okafor E.N.C.; Hussein S.U.; Bammami M.I.; Thomas S.; Oshiga O.</t>
  </si>
  <si>
    <t>2019 15th International Conference on Electronics, Computer and Computation, ICECCO 2019</t>
  </si>
  <si>
    <t>10.1109/ICECCO48375.2019.9043217</t>
  </si>
  <si>
    <t>https://www.scopus.com/inward/record.uri?eid=2-s2.0-85083489025&amp;doi=10.1109%2fICECCO48375.2019.9043217&amp;partnerID=40&amp;md5=4e3e2317358853082b3fefce4d4ac84f</t>
  </si>
  <si>
    <t>Timeline representation of clinical data: Usability and added value for pharmacovigilance 08 Information and Computing Sciences 0806 Information Systems</t>
  </si>
  <si>
    <t>Ledieu T.; Bouzillé G.; Thiessard F.; Berquet K.; Van Hille P.; Renault E.; Polard E.; Cuggia M.</t>
  </si>
  <si>
    <t>BMC Medical Informatics and Decision Making</t>
  </si>
  <si>
    <t>10.1186/s12911-018-0667-x</t>
  </si>
  <si>
    <t>https://www.scopus.com/inward/record.uri?eid=2-s2.0-85055070880&amp;doi=10.1186%2fs12911-018-0667-x&amp;partnerID=40&amp;md5=a1088fe89a290576f5bde3c7d4747acd</t>
  </si>
  <si>
    <t>OmegaLog: High-Fidelity Attack Investigation via Transparent Multi-layer Log Analysis</t>
  </si>
  <si>
    <t>Ul Hassan W.; Noureddine M.A.; Datta P.; Bates A.</t>
  </si>
  <si>
    <t>27th Annual Network and Distributed System Security Symposium, NDSS 2020</t>
  </si>
  <si>
    <t>10.14722/ndss.2020.24270</t>
  </si>
  <si>
    <t>https://www.scopus.com/inward/record.uri?eid=2-s2.0-85176002302&amp;doi=10.14722%2fndss.2020.24270&amp;partnerID=40&amp;md5=be0a22ef68c794cd6e40ea1d3f1ef2e2</t>
  </si>
  <si>
    <t>Memory Degradation Analysis in Private and Public Cloud Environments</t>
  </si>
  <si>
    <t>Andrade E.; MacHida F.; Pietrantuono R.; Cotroneo D.</t>
  </si>
  <si>
    <t>Proceedings - 2021 IEEE International Symposium on Software Reliability Engineering Workshops, ISSREW 2021</t>
  </si>
  <si>
    <t>10.1109/ISSREW53611.2021.00041</t>
  </si>
  <si>
    <t>https://www.scopus.com/inward/record.uri?eid=2-s2.0-85126996969&amp;doi=10.1109%2fISSREW53611.2021.00041&amp;partnerID=40&amp;md5=2c4e10107bc4dc3e4377aa71277ddf17</t>
  </si>
  <si>
    <t>Certification Aspects of Model Based Development for Airborne Software</t>
  </si>
  <si>
    <t>Sarac T.</t>
  </si>
  <si>
    <t>2019 IEEE 2nd International Conference on Information and Computer Technologies, ICICT 2019</t>
  </si>
  <si>
    <t>10.1109/INFOCT.2019.8711129</t>
  </si>
  <si>
    <t>https://www.scopus.com/inward/record.uri?eid=2-s2.0-85066613339&amp;doi=10.1109%2fINFOCT.2019.8711129&amp;partnerID=40&amp;md5=d5d8e5d657a639b12d60fb0f60e9492b</t>
  </si>
  <si>
    <t>Causal analysis for software-defined networking attacks</t>
  </si>
  <si>
    <t>Ujcich B.E.; Jero S.; Skowyra R.; Bates A.; Sanders W.H.; Okhravi H.</t>
  </si>
  <si>
    <t>Proceedings of the 30th USENIX Security Symposium</t>
  </si>
  <si>
    <t>https://www.scopus.com/inward/record.uri?eid=2-s2.0-85114500204&amp;partnerID=40&amp;md5=5eafd3509e73f27312f7c009be92c7e5</t>
  </si>
  <si>
    <t>BAIcis: A Novel Bayesian Network Structural Learning Algorithm and Its Comprehensive Performance Evaluation Against Open-Source Software</t>
  </si>
  <si>
    <t>Zhang L.; Rodrigues L.O.; Narain N.R.; Akmaev V.R.</t>
  </si>
  <si>
    <t>Journal of Computational Biology</t>
  </si>
  <si>
    <t>10.1089/cmb.2019.0210</t>
  </si>
  <si>
    <t>https://www.scopus.com/inward/record.uri?eid=2-s2.0-85084696217&amp;doi=10.1089%2fcmb.2019.0210&amp;partnerID=40&amp;md5=d22ed53303e2e0b2c76eff6a457a6c6b</t>
  </si>
  <si>
    <t>Exploring the Effect of NULL Usage in Source Code</t>
  </si>
  <si>
    <t>Garmash E.; Cheshkov A.</t>
  </si>
  <si>
    <t>2021 International Conference on Code Quality, ICCQ 2021</t>
  </si>
  <si>
    <t>10.1109/ICCQ51190.2021.9392959</t>
  </si>
  <si>
    <t>https://www.scopus.com/inward/record.uri?eid=2-s2.0-85104600619&amp;doi=10.1109%2fICCQ51190.2021.9392959&amp;partnerID=40&amp;md5=488439458514e49604b255ec09237b41</t>
  </si>
  <si>
    <t>Automatic Detection of Causality in Requirement Artifacts: The CiRA Approach</t>
  </si>
  <si>
    <t>Fischbach J.; Frattini J.; Spaans A.; Kummeth M.; Vogelsang A.; Mendez D.; Unterkalmsteiner M.</t>
  </si>
  <si>
    <t>10.1007/978-3-030-73128-1_2</t>
  </si>
  <si>
    <t>https://www.scopus.com/inward/record.uri?eid=2-s2.0-85107442991&amp;doi=10.1007%2f978-3-030-73128-1_2&amp;partnerID=40&amp;md5=707964ecb485fa32206cee77998a5649</t>
  </si>
  <si>
    <t>Direct numerical simulation: Present and future role in fundamental and applied combustion research</t>
  </si>
  <si>
    <t>Gruber A.</t>
  </si>
  <si>
    <t>AIAA Scitech 2019 Forum</t>
  </si>
  <si>
    <t>10.2514/6.2019-0997</t>
  </si>
  <si>
    <t>https://www.scopus.com/inward/record.uri?eid=2-s2.0-85083944154&amp;doi=10.2514%2f6.2019-0997&amp;partnerID=40&amp;md5=412649e0fadcd561cc9d9c99ffaa0cbd</t>
  </si>
  <si>
    <t>Improving fault localization by integrating value and predicate based causal inference techniques</t>
  </si>
  <si>
    <t>Kucuk Y.; Henderson T.A.D.; Podgurski A.</t>
  </si>
  <si>
    <t>10.1109/ICSE43902.2021.00066</t>
  </si>
  <si>
    <t>https://www.scopus.com/inward/record.uri?eid=2-s2.0-85117595768&amp;doi=10.1109%2fICSE43902.2021.00066&amp;partnerID=40&amp;md5=8382f16309e01ae3b5feaf57e7f944b6</t>
  </si>
  <si>
    <t>Concurrency verification with maximal path causality</t>
  </si>
  <si>
    <t>Yi Q.; Huang J.</t>
  </si>
  <si>
    <t>ESEC/FSE 2018 - Proceedings of the 2018 26th ACM Joint Meeting on European Software Engineering Conference and Symposium on the Foundations of Software Engineering</t>
  </si>
  <si>
    <t>10.1145/3236024.3236048</t>
  </si>
  <si>
    <t>https://www.scopus.com/inward/record.uri?eid=2-s2.0-85058322628&amp;doi=10.1145%2f3236024.3236048&amp;partnerID=40&amp;md5=2a29f1dddb2dba10b47460da43825c35</t>
  </si>
  <si>
    <t>FCCA: A New Method of Constructing Causality Network Based on Graph Structure Information and Conditional Causality Test</t>
  </si>
  <si>
    <t>Liu J.; Gao J.</t>
  </si>
  <si>
    <t>10.1145/3387168.3387208</t>
  </si>
  <si>
    <t>https://www.scopus.com/inward/record.uri?eid=2-s2.0-85123042316&amp;doi=10.1145%2f3387168.3387208&amp;partnerID=40&amp;md5=a8cc07850fe1505ce5067f80bdb17222</t>
  </si>
  <si>
    <t>High-recall causal discovery for autocorrelated time series with latent confounders</t>
  </si>
  <si>
    <t>Gerhardus A.; Runge J.</t>
  </si>
  <si>
    <t>https://www.scopus.com/inward/record.uri?eid=2-s2.0-85108445906&amp;partnerID=40&amp;md5=5d0b498d2cb641d9c40513284289108e</t>
  </si>
  <si>
    <t>Adaptive randomized scheduling for concurrency bug detection</t>
  </si>
  <si>
    <t>Wang Z.; Zhang D.; Liu S.; Sun J.; Zhao Y.</t>
  </si>
  <si>
    <t>Proceedings of the IEEE International Conference on Engineering of Complex Computer Systems, ICECCS</t>
  </si>
  <si>
    <t>10.1109/ICECCS.2019.00021</t>
  </si>
  <si>
    <t>https://www.scopus.com/inward/record.uri?eid=2-s2.0-85074640569&amp;doi=10.1109%2fICECCS.2019.00021&amp;partnerID=40&amp;md5=c38398d80ee268e27f6738aabc355228</t>
  </si>
  <si>
    <t>CiRA: A Tool for the Automatic Detection of Causal Relationships in Requirements Artifacts</t>
  </si>
  <si>
    <t>Fischbach J.; Frattini J.; Vogelsang A.</t>
  </si>
  <si>
    <t>https://www.scopus.com/inward/record.uri?eid=2-s2.0-85105597789&amp;partnerID=40&amp;md5=b8383f10e409d7ba0e06f6bb7f839846</t>
  </si>
  <si>
    <t>ETHAN at SemEval-2020 Task 5: Modelling Causal Reasoning in Language using neuro-symbolic cloud computing</t>
  </si>
  <si>
    <t>Yabloko L.</t>
  </si>
  <si>
    <t>14th International Workshops on Semantic Evaluation, SemEval 2020 - co-located 28th International Conference on Computational Linguistics, COLING 2020, Proceedings</t>
  </si>
  <si>
    <t>https://www.scopus.com/inward/record.uri?eid=2-s2.0-85123887212&amp;partnerID=40&amp;md5=e46f3e1ec7be2b34aee76ffd0e0d34f8</t>
  </si>
  <si>
    <t>Consistency model for runtime objects in the Open Community Runtime</t>
  </si>
  <si>
    <t>Dokulil J.</t>
  </si>
  <si>
    <t>Journal of Supercomputing</t>
  </si>
  <si>
    <t>10.1007/s11227-018-2681-2</t>
  </si>
  <si>
    <t>https://www.scopus.com/inward/record.uri?eid=2-s2.0-85056634346&amp;doi=10.1007%2fs11227-018-2681-2&amp;partnerID=40&amp;md5=f1b9e51a0118c6bc980540a413b26a6d</t>
  </si>
  <si>
    <t>Artifact for Improving Fault Localization by Integrating Value and Predicate Based Causal Inference Techniques</t>
  </si>
  <si>
    <t>10.1109/ICSE-Companion52605.2021.00078</t>
  </si>
  <si>
    <t>https://www.scopus.com/inward/record.uri?eid=2-s2.0-85115670126&amp;doi=10.1109%2fICSE-Companion52605.2021.00078&amp;partnerID=40&amp;md5=fa93519cd7c4df0fec0477e677459bef</t>
  </si>
  <si>
    <t>Statistical GGP Game Decomposition</t>
  </si>
  <si>
    <t>Hufschmitt A.; Vittaut J.-N.; Jouandeau N.</t>
  </si>
  <si>
    <t>10.1007/978-3-030-24337-1_4</t>
  </si>
  <si>
    <t>https://www.scopus.com/inward/record.uri?eid=2-s2.0-85069212987&amp;doi=10.1007%2f978-3-030-24337-1_4&amp;partnerID=40&amp;md5=955ce3a9f88336ab07ba996f513fdf94</t>
  </si>
  <si>
    <t>An information flow-based feature selection method for cross-project defect prediction</t>
  </si>
  <si>
    <t>Wu Y.; Huang S.; Ji H.</t>
  </si>
  <si>
    <t>International Journal of Performability Engineering</t>
  </si>
  <si>
    <t>10.23940/ijpe.18.06.p17.12631274</t>
  </si>
  <si>
    <t>https://www.scopus.com/inward/record.uri?eid=2-s2.0-85051403566&amp;doi=10.23940%2fijpe.18.06.p17.12631274&amp;partnerID=40&amp;md5=b3c659f1db40b8158384aa72d285b735</t>
  </si>
  <si>
    <t>Effectively sampling higher order mutants using causal effect</t>
  </si>
  <si>
    <t>Oh S.; Lee S.; Yoo S.</t>
  </si>
  <si>
    <t>Proceedings - 2021 IEEE 14th International Conference on Software Testing, Verification and Validation Workshops, ICSTW 2021</t>
  </si>
  <si>
    <t>10.1109/ICSTW52544.2021.00017</t>
  </si>
  <si>
    <t>https://www.scopus.com/inward/record.uri?eid=2-s2.0-85108028376&amp;doi=10.1109%2fICSTW52544.2021.00017&amp;partnerID=40&amp;md5=ac4a9d65905c33c1aa6c127b74d678b3</t>
  </si>
  <si>
    <t>Two causal principles for improving visual dialog</t>
  </si>
  <si>
    <t>Qi J.; Niu Y.; Huang J.; Zhang H.</t>
  </si>
  <si>
    <t>Proceedings of the IEEE Computer Society Conference on Computer Vision and Pattern Recognition</t>
  </si>
  <si>
    <t>10.1109/CVPR42600.2020.01087</t>
  </si>
  <si>
    <t>https://www.scopus.com/inward/record.uri?eid=2-s2.0-85095572441&amp;doi=10.1109%2fCVPR42600.2020.01087&amp;partnerID=40&amp;md5=d524d0ce01d495f2e7130f7f21bf9b71</t>
  </si>
  <si>
    <t>Demystifying the adoption of behavior-driven development in open source projects</t>
  </si>
  <si>
    <t>Zampetti F.; Di Sorbo A.; Visaggio C.A.; Canfora G.; Di Penta M.</t>
  </si>
  <si>
    <t>Information and Software Technology</t>
  </si>
  <si>
    <t>10.1016/j.infsof.2020.106311</t>
  </si>
  <si>
    <t>https://www.scopus.com/inward/record.uri?eid=2-s2.0-85082699535&amp;doi=10.1016%2fj.infsof.2020.106311&amp;partnerID=40&amp;md5=41d86560dabcd366109c4f5faad46bde</t>
  </si>
  <si>
    <t>The didactic potential of virtual information educational environment as a tool of geography students training</t>
  </si>
  <si>
    <t>Bondarenko O.V.; Pakhomova O.V.; Lewoniewski W.</t>
  </si>
  <si>
    <t>https://www.scopus.com/inward/record.uri?eid=2-s2.0-85079570901&amp;partnerID=40&amp;md5=f7e635cd904ddf5a30edb5a52248e52f</t>
  </si>
  <si>
    <t>Resource-aware design for reliable autonomous applications with multiple periods</t>
  </si>
  <si>
    <t>Yan R.; Zhu D.; Zhang F.; Lv Y.; Yang J.; Huang K.</t>
  </si>
  <si>
    <t>10.1007/978-3-319-95582-7_17</t>
  </si>
  <si>
    <t>https://www.scopus.com/inward/record.uri?eid=2-s2.0-85050343116&amp;doi=10.1007%2f978-3-319-95582-7_17&amp;partnerID=40&amp;md5=78b47c80edcb69135016c7029c7a1788</t>
  </si>
  <si>
    <t>Causal network inference from gene transcriptional time-series response to glucocorticoids</t>
  </si>
  <si>
    <t>Lu J.; Dumitrascu B.; McDowell I.C.; Jo B.; Barrera A.; Hong L.K.; Leichter S.M.; Reddy T.E.; Engelhardt B.E.</t>
  </si>
  <si>
    <t>10.1371/JOURNAL.PCBI.1008223</t>
  </si>
  <si>
    <t>https://www.scopus.com/inward/record.uri?eid=2-s2.0-85101137187&amp;doi=10.1371%2fJOURNAL.PCBI.1008223&amp;partnerID=40&amp;md5=b4151b3d71eb2501097e898164d989f2</t>
  </si>
  <si>
    <t>CauseInfer : Automated End-to-End Performance Diagnosis with Hierarchical Causality Graph in Cloud Environment</t>
  </si>
  <si>
    <t>Chen P.; Qi Y.; Hou D.</t>
  </si>
  <si>
    <t>IEEE Transactions on Services Computing</t>
  </si>
  <si>
    <t>10.1109/TSC.2016.2607739</t>
  </si>
  <si>
    <t>https://www.scopus.com/inward/record.uri?eid=2-s2.0-85166358506&amp;doi=10.1109%2fTSC.2016.2607739&amp;partnerID=40&amp;md5=0c9cccaee827d3b19155517c56081303</t>
  </si>
  <si>
    <t>CEREC: Causality Extraction from Requirements Artifacts</t>
  </si>
  <si>
    <t>Frattini J.</t>
  </si>
  <si>
    <t>Proceedings - 7th International Workshop on Artificial Intelligence and Requirements Engineering, AIRE 2020</t>
  </si>
  <si>
    <t>10.1109/AIRE51212.2020.00018</t>
  </si>
  <si>
    <t>https://www.scopus.com/inward/record.uri?eid=2-s2.0-85096957162&amp;doi=10.1109%2fAIRE51212.2020.00018&amp;partnerID=40&amp;md5=c2e6aa286955e04d1f20b26a3bdf6400</t>
  </si>
  <si>
    <t>FALCON:Differential fault localization for SDN control plane</t>
  </si>
  <si>
    <t>Yu Y.; Li X.; Bu K.; Chen Y.; Yang J.</t>
  </si>
  <si>
    <t>Computer Networks</t>
  </si>
  <si>
    <t>10.1016/j.comnet.2019.07.007</t>
  </si>
  <si>
    <t>https://www.scopus.com/inward/record.uri?eid=2-s2.0-85068893420&amp;doi=10.1016%2fj.comnet.2019.07.007&amp;partnerID=40&amp;md5=a7f9b934039b95ca9715da750a470b90</t>
  </si>
  <si>
    <t>Theory-guided machine learning for licensee event reports of u.S. nuclear power plants to quantify organizational factors in probabilistic risk assessment</t>
  </si>
  <si>
    <t>Pence J.; Yang J.; Farshadmanesh P.; Sakurahara T.; Reihani S.; Mohaghegh Z.</t>
  </si>
  <si>
    <t>Proceedings of the 30th European Safety and Reliability Conference and the 15th Probabilistic Safety Assessment and Management Conference</t>
  </si>
  <si>
    <t>10.3850/978-981-14-8593-0_5809-cd</t>
  </si>
  <si>
    <t>https://www.scopus.com/inward/record.uri?eid=2-s2.0-85107272294&amp;doi=10.3850%2f978-981-14-8593-0_5809-cd&amp;partnerID=40&amp;md5=112d95fd9b1ade5c0dc0c04c78a4d580</t>
  </si>
  <si>
    <t>An empirical investigation on the relationship between design and architecture smells</t>
  </si>
  <si>
    <t>Sharma T.; Singh P.; Spinellis D.</t>
  </si>
  <si>
    <t>10.1007/s10664-020-09847-2</t>
  </si>
  <si>
    <t>https://www.scopus.com/inward/record.uri?eid=2-s2.0-85089908139&amp;doi=10.1007%2fs10664-020-09847-2&amp;partnerID=40&amp;md5=0f29b8351d518306bf042abd9f0efba1</t>
  </si>
  <si>
    <t>Securing time in untrusted operating systems with timeseal</t>
  </si>
  <si>
    <t>Anwar F.M.; Garcia L.; Han X.; Srivastava M.</t>
  </si>
  <si>
    <t>Proceedings - Real-Time Systems Symposium</t>
  </si>
  <si>
    <t>10.1109/RTSS46320.2019.00018</t>
  </si>
  <si>
    <t>https://www.scopus.com/inward/record.uri?eid=2-s2.0-85083270220&amp;doi=10.1109%2fRTSS46320.2019.00018&amp;partnerID=40&amp;md5=b87ff9c4607413ff05e6c2e25bb6109a</t>
  </si>
  <si>
    <t>Granular-causality-based byproduct energy scheduling for energy-intensive enterprise</t>
  </si>
  <si>
    <t>Jin F.; Wang L.; Zhao J.; Wang W.; Liu Q.</t>
  </si>
  <si>
    <t>IEEE Transactions on Automation Science and Engineering</t>
  </si>
  <si>
    <t>10.1109/TASE.2020.2969436</t>
  </si>
  <si>
    <t>https://www.scopus.com/inward/record.uri?eid=2-s2.0-85092572452&amp;doi=10.1109%2fTASE.2020.2969436&amp;partnerID=40&amp;md5=7490478a7ce1c5d86f48572120462bf1</t>
  </si>
  <si>
    <t>Thinking inside the Box: Differential fault localization for SDN control plane</t>
  </si>
  <si>
    <t>Li X.; Yu Y.; Bu K.; Chen Y.; Yang J.; Quan R.</t>
  </si>
  <si>
    <t>2019 IFIP/IEEE Symposium on Integrated Network and Service Management, IM 2019</t>
  </si>
  <si>
    <t>https://www.scopus.com/inward/record.uri?eid=2-s2.0-85067022950&amp;partnerID=40&amp;md5=324574a0678992092ed44296d081d705</t>
  </si>
  <si>
    <t>Striking gold in software repositories? An econometric study of cryptocurrencies on GitHub</t>
  </si>
  <si>
    <t>Trockman A.; Van Tonder R.; Vasilescu B.</t>
  </si>
  <si>
    <t>IEEE International Working Conference on Mining Software Repositories</t>
  </si>
  <si>
    <t>10.1109/MSR.2019.00036</t>
  </si>
  <si>
    <t>https://www.scopus.com/inward/record.uri?eid=2-s2.0-85072331030&amp;doi=10.1109%2fMSR.2019.00036&amp;partnerID=40&amp;md5=e6bb189a2dc760fdc37771067a9d72e5</t>
  </si>
  <si>
    <t>Sentiment analysis and text mining of questionnaires to support telemonitoring programs</t>
  </si>
  <si>
    <t>Zucco C.; Paglia C.; Graziano S.; Bella S.; Cannataro M.</t>
  </si>
  <si>
    <t>Information (Switzerland)</t>
  </si>
  <si>
    <t>10.3390/info11120550</t>
  </si>
  <si>
    <t>https://www.scopus.com/inward/record.uri?eid=2-s2.0-85096520364&amp;doi=10.3390%2finfo11120550&amp;partnerID=40&amp;md5=02bb9e6db7cc3de070e775d184e54557</t>
  </si>
  <si>
    <t>Diagnosis of Safety Incidents for Cyber-Physical Systems: A UAV Example</t>
  </si>
  <si>
    <t>Zibaei E.; Banescu S.; Pretschner A.</t>
  </si>
  <si>
    <t>Proceedings - 2018 3rd International Conference on System Reliability and Safety, ICSRS 2018</t>
  </si>
  <si>
    <t>10.1109/ICSRS.2018.8688886</t>
  </si>
  <si>
    <t>https://www.scopus.com/inward/record.uri?eid=2-s2.0-85065016396&amp;doi=10.1109%2fICSRS.2018.8688886&amp;partnerID=40&amp;md5=794366b5f8d19946d8d2c566f3fd5d50</t>
  </si>
  <si>
    <t>Bayesian propensity score matching in automotive embedded software engineering</t>
  </si>
  <si>
    <t>Liu Y.; Mattos D.I.; Bosch J.; Olsson H.H.; Lantz J.</t>
  </si>
  <si>
    <t>Proceedings - Asia-Pacific Software Engineering Conference, APSEC</t>
  </si>
  <si>
    <t>10.1109/APSEC53868.2021.00031</t>
  </si>
  <si>
    <t>https://www.scopus.com/inward/record.uri?eid=2-s2.0-85126195400&amp;doi=10.1109%2fAPSEC53868.2021.00031&amp;partnerID=40&amp;md5=52bf1ee2710582dfb84f6e8a8b8540da</t>
  </si>
  <si>
    <t>A delta-debugging approach to assessing the resilience of actor programs through run-time test perturbations</t>
  </si>
  <si>
    <t>De Bleser J.; Di Nucci D.; De Roover C.</t>
  </si>
  <si>
    <t>Proceedings - 2020 IEEE/ACM 1st International Conference on Automation of Software Test, AST 2020</t>
  </si>
  <si>
    <t>10.1145/3387903.3389303</t>
  </si>
  <si>
    <t>https://www.scopus.com/inward/record.uri?eid=2-s2.0-85093531686&amp;doi=10.1145%2f3387903.3389303&amp;partnerID=40&amp;md5=2bdb1b1d875e352e6ae427b42886791d</t>
  </si>
  <si>
    <t>HARS: Heuristic-Enhanced Adaptive Randomized Scheduling for Concurrency Testing</t>
  </si>
  <si>
    <t>Mu Y.; Wang Z.; Liu S.; Sun J.; Chen J.; Chen X.</t>
  </si>
  <si>
    <t>10.1109/QRS54544.2021.00033</t>
  </si>
  <si>
    <t>https://www.scopus.com/inward/record.uri?eid=2-s2.0-85146200368&amp;doi=10.1109%2fQRS54544.2021.00033&amp;partnerID=40&amp;md5=921ccb241a849c0442807a1a3a80c080</t>
  </si>
  <si>
    <t>The Case against Commercial Antivirus Software: Risk Homeostasis and Information Problems in Cybersecurity</t>
  </si>
  <si>
    <t>Jardine E.</t>
  </si>
  <si>
    <t>10.1111/risa.13534</t>
  </si>
  <si>
    <t>https://www.scopus.com/inward/record.uri?eid=2-s2.0-85086928834&amp;doi=10.1111%2frisa.13534&amp;partnerID=40&amp;md5=e1edbc09f7d19d0af70c77b18576d206</t>
  </si>
  <si>
    <t>Causality-Guided Adaptive Interventional Debugging</t>
  </si>
  <si>
    <t>Fariha A.; Nath S.; Meliou A.</t>
  </si>
  <si>
    <t>10.1145/3318464.3389694</t>
  </si>
  <si>
    <t>https://www.scopus.com/inward/record.uri?eid=2-s2.0-85086236513&amp;doi=10.1145%2f3318464.3389694&amp;partnerID=40&amp;md5=0b235445ad7d621acb325beb57cd795a</t>
  </si>
  <si>
    <t>Influence of the distances between the axles in the vertical dynamics of a military vehicle equipped with magnetorheological dampers</t>
  </si>
  <si>
    <t>Dantas C.P.; Gabriel F.M.D.M.; Da Costa Neto R.T.</t>
  </si>
  <si>
    <t>10.4271/2018-36-0232</t>
  </si>
  <si>
    <t>https://www.scopus.com/inward/record.uri?eid=2-s2.0-85063445288&amp;doi=10.4271%2f2018-36-0232&amp;partnerID=40&amp;md5=2c873f1a8750db614eacd5930f77b99c</t>
  </si>
  <si>
    <t>Parametric Response Estimation Study on Cantilevered and Strutted Diaphragm Walls</t>
  </si>
  <si>
    <t>James A.; Kurian B.</t>
  </si>
  <si>
    <t>10.1007/978-981-15-5644-9_44</t>
  </si>
  <si>
    <t>https://www.scopus.com/inward/record.uri?eid=2-s2.0-85092181777&amp;doi=10.1007%2f978-981-15-5644-9_44&amp;partnerID=40&amp;md5=904ce300e4b878f1972cce07983830fd</t>
  </si>
  <si>
    <t>Framework of the Smart Finance and Accounting Management Model under the Artificial Intelligence Perspective</t>
  </si>
  <si>
    <t>Chen Y.</t>
  </si>
  <si>
    <t>Mobile Information Systems</t>
  </si>
  <si>
    <t>10.1155/2021/4295191</t>
  </si>
  <si>
    <t>https://www.scopus.com/inward/record.uri?eid=2-s2.0-85118131452&amp;doi=10.1155%2f2021%2f4295191&amp;partnerID=40&amp;md5=62937379c6baecbe06f0053126684dfc</t>
  </si>
  <si>
    <t>The Butterfly “Affect”: impact of development practices on cryptocurrency prices</t>
  </si>
  <si>
    <t>Bartolucci S.; Destefanis G.; Ortu M.; Uras N.; Marchesi M.; Tonelli R.</t>
  </si>
  <si>
    <t>EPJ Data Science</t>
  </si>
  <si>
    <t>10.1140/epjds/s13688-020-00239-6</t>
  </si>
  <si>
    <t>https://www.scopus.com/inward/record.uri?eid=2-s2.0-85088451943&amp;doi=10.1140%2fepjds%2fs13688-020-00239-6&amp;partnerID=40&amp;md5=a2b17403320a83e9b46b5570d34439e3</t>
  </si>
  <si>
    <t>Passive testing with asynchronous communications and timestamps</t>
  </si>
  <si>
    <t>Merayo M.G.; Hierons R.M.; Núñez M.</t>
  </si>
  <si>
    <t>Distributed Computing</t>
  </si>
  <si>
    <t>10.1007/s00446-017-0308-0</t>
  </si>
  <si>
    <t>https://www.scopus.com/inward/record.uri?eid=2-s2.0-85027133203&amp;doi=10.1007%2fs00446-017-0308-0&amp;partnerID=40&amp;md5=ce09f6a9e107d2992a6508b2b3df8685</t>
  </si>
  <si>
    <t>DOVE: Diagnosis-driven SLO Violation Detection</t>
  </si>
  <si>
    <t>Lei Y.; Zhou Y.; Lin Y.; Xu M.; Wang Y.</t>
  </si>
  <si>
    <t>Proceedings - International Conference on Network Protocols, ICNP</t>
  </si>
  <si>
    <t>10.1109/ICNP52444.2021.9651986</t>
  </si>
  <si>
    <t>https://www.scopus.com/inward/record.uri?eid=2-s2.0-85124204719&amp;doi=10.1109%2fICNP52444.2021.9651986&amp;partnerID=40&amp;md5=6028c0139b893e5a2d26b3df27d889bf</t>
  </si>
  <si>
    <t>Assessment of Two Immunoassays Detecting Hepatitis B Virus Surface Antigen in Blood Donor Population</t>
  </si>
  <si>
    <t>Razaq S.; Ishtiaq H.; Sheikh N.S.; Akhter M.A.; Haleem A.</t>
  </si>
  <si>
    <t>Proceedings of 18th International Bhurban Conference on Applied Sciences and Technologies, IBCAST 2021</t>
  </si>
  <si>
    <t>10.1109/IBCAST51254.2021.9393168</t>
  </si>
  <si>
    <t>https://www.scopus.com/inward/record.uri?eid=2-s2.0-85104585491&amp;doi=10.1109%2fIBCAST51254.2021.9393168&amp;partnerID=40&amp;md5=3dfec12ea7267414c1c1a7eb43e3be27</t>
  </si>
  <si>
    <t>CounterFault: Value-Based Fault Localization by Modeling and Predicting Counterfactual Outcomes</t>
  </si>
  <si>
    <t>Podgurski A.; Kucuk Y.</t>
  </si>
  <si>
    <t>Proceedings - 2020 IEEE International Conference on Software Maintenance and Evolution, ICSME 2020</t>
  </si>
  <si>
    <t>10.1109/ICSME46990.2020.00044</t>
  </si>
  <si>
    <t>https://www.scopus.com/inward/record.uri?eid=2-s2.0-85096678342&amp;doi=10.1109%2fICSME46990.2020.00044&amp;partnerID=40&amp;md5=14809785671a5961f50daf3248e0078c</t>
  </si>
  <si>
    <t>Blue Note: How Intentional Acoustic Interference Damages Availability and Integrity in Hard Disk Drives and Operating Systems</t>
  </si>
  <si>
    <t>Bolton C.; Rampazzi S.; Li C.; Kwong A.; Xu W.; Fu K.</t>
  </si>
  <si>
    <t>Proceedings - IEEE Symposium on Security and Privacy</t>
  </si>
  <si>
    <t>10.1109/SP.2018.00050</t>
  </si>
  <si>
    <t>https://www.scopus.com/inward/record.uri?eid=2-s2.0-85051042715&amp;doi=10.1109%2fSP.2018.00050&amp;partnerID=40&amp;md5=df0aec489faeae3ace789229378aeab5</t>
  </si>
  <si>
    <t>Making Explainable Friend Recommendations Based on Concept Similarity Measurements via a Knowledge Graph</t>
  </si>
  <si>
    <t>Tao S.; Qiu R.; Ping Y.; Xu W.; Ma H.</t>
  </si>
  <si>
    <t>10.1109/ACCESS.2020.3014670</t>
  </si>
  <si>
    <t>https://www.scopus.com/inward/record.uri?eid=2-s2.0-85090267116&amp;doi=10.1109%2fACCESS.2020.3014670&amp;partnerID=40&amp;md5=2f6d748e3ac67a5e0c45e335895e5e95</t>
  </si>
  <si>
    <t>The Relationship Between Investor Sentiment and Stock Market Volatility: Based on the VAR Model</t>
  </si>
  <si>
    <t>Zhang G.; Wang J.; Guo H.; Zhang X.</t>
  </si>
  <si>
    <t>17th Wuhan International Conference on E-Business, WHICEB 2018</t>
  </si>
  <si>
    <t>https://www.scopus.com/inward/record.uri?eid=2-s2.0-85077560619&amp;partnerID=40&amp;md5=14e951afa5c121c2a009ce1fb28ef498</t>
  </si>
  <si>
    <t>Social capital and knowledge contribution in online user communities: One-way or two-way relationship?</t>
  </si>
  <si>
    <t>Yan J.; Leidner D.E.; Benbya H.; Zou W.</t>
  </si>
  <si>
    <t>Decision Support Systems</t>
  </si>
  <si>
    <t>10.1016/j.dss.2019.113131</t>
  </si>
  <si>
    <t>https://www.scopus.com/inward/record.uri?eid=2-s2.0-85071320043&amp;doi=10.1016%2fj.dss.2019.113131&amp;partnerID=40&amp;md5=f1681fffc6e37f86974e705203320c67</t>
  </si>
  <si>
    <t>Actionable Safety Analyses in Socio-technical Systems with myFRAM</t>
  </si>
  <si>
    <t>Di Gravio G.; Costantino F.; Falegnami A.; Patriarca R.</t>
  </si>
  <si>
    <t>2019 4th International Conference on System Reliability and Safety, ICSRS 2019</t>
  </si>
  <si>
    <t>10.1109/ICSRS48664.2019.8987725</t>
  </si>
  <si>
    <t>https://www.scopus.com/inward/record.uri?eid=2-s2.0-85080135679&amp;doi=10.1109%2fICSRS48664.2019.8987725&amp;partnerID=40&amp;md5=0202cd3436596ecfde92a179f736b852</t>
  </si>
  <si>
    <t>A model to investigate the effect of information technology and information systems on the ease of managers’ decision-making</t>
  </si>
  <si>
    <t>Ming T.; Teng W.; Jodaki S.</t>
  </si>
  <si>
    <t>10.1108/K-10-2019-0712</t>
  </si>
  <si>
    <t>https://www.scopus.com/inward/record.uri?eid=2-s2.0-85082189748&amp;doi=10.1108%2fK-10-2019-0712&amp;partnerID=40&amp;md5=3478284dd5da6bf72b9e2ebb39a1ada2</t>
  </si>
  <si>
    <t>An FPGA Accelerator for Bayesian Network Structure Learning with Iterative Use of Processing Elements</t>
  </si>
  <si>
    <t>Nitta Y.; Takase H.</t>
  </si>
  <si>
    <t>Proceedings - 2020 International Conference on Field-Programmable Technology, ICFPT 2020</t>
  </si>
  <si>
    <t>10.1109/ICFPT51103.2020.00013</t>
  </si>
  <si>
    <t>https://www.scopus.com/inward/record.uri?eid=2-s2.0-85105868943&amp;doi=10.1109%2fICFPT51103.2020.00013&amp;partnerID=40&amp;md5=f42b3169b3d93ccfc47b8812cf34ca06</t>
  </si>
  <si>
    <t>A Bayesian Inference Analysis of Supply Chain Enablers, Supply Chain Management Practices, and Performance</t>
  </si>
  <si>
    <t>Azhdari B.</t>
  </si>
  <si>
    <t>10.1007/978-3-030-16035-7_3</t>
  </si>
  <si>
    <t>https://www.scopus.com/inward/record.uri?eid=2-s2.0-85064035036&amp;doi=10.1007%2f978-3-030-16035-7_3&amp;partnerID=40&amp;md5=5d7b0684f62921a7d0092238a7a78e54</t>
  </si>
  <si>
    <t>Predicting success in undergraduate parallel programming via probabilistic causality analysis</t>
  </si>
  <si>
    <t>Raj S.; Kumar Jha S.</t>
  </si>
  <si>
    <t>Proceedings - 2018 IEEE 32nd International Parallel and Distributed Processing Symposium Workshops, IPDPSW 2018</t>
  </si>
  <si>
    <t>10.1109/IPDPSW.2018.00066</t>
  </si>
  <si>
    <t>https://www.scopus.com/inward/record.uri?eid=2-s2.0-85052242439&amp;doi=10.1109%2fIPDPSW.2018.00066&amp;partnerID=40&amp;md5=72aea3d44cea7d787ce523531596cbef</t>
  </si>
  <si>
    <t>Reliability Analytics for Cloud Based Distributed Databases</t>
  </si>
  <si>
    <t>Demarne M.B.; Gramling J.; Verona T.; Cilimdzic M.</t>
  </si>
  <si>
    <t>10.1145/3318464.3386130</t>
  </si>
  <si>
    <t>https://www.scopus.com/inward/record.uri?eid=2-s2.0-85086268819&amp;doi=10.1145%2f3318464.3386130&amp;partnerID=40&amp;md5=bc53daa3086dc738e0bcfa6cd20224ed</t>
  </si>
  <si>
    <t>Petri Nets-based method to elicit component-interaction related safety requirements in safety-critical systems</t>
  </si>
  <si>
    <t>Zhu D.; Tan H.; Yao S.</t>
  </si>
  <si>
    <t>Computers and Electrical Engineering</t>
  </si>
  <si>
    <t>10.1016/j.compeleceng.2018.07.019</t>
  </si>
  <si>
    <t>https://www.scopus.com/inward/record.uri?eid=2-s2.0-85050864522&amp;doi=10.1016%2fj.compeleceng.2018.07.019&amp;partnerID=40&amp;md5=be188a71d33b1f415f22650150a5d062</t>
  </si>
  <si>
    <t>Causal testing: Understanding defects' root causes</t>
  </si>
  <si>
    <t>Johnson B.; Brun Y.; Meliou A.</t>
  </si>
  <si>
    <t>10.1145/3377811.3380377</t>
  </si>
  <si>
    <t>https://www.scopus.com/inward/record.uri?eid=2-s2.0-85094322883&amp;doi=10.1145%2f3377811.3380377&amp;partnerID=40&amp;md5=91440b09f308495fce2e6588c30a6658</t>
  </si>
  <si>
    <t>Improving hazard analysis of integrated modular avionics system based on system-theoretic process analysis</t>
  </si>
  <si>
    <t>Rong H.; Gu Q.; Chen Z.; Xu D.</t>
  </si>
  <si>
    <t>2018 Aviation Technology, Integration, and Operations Conference</t>
  </si>
  <si>
    <t>10.2514/6.2018-3052</t>
  </si>
  <si>
    <t>https://www.scopus.com/inward/record.uri?eid=2-s2.0-85051645142&amp;doi=10.2514%2f6.2018-3052&amp;partnerID=40&amp;md5=7f0ac7e74d9fef0ffbb92128f3d858a0</t>
  </si>
  <si>
    <t>The effect of leadership style, organizational culture, and job satisfaction on work motivation and its implications in the performance of tenured faculty</t>
  </si>
  <si>
    <t>Dunan H.; Redaputri A.P.; Jayasinga H.I.</t>
  </si>
  <si>
    <t>International Journal of Scientific and Technology Research</t>
  </si>
  <si>
    <t>https://www.scopus.com/inward/record.uri?eid=2-s2.0-85083493930&amp;partnerID=40&amp;md5=5e5ade1bdda9554efded337c48555411</t>
  </si>
  <si>
    <t>Assessing textual source code comparison: Split or unified?</t>
  </si>
  <si>
    <t>Chavalier A.C.; Alcocer J.P.S.; Bergel A.</t>
  </si>
  <si>
    <t>10.1145/3397537.3398471</t>
  </si>
  <si>
    <t>https://www.scopus.com/inward/record.uri?eid=2-s2.0-85090118844&amp;doi=10.1145%2f3397537.3398471&amp;partnerID=40&amp;md5=022b6a218102423f9dd1540588a05220</t>
  </si>
  <si>
    <t>An Anomaly Detection Algorithm for Microservice Architecture Based on Robust Principal Component Analysis</t>
  </si>
  <si>
    <t>Jin M.; Lv A.; Zhu Y.; Wen Z.; Zhong Y.; Zhao Z.; Wu J.; Li H.; He H.; Chen F.</t>
  </si>
  <si>
    <t>10.1109/ACCESS.2020.3044610</t>
  </si>
  <si>
    <t>https://www.scopus.com/inward/record.uri?eid=2-s2.0-85130828992&amp;doi=10.1109%2fACCESS.2020.3044610&amp;partnerID=40&amp;md5=b9d7d008b39768cc71925147bfe1666c</t>
  </si>
  <si>
    <t>Do Developers Discover New Tools on the Toilet?</t>
  </si>
  <si>
    <t>Murphy-Hill E.; Smith E.K.; Sadowski C.; Jaspan C.; Winter C.; Jorde M.; Knight A.; Trenk A.; Gross S.</t>
  </si>
  <si>
    <t>10.1109/ICSE.2019.00059</t>
  </si>
  <si>
    <t>https://www.scopus.com/inward/record.uri?eid=2-s2.0-85072269421&amp;doi=10.1109%2fICSE.2019.00059&amp;partnerID=40&amp;md5=df49421781b14c927714e39a4e379b71</t>
  </si>
  <si>
    <t>A joint scheduling method for multiple byproduct gases in steel industry</t>
  </si>
  <si>
    <t>Jin F.; Zhao J.; Han Z.; Wang W.</t>
  </si>
  <si>
    <t>Control Engineering Practice</t>
  </si>
  <si>
    <t>10.1016/j.conengprac.2018.08.015</t>
  </si>
  <si>
    <t>https://www.scopus.com/inward/record.uri?eid=2-s2.0-85053058015&amp;doi=10.1016%2fj.conengprac.2018.08.015&amp;partnerID=40&amp;md5=a2b252e738cb1ee1cfb2096ada4bd625</t>
  </si>
  <si>
    <t>Complicated Causality Discovering and Presenting Based on Enterprise Knowledge Management</t>
  </si>
  <si>
    <t>Zhang Z.; Dang Y.</t>
  </si>
  <si>
    <t>Proceedings - Companion of the 19th IEEE International Conference on Software Quality, Reliability and Security, QRS-C 2019</t>
  </si>
  <si>
    <t>10.1109/QRS-C.2019.00065</t>
  </si>
  <si>
    <t>https://www.scopus.com/inward/record.uri?eid=2-s2.0-85073873506&amp;doi=10.1109%2fQRS-C.2019.00065&amp;partnerID=40&amp;md5=2546f1878de89d6ddfcfe3d0dd190ad4</t>
  </si>
  <si>
    <t>Cast analysis of the international space station EVA 23 suit water intrusion mishap</t>
  </si>
  <si>
    <t>Kothakonda A.; Robertson J.</t>
  </si>
  <si>
    <t>Proceedings of the International Astronautical Congress, IAC</t>
  </si>
  <si>
    <t>https://www.scopus.com/inward/record.uri?eid=2-s2.0-85065324543&amp;partnerID=40&amp;md5=1c730b01cc73004626e2897c43faa533</t>
  </si>
  <si>
    <t>Granger Causal Inference from Indirect Low-Dimensional Measurements with Application to MEG Functional Connectivity Analysis</t>
  </si>
  <si>
    <t>Soleimani B.; Das P.; Kulasingham J.; Simon J.Z.; Babadi B.</t>
  </si>
  <si>
    <t>2020 54th Annual Conference on Information Sciences and Systems, CISS 2020</t>
  </si>
  <si>
    <t>10.1109/CISS48834.2020.1570617418</t>
  </si>
  <si>
    <t>https://www.scopus.com/inward/record.uri?eid=2-s2.0-85085261000&amp;doi=10.1109%2fCISS48834.2020.1570617418&amp;partnerID=40&amp;md5=7f47df2cd97e2871fb7b234bdd902225</t>
  </si>
  <si>
    <t>Including safety during early development phases of future air traffic management concepts</t>
  </si>
  <si>
    <t>Fleming C.H.; Leveson N.G.</t>
  </si>
  <si>
    <t>Proceedings of the 11th USA/Europe Air Traffic Management Research and Development Seminar, ATM 2015</t>
  </si>
  <si>
    <t>https://www.scopus.com/inward/record.uri?eid=2-s2.0-84944538127&amp;partnerID=40&amp;md5=cb96ef83bd2df2cdff5a01a75bf1cb27</t>
  </si>
  <si>
    <t>Towards I/O analysis of HPC systems and a generic architecture to collect access patterns</t>
  </si>
  <si>
    <t>Wiedemann M.C.; Kunkel J.M.; Zimmer M.; Ludwig T.; Resch M.; Bönisch T.; Wang X.; Chut A.; Aguilera A.; Nagel W.E.; Kluge M.; Mickler H.</t>
  </si>
  <si>
    <t>Computer Science - Research and Development</t>
  </si>
  <si>
    <t>10.1007/s00450-012-0221-5</t>
  </si>
  <si>
    <t>https://www.scopus.com/inward/record.uri?eid=2-s2.0-84882904614&amp;doi=10.1007%2fs00450-012-0221-5&amp;partnerID=40&amp;md5=ea4cb55de7f17b8cb374f716bca3c54a</t>
  </si>
  <si>
    <t>Semi-supervised learning of causal relations in biomedical scientific discourse</t>
  </si>
  <si>
    <t>Mihăilă C.; Ananiadou S.</t>
  </si>
  <si>
    <t>BioMedical Engineering Online</t>
  </si>
  <si>
    <t>10.1186/1475-925X-13-S2-S1</t>
  </si>
  <si>
    <t>https://www.scopus.com/inward/record.uri?eid=2-s2.0-84956714637&amp;doi=10.1186%2f1475-925X-13-S2-S1&amp;partnerID=40&amp;md5=38d8e4e3465cbf8be31956a5347131d7</t>
  </si>
  <si>
    <t>Improving human understanding and design of complex multi-level systems with animation and parametric relationship supports</t>
  </si>
  <si>
    <t>Egan P.; Schunn C.; Cagan J.; Leduc P.</t>
  </si>
  <si>
    <t>Design Science</t>
  </si>
  <si>
    <t>10.1017/dsj.2015.3</t>
  </si>
  <si>
    <t>https://www.scopus.com/inward/record.uri?eid=2-s2.0-85060296923&amp;doi=10.1017%2fdsj.2015.3&amp;partnerID=40&amp;md5=c8868fd94746492eb86c4d7f4d00acf4</t>
  </si>
  <si>
    <t>An empirical analysis of the impact on economic growth from trade in services</t>
  </si>
  <si>
    <t>Yu D.; Xu X.</t>
  </si>
  <si>
    <t>E-Commerce, E-Business and E-Service - Proceedings of the International Conference on E-Commerce, E-Business and E-Service, EEE 2014</t>
  </si>
  <si>
    <t>https://www.scopus.com/inward/record.uri?eid=2-s2.0-84907380444&amp;partnerID=40&amp;md5=81551459f52a2ff80fb8bc252c6b6550</t>
  </si>
  <si>
    <t>Integrative analysis of multiple genomic variables using a hierarchical Bayesian model</t>
  </si>
  <si>
    <t>Schäfer M.; Klein H.-U.; Schwender H.</t>
  </si>
  <si>
    <t>10.1093/bioinformatics/btx356</t>
  </si>
  <si>
    <t>https://www.scopus.com/inward/record.uri?eid=2-s2.0-85031775270&amp;doi=10.1093%2fbioinformatics%2fbtx356&amp;partnerID=40&amp;md5=a0029e47221ef8850d4df34ecca37747</t>
  </si>
  <si>
    <t>Engineering safety in machine learning</t>
  </si>
  <si>
    <t>Varshney K.R.</t>
  </si>
  <si>
    <t>2016 Information Theory and Applications Workshop, ITA 2016</t>
  </si>
  <si>
    <t>10.1109/ITA.2016.7888195</t>
  </si>
  <si>
    <t>https://www.scopus.com/inward/record.uri?eid=2-s2.0-85015165511&amp;doi=10.1109%2fITA.2016.7888195&amp;partnerID=40&amp;md5=6da95f9d4395cbfaf5ff7deeffd51acf</t>
  </si>
  <si>
    <t>Mechanical catalysis on the centimeter scale</t>
  </si>
  <si>
    <t>Miyashita S.; Audretsch C.; Nagy Z.; Füchslin R.M.; Pfeifer R.</t>
  </si>
  <si>
    <t>Journal of the Royal Society Interface</t>
  </si>
  <si>
    <t>10.1098/rsif.2014.1271</t>
  </si>
  <si>
    <t>https://www.scopus.com/inward/record.uri?eid=2-s2.0-84923233888&amp;doi=10.1098%2frsif.2014.1271&amp;partnerID=40&amp;md5=48a38d58e7a03ea0d18fa14e1ede268c</t>
  </si>
  <si>
    <t>Herding cats: Modelling, simulation, testing, and data-mining for weak memory</t>
  </si>
  <si>
    <t>Alglave J.; Maranget L.; Tautschnig M.</t>
  </si>
  <si>
    <t>Proceedings of the ACM SIGPLAN Conference on Programming Language Design and Implementation (PLDI)</t>
  </si>
  <si>
    <t>10.1145/2594291.2594347</t>
  </si>
  <si>
    <t>https://www.scopus.com/inward/record.uri?eid=2-s2.0-84901593823&amp;doi=10.1145%2f2594291.2594347&amp;partnerID=40&amp;md5=0102c01272f31485962bd94d27736675</t>
  </si>
  <si>
    <t>CauseInfer: Automatic and distributed performance diagnosis with hierarchical causality graph in large distributed systems</t>
  </si>
  <si>
    <t>Chen P.; Qi Y.; Zheng P.; Hou D.</t>
  </si>
  <si>
    <t>Proceedings - IEEE INFOCOM</t>
  </si>
  <si>
    <t>10.1109/INFOCOM.2014.6848128</t>
  </si>
  <si>
    <t>https://www.scopus.com/inward/record.uri?eid=2-s2.0-84904443381&amp;doi=10.1109%2fINFOCOM.2014.6848128&amp;partnerID=40&amp;md5=0a09d6cbf02b5fd44a43f883893ccc09</t>
  </si>
  <si>
    <t>RecProv: Towards provenance-aware user space record and replay</t>
  </si>
  <si>
    <t>Ji Y.; Lee S.; Lee W.</t>
  </si>
  <si>
    <t>10.1007/978-3-319-40593-3_1</t>
  </si>
  <si>
    <t>https://www.scopus.com/inward/record.uri?eid=2-s2.0-84976623973&amp;doi=10.1007%2f978-3-319-40593-3_1&amp;partnerID=40&amp;md5=8a4d76fe43584e42059e30cdf84674d3</t>
  </si>
  <si>
    <t>Feature selections for effectively localizing faulty events in GUI applications</t>
  </si>
  <si>
    <t>Xue X.; Pang Y.; Namin A.S.</t>
  </si>
  <si>
    <t>Proceedings - 2014 13th International Conference on Machine Learning and Applications, ICMLA 2014</t>
  </si>
  <si>
    <t>10.1109/ICMLA.2014.55</t>
  </si>
  <si>
    <t>https://www.scopus.com/inward/record.uri?eid=2-s2.0-84946692193&amp;doi=10.1109%2fICMLA.2014.55&amp;partnerID=40&amp;md5=fedd2b7d62fb9645dc4b7cf195fca26c</t>
  </si>
  <si>
    <t>Towards combined safety and security constraints analysis</t>
  </si>
  <si>
    <t>Pereira D.; Hirata C.; Pagliares R.; Nadjm-Tehrani S.</t>
  </si>
  <si>
    <t>10.1007/978-3-319-66284-8_7</t>
  </si>
  <si>
    <t>https://www.scopus.com/inward/record.uri?eid=2-s2.0-85029470017&amp;doi=10.1007%2f978-3-319-66284-8_7&amp;partnerID=40&amp;md5=5c1127d2a3b7bec1e85950c59094d4cc</t>
  </si>
  <si>
    <t>Analyzing emergency evacuation strategies for mass gatherings using crowd simulation and analysis framework: Hajj scenario</t>
  </si>
  <si>
    <t>Mahmood I.; Haris M.; Sarjoughian H.</t>
  </si>
  <si>
    <t>SIGSIM-PADS 2017 - Proceedings of the 2017 ACM SIGSIM Conference on Principles of Advanced Discrete Simulation</t>
  </si>
  <si>
    <t>10.1145/3064911.3064924</t>
  </si>
  <si>
    <t>https://www.scopus.com/inward/record.uri?eid=2-s2.0-85020753948&amp;doi=10.1145%2f3064911.3064924&amp;partnerID=40&amp;md5=c85397b58bcd4a670b19fd381ceae060</t>
  </si>
  <si>
    <t>Casper: Automatic tracking of null dereferences to inception with causality traces</t>
  </si>
  <si>
    <t>Cornu B.; Barr E.T.; Seinturier L.; Monperrus M.</t>
  </si>
  <si>
    <t>10.1016/j.jss.2016.08.062</t>
  </si>
  <si>
    <t>https://www.scopus.com/inward/record.uri?eid=2-s2.0-84984629817&amp;doi=10.1016%2fj.jss.2016.08.062&amp;partnerID=40&amp;md5=241543b7eb84d15dae170c18a46af625</t>
  </si>
  <si>
    <t>A low-overhead constant-time Lowest-Timestamp-First CPU scheduler for high-performance optimistic simulation platforms</t>
  </si>
  <si>
    <t>Quaglia F.</t>
  </si>
  <si>
    <t>Simulation Modelling Practice and Theory</t>
  </si>
  <si>
    <t>10.1016/j.simpat.2015.01.009</t>
  </si>
  <si>
    <t>https://www.scopus.com/inward/record.uri?eid=2-s2.0-84925678073&amp;doi=10.1016%2fj.simpat.2015.01.009&amp;partnerID=40&amp;md5=675f4fd4c27231ea3a64921669137584</t>
  </si>
  <si>
    <t>The Empirical Study on the Relationship between the Stock Market and the Real Estate Market in China</t>
  </si>
  <si>
    <t>Chen L.; Huang H.; Xu W.</t>
  </si>
  <si>
    <t>ICCREM 2017: Real Estate and Urbanization - Proceedings of the International Conference on Construction and Real Estate Management 2017</t>
  </si>
  <si>
    <t>10.1061/9780784481073.022</t>
  </si>
  <si>
    <t>https://www.scopus.com/inward/record.uri?eid=2-s2.0-85039911087&amp;doi=10.1061%2f9780784481073.022&amp;partnerID=40&amp;md5=cb374f390d07640b0fc71a970567aac4</t>
  </si>
  <si>
    <t>A general framework for blaming in component-based systems</t>
  </si>
  <si>
    <t>Gössler G.; Le Métayer D.</t>
  </si>
  <si>
    <t>Science of Computer Programming</t>
  </si>
  <si>
    <t>10.1016/j.scico.2015.06.010</t>
  </si>
  <si>
    <t>https://www.scopus.com/inward/record.uri?eid=2-s2.0-84947488961&amp;doi=10.1016%2fj.scico.2015.06.010&amp;partnerID=40&amp;md5=a92afee5daf9cd411cd8960181083138</t>
  </si>
  <si>
    <t>Systems theory and a drive towards model-based safety analysis</t>
  </si>
  <si>
    <t>Fleming C.H.</t>
  </si>
  <si>
    <t>11th Annual IEEE International Systems Conference, SysCon 2017 - Proceedings</t>
  </si>
  <si>
    <t>10.1109/SYSCON.2017.7934799</t>
  </si>
  <si>
    <t>https://www.scopus.com/inward/record.uri?eid=2-s2.0-85021439824&amp;doi=10.1109%2fSYSCON.2017.7934799&amp;partnerID=40&amp;md5=267fc3e97d8df8951216d6fd58a21e36</t>
  </si>
  <si>
    <t>Causal Contrasts Promote Algebra Problem Solving</t>
  </si>
  <si>
    <t>Ye J.-P.; Walker J.M.; Cheng P.W.</t>
  </si>
  <si>
    <t>Proceedings of the 38th Annual Meeting of the Cognitive Science Society, CogSci 2016</t>
  </si>
  <si>
    <t>https://www.scopus.com/inward/record.uri?eid=2-s2.0-85139256102&amp;partnerID=40&amp;md5=294ad7558e22ce4da72a456ee12fb5f0</t>
  </si>
  <si>
    <t>Comparative causality: Explaining the differences between executions</t>
  </si>
  <si>
    <t>Sumner W.N.; Zhang X.</t>
  </si>
  <si>
    <t>10.1109/ICSE.2013.6606573</t>
  </si>
  <si>
    <t>https://www.scopus.com/inward/record.uri?eid=2-s2.0-84886443567&amp;doi=10.1109%2fICSE.2013.6606573&amp;partnerID=40&amp;md5=3e013fb082337a9c91d6c256c3426af7</t>
  </si>
  <si>
    <t>Linkage relationship between port logistics and regional economy based on eviews software</t>
  </si>
  <si>
    <t>Xu T.-T.; Peng J.-L.; Ding F.</t>
  </si>
  <si>
    <t>Journal of Software</t>
  </si>
  <si>
    <t>10.4304/jsw.8.4.971-978</t>
  </si>
  <si>
    <t>https://www.scopus.com/inward/record.uri?eid=2-s2.0-84875701718&amp;doi=10.4304%2fjsw.8.4.971-978&amp;partnerID=40&amp;md5=575d9adec16cce822059bb9fbf88ff38</t>
  </si>
  <si>
    <t>MFL: Method-level fault localization with causal inference</t>
  </si>
  <si>
    <t>Shu G.; Sun B.; Podgurski A.; Cao F.</t>
  </si>
  <si>
    <t>Proceedings - IEEE 6th International Conference on Software Testing, Verification and Validation, ICST 2013</t>
  </si>
  <si>
    <t>10.1109/ICST.2013.31</t>
  </si>
  <si>
    <t>https://www.scopus.com/inward/record.uri?eid=2-s2.0-84883429823&amp;doi=10.1109%2fICST.2013.31&amp;partnerID=40&amp;md5=c2ab8d885c2861faa5210493979dbae6</t>
  </si>
  <si>
    <t>Information Technology (IT) value model using variance-based structural equation modeling: Towards IT value engineering</t>
  </si>
  <si>
    <t>Abdurrahman L.; Suhardi; Langi A.Z.R.</t>
  </si>
  <si>
    <t>2014 2nd International Conference on Information and Communication Technology, ICoICT 2014</t>
  </si>
  <si>
    <t>10.1109/ICoICT.2014.6914112</t>
  </si>
  <si>
    <t>https://www.scopus.com/inward/record.uri?eid=2-s2.0-84909976957&amp;doi=10.1109%2fICoICT.2014.6914112&amp;partnerID=40&amp;md5=b02f8010a8731e3252986c7037ab1015</t>
  </si>
  <si>
    <t>A novel attitude quaternion filter for the Esa European Student Earth Orbiter (ESEO)</t>
  </si>
  <si>
    <t>Geers M.; Kuiper H.; Choukroun D.; Salvoldi M.; Rondao D.</t>
  </si>
  <si>
    <t>https://www.scopus.com/inward/record.uri?eid=2-s2.0-84994225700&amp;partnerID=40&amp;md5=6647ac6f98ee93be279d3af3be893394</t>
  </si>
  <si>
    <t>Mixing hardware and software reversibility for speculative parallel discrete event simulation</t>
  </si>
  <si>
    <t>Cingolani D.; Ianni M.; Pellegrini A.; Quaglia F.</t>
  </si>
  <si>
    <t>10.1007/978-3-319-40578-0_9</t>
  </si>
  <si>
    <t>https://www.scopus.com/inward/record.uri?eid=2-s2.0-84978832823&amp;doi=10.1007%2f978-3-319-40578-0_9&amp;partnerID=40&amp;md5=4c33abf121e4b2ecb6eb434e67f3b7bb</t>
  </si>
  <si>
    <t>Performance degradation analysis of a supercomputer</t>
  </si>
  <si>
    <t>Cotroneo D.; Frattini F.; Natella R.; Pietrantuono R.</t>
  </si>
  <si>
    <t>2013 IEEE International Symposium on Software Reliability Engineering Workshops, ISSREW 2013</t>
  </si>
  <si>
    <t>10.1109/ISSREW.2013.6688904</t>
  </si>
  <si>
    <t>https://www.scopus.com/inward/record.uri?eid=2-s2.0-84893247995&amp;doi=10.1109%2fISSREW.2013.6688904&amp;partnerID=40&amp;md5=36ba68f1f799c5c310826c929e9e2b41</t>
  </si>
  <si>
    <t>A preliminary study of human decision-making, risk attitude, and social preference on knowledge management</t>
  </si>
  <si>
    <t>Gu J.; Huang J.-P.; Chen Y.</t>
  </si>
  <si>
    <t>Advances in Intelligent Systems and Computing</t>
  </si>
  <si>
    <t>10.1007/978-3-319-60591-3_27</t>
  </si>
  <si>
    <t>https://www.scopus.com/inward/record.uri?eid=2-s2.0-85021451944&amp;doi=10.1007%2f978-3-319-60591-3_27&amp;partnerID=40&amp;md5=37b456379b37859365bc57b7bac1687c</t>
  </si>
  <si>
    <t>Certified symbolic management of financial multi-party contracts</t>
  </si>
  <si>
    <t>Bahr P.; Berthold J.; Elsman M.</t>
  </si>
  <si>
    <t>Proceedings of the ACM SIGPLAN International Conference on Functional Programming, ICFP</t>
  </si>
  <si>
    <t>10.1145/2784731.2784747</t>
  </si>
  <si>
    <t>https://www.scopus.com/inward/record.uri?eid=2-s2.0-84957618367&amp;doi=10.1145%2f2784731.2784747&amp;partnerID=40&amp;md5=38a89fbcba2e7036799b7c77b327ad43</t>
  </si>
  <si>
    <t>New metrics for assessing aspect coupling</t>
  </si>
  <si>
    <t>Bennett B.T.; Mitropoulos F.J.</t>
  </si>
  <si>
    <t>Conference Proceedings - IEEE SOUTHEASTCON</t>
  </si>
  <si>
    <t>10.1109/SECON.2016.7506722</t>
  </si>
  <si>
    <t>https://www.scopus.com/inward/record.uri?eid=2-s2.0-84980018986&amp;doi=10.1109%2fSECON.2016.7506722&amp;partnerID=40&amp;md5=d4777456584d85287c39cb9ad87d2d48</t>
  </si>
  <si>
    <t>Development of graphical user interfaces to improve human design proficiency for complex multi-level biosystems</t>
  </si>
  <si>
    <t>Egan P.F.; Schunn C.; Cagan J.; LeDuc P.R.</t>
  </si>
  <si>
    <t>Proceedings of the ASME Design Engineering Technical Conference</t>
  </si>
  <si>
    <t>10.1115/DETC2015-47460</t>
  </si>
  <si>
    <t>https://www.scopus.com/inward/record.uri?eid=2-s2.0-84979082802&amp;doi=10.1115%2fDETC2015-47460&amp;partnerID=40&amp;md5=d9ccae961bccd3a7974b99386c1ba2a1</t>
  </si>
  <si>
    <t>A general trace-based framework of logical causality</t>
  </si>
  <si>
    <t>10.1007/978-3-319-07602-7_11</t>
  </si>
  <si>
    <t>https://www.scopus.com/inward/record.uri?eid=2-s2.0-84958525148&amp;doi=10.1007%2f978-3-319-07602-7_11&amp;partnerID=40&amp;md5=9e34dd803c6151f55bff517595214dfe</t>
  </si>
  <si>
    <t>APPLES: Efficiently handling spin-lock synchronization on virtualized platforms</t>
  </si>
  <si>
    <t>Shan J.; Ding X.; Gehani N.</t>
  </si>
  <si>
    <t>IEEE Transactions on Parallel and Distributed Systems</t>
  </si>
  <si>
    <t>10.1109/TPDS.2016.2625249</t>
  </si>
  <si>
    <t>https://www.scopus.com/inward/record.uri?eid=2-s2.0-85025653663&amp;doi=10.1109%2fTPDS.2016.2625249&amp;partnerID=40&amp;md5=4a78babca8febe7dfdc5ae894ea1f125</t>
  </si>
  <si>
    <t>An empirical study on failure causes in a commercial off-the-shelf operating system</t>
  </si>
  <si>
    <t>Santos C.A.R.D.; Matias R.</t>
  </si>
  <si>
    <t>Proceedings - 2015 Brazilian Symposium on Computing Systems Engineering, SBESC 2015</t>
  </si>
  <si>
    <t>10.1109/SBESC.2015.8</t>
  </si>
  <si>
    <t>https://www.scopus.com/inward/record.uri?eid=2-s2.0-84969514511&amp;doi=10.1109%2fSBESC.2015.8&amp;partnerID=40&amp;md5=28ff45eb7997e8b374ddeb103361e417</t>
  </si>
  <si>
    <t>Causal inference based fault localization for numerical software with NUMFL</t>
  </si>
  <si>
    <t>Bai Z.; Shu G.; Podgurski A.</t>
  </si>
  <si>
    <t>Software Testing Verification and Reliability</t>
  </si>
  <si>
    <t>10.1002/stvr.1613</t>
  </si>
  <si>
    <t>https://www.scopus.com/inward/record.uri?eid=2-s2.0-85006248610&amp;doi=10.1002%2fstvr.1613&amp;partnerID=40&amp;md5=701a43f5411728e49c79f643feecb801</t>
  </si>
  <si>
    <t>Process discovery using localized events</t>
  </si>
  <si>
    <t>Van Der Aalst W.M.P.; Kalenkova A.; Rubin V.; Verbeek E.</t>
  </si>
  <si>
    <t>10.1007/978-3-319-19488-2_15</t>
  </si>
  <si>
    <t>https://www.scopus.com/inward/record.uri?eid=2-s2.0-84937468868&amp;doi=10.1007%2f978-3-319-19488-2_15&amp;partnerID=40&amp;md5=e5d12b40bc792fa5ef6668f1a69e3747</t>
  </si>
  <si>
    <t>Directive vs. Empowering Leadership in Temporary Project Teams: An Agent-Based Modeling Approach</t>
  </si>
  <si>
    <t>Zhou Y.; Du J.; Shi Q.; Horlen J.</t>
  </si>
  <si>
    <t>Construction Research Congress 2016: Old and New Construction Technologies Converge in Historic San Juan - Proceedings of the 2016 Construction Research Congress, CRC 2016</t>
  </si>
  <si>
    <t>10.1061/9780784479827.187</t>
  </si>
  <si>
    <t>https://www.scopus.com/inward/record.uri?eid=2-s2.0-84976351132&amp;doi=10.1061%2f9780784479827.187&amp;partnerID=40&amp;md5=2c4d5805be831319ee71fc3ca1011352</t>
  </si>
  <si>
    <t>Inferring relevance and presence of evidence in service-oriented and SaaS architectures</t>
  </si>
  <si>
    <t>Almulla S.; Iraqi Y.; Wolthusen S.D.</t>
  </si>
  <si>
    <t>Proceedings - IEEE Symposium on Computers and Communications</t>
  </si>
  <si>
    <t>10.1109/ISCC.2015.7405509</t>
  </si>
  <si>
    <t>https://www.scopus.com/inward/record.uri?eid=2-s2.0-84961911017&amp;doi=10.1109%2fISCC.2015.7405509&amp;partnerID=40&amp;md5=d5f312588fe284d2d368c0af9ce417ba</t>
  </si>
  <si>
    <t>Rapid and robust impact assessment of software changes in large internet-based services</t>
  </si>
  <si>
    <t>Zhang S.; Liu Y.; Pei D.; Chen Y.; Qu X.; Tao S.; Zang Z.</t>
  </si>
  <si>
    <t>Proceedings of the 11th ACM Conference on Emerging Networking Experiments and Technologies, CoNEXT 2015</t>
  </si>
  <si>
    <t>10.1145/2716281.2836087</t>
  </si>
  <si>
    <t>https://www.scopus.com/inward/record.uri?eid=2-s2.0-84995767455&amp;doi=10.1145%2f2716281.2836087&amp;partnerID=40&amp;md5=d891ac6b833fa9de6e80a6e04ac70e2c</t>
  </si>
  <si>
    <t>Testing the perception of time, state and causality to predict programming aptitude</t>
  </si>
  <si>
    <t>Leal J.P.</t>
  </si>
  <si>
    <t>2013 Federated Conference on Computer Science and Information Systems, FedCSIS 2013</t>
  </si>
  <si>
    <t>https://www.scopus.com/inward/record.uri?eid=2-s2.0-84892545510&amp;partnerID=40&amp;md5=c040015a913ee20025aaf532d56e145e</t>
  </si>
  <si>
    <t>Surprisingly Stochastic: Learning and Application of Emergent Behavior Using Interactive Simulations of Nano-Mechanical Biological Systems</t>
  </si>
  <si>
    <t>Egan P.F.; Schunn C.D.; Cagan J.; LeDuc P.R.</t>
  </si>
  <si>
    <t>Proceedings of the 36th Annual Meeting of the Cognitive Science Society, CogSci 2014</t>
  </si>
  <si>
    <t>https://www.scopus.com/inward/record.uri?eid=2-s2.0-85139191817&amp;partnerID=40&amp;md5=697b4f9805064f8f0f4d4b5e85f3cf3b</t>
  </si>
  <si>
    <t>Semantics-driven frequent data pattern mining on electronic health records for effective adverse drug event monitoring</t>
  </si>
  <si>
    <t>Huang J.; Huan J.; Tropsha A.; Dang J.; Zhang H.; Xiong M.</t>
  </si>
  <si>
    <t>Proceedings - 2013 IEEE International Conference on Bioinformatics and Biomedicine, IEEE BIBM 2013</t>
  </si>
  <si>
    <t>10.1109/BIBM.2013.6732567</t>
  </si>
  <si>
    <t>https://www.scopus.com/inward/record.uri?eid=2-s2.0-84894518838&amp;doi=10.1109%2fBIBM.2013.6732567&amp;partnerID=40&amp;md5=36a3fd1ff102e835a8b15c3f8addd511</t>
  </si>
  <si>
    <t>Collaborative development environment in peer-to-peer networks</t>
  </si>
  <si>
    <t>Thodi M.; Fujita S.</t>
  </si>
  <si>
    <t>Proceedings - 2016 4th International Symposium on Computing and Networking, CANDAR 2016</t>
  </si>
  <si>
    <t>10.1109/CANDAR.2016.52</t>
  </si>
  <si>
    <t>https://www.scopus.com/inward/record.uri?eid=2-s2.0-85015152650&amp;doi=10.1109%2fCANDAR.2016.52&amp;partnerID=40&amp;md5=cb090452e1b5c7a7c874b4b5660d131e</t>
  </si>
  <si>
    <t>On the Future of Information: Reunification, Computability, Adaptation, Cybersecurity, Semantics</t>
  </si>
  <si>
    <t>Pissanetzky S.</t>
  </si>
  <si>
    <t>10.1109/ACCESS.2016.2524403</t>
  </si>
  <si>
    <t>https://www.scopus.com/inward/record.uri?eid=2-s2.0-84979847576&amp;doi=10.1109%2fACCESS.2016.2524403&amp;partnerID=40&amp;md5=623f3b2a3449fc87c29d2b029351f992</t>
  </si>
  <si>
    <t>Towards cyber-physical agnosticism by enhancing IEC 61499 with PTIDES model of computations</t>
  </si>
  <si>
    <t>Vyatkin V.; Pang C.; Tripakis S.</t>
  </si>
  <si>
    <t>IECON 2015 - 41st Annual Conference of the IEEE Industrial Electronics Society</t>
  </si>
  <si>
    <t>10.1109/IECON.2015.7392389</t>
  </si>
  <si>
    <t>https://www.scopus.com/inward/record.uri?eid=2-s2.0-84973130359&amp;doi=10.1109%2fIECON.2015.7392389&amp;partnerID=40&amp;md5=043546e702c00d497665e9e7b648cedc</t>
  </si>
  <si>
    <t>Properties of Effective Metrics for Coverage-Based Statistical Fault Localization</t>
  </si>
  <si>
    <t>Sun S.-F.; Podgurski A.</t>
  </si>
  <si>
    <t>Proceedings - 2016 IEEE International Conference on Software Testing, Verification and Validation, ICST 2016</t>
  </si>
  <si>
    <t>10.1109/ICST.2016.31</t>
  </si>
  <si>
    <t>https://www.scopus.com/inward/record.uri?eid=2-s2.0-84983285014&amp;doi=10.1109%2fICST.2016.31&amp;partnerID=40&amp;md5=bdbfdf87fcf1c1b45f8dc14f3a9e7e62</t>
  </si>
  <si>
    <t>A Fast Markov blanket discovery algorithm</t>
  </si>
  <si>
    <t>Zhu X.; Yang Y.</t>
  </si>
  <si>
    <t>10.1109/ICSESS.2014.6933572</t>
  </si>
  <si>
    <t>https://www.scopus.com/inward/record.uri?eid=2-s2.0-84910066141&amp;doi=10.1109%2fICSESS.2014.6933572&amp;partnerID=40&amp;md5=fdbf1bc1d705392d571c332ce998f5d2</t>
  </si>
  <si>
    <t>Unsuccessful performance and future computer self-efficacy estimations: Attributions and generalization to other software applications</t>
  </si>
  <si>
    <t>Johnson R.D.; Li Y.; Dulebohn J.H.</t>
  </si>
  <si>
    <t>Journal of Organizational and End User Computing</t>
  </si>
  <si>
    <t>10.4018/JOEUC.2016010101</t>
  </si>
  <si>
    <t>https://www.scopus.com/inward/record.uri?eid=2-s2.0-84954497267&amp;doi=10.4018%2fJOEUC.2016010101&amp;partnerID=40&amp;md5=748afa0815377e2a00c7bfa3d348f037</t>
  </si>
  <si>
    <t>Effect of organizational culture, competence and professionalism forces readiness for implementation of accrual accounting, Malang, East Java</t>
  </si>
  <si>
    <t>Agustia D.; Sudaryati E.; Mohamed N.</t>
  </si>
  <si>
    <t>Advanced Science Letters</t>
  </si>
  <si>
    <t>10.1166/asl.2017.9598</t>
  </si>
  <si>
    <t>https://www.scopus.com/inward/record.uri?eid=2-s2.0-85032226891&amp;doi=10.1166%2fasl.2017.9598&amp;partnerID=40&amp;md5=644efe2bf9bb05595d6faab5027aa364</t>
  </si>
  <si>
    <t>Managing modern sociotechnical systems: New perspectives on human-organization—technological integration in complex and dynamic environments</t>
  </si>
  <si>
    <t>Abraha H.H.; Liyanage J.P.</t>
  </si>
  <si>
    <t>Lecture Notes in Mechanical Engineering</t>
  </si>
  <si>
    <t>10.1007/978-3-319-09507-3_94</t>
  </si>
  <si>
    <t>https://www.scopus.com/inward/record.uri?eid=2-s2.0-84951065727&amp;doi=10.1007%2f978-3-319-09507-3_94&amp;partnerID=40&amp;md5=11a9e5b1687b74299bb376a534a6d986</t>
  </si>
  <si>
    <t>Predicting software defects with causality tests</t>
  </si>
  <si>
    <t>Couto C.; Pires P.; Valente M.T.; Bigonha R.S.; Anquetil N.</t>
  </si>
  <si>
    <t>10.1016/j.jss.2014.01.033</t>
  </si>
  <si>
    <t>https://www.scopus.com/inward/record.uri?eid=2-s2.0-84900800922&amp;doi=10.1016%2fj.jss.2014.01.033&amp;partnerID=40&amp;md5=6aa8b63f97cceb60ccc8627c27b7567b</t>
  </si>
  <si>
    <t>17th AIAA Aviation Technology, Integration, and Operations Conference, 2017</t>
  </si>
  <si>
    <t>10.2514/6.2017-3776</t>
  </si>
  <si>
    <t>https://www.scopus.com/inward/record.uri?eid=2-s2.0-85085850562&amp;doi=10.2514%2f6.2017-3776&amp;partnerID=40&amp;md5=cbfd1a7a698c9c1c480833489c700814</t>
  </si>
  <si>
    <t>Cloud Ready Applications Composed via HTN Planning</t>
  </si>
  <si>
    <t>Georgievski I.; Nizamic F.; Lazovik A.; Aiello M.</t>
  </si>
  <si>
    <t>Proceedings - 2017 IEEE 10th International Conference on Service-Oriented Computing and Applications, SOCA 2017</t>
  </si>
  <si>
    <t>10.1109/SOCA.2017.19</t>
  </si>
  <si>
    <t>https://www.scopus.com/inward/record.uri?eid=2-s2.0-85046957277&amp;doi=10.1109%2fSOCA.2017.19&amp;partnerID=40&amp;md5=20e286169b8d5db47cbf41b2c02bfc02</t>
  </si>
  <si>
    <t>The Importance of Being Positive in Causal Statistical Fault Localization: Important Properties of Baah et al.'s CSFL Regression Model</t>
  </si>
  <si>
    <t>Bai Z.; Sun S.-F.; Podgurski A.</t>
  </si>
  <si>
    <t>Proceedings - 1st International Workshop on Complex Faults and Failures in Large Software Systems, COUFLESS 2015</t>
  </si>
  <si>
    <t>10.1109/COUFLESS.2015.9</t>
  </si>
  <si>
    <t>https://www.scopus.com/inward/record.uri?eid=2-s2.0-84960379350&amp;doi=10.1109%2fCOUFLESS.2015.9&amp;partnerID=40&amp;md5=5a973c8dfd959485b4c279e001a891d6</t>
  </si>
  <si>
    <t>Transparently mixing undo logs and software reversibility for state recovery in optimistic PDES</t>
  </si>
  <si>
    <t>Cingolani D.; Pellegrini A.; Quaglia F.</t>
  </si>
  <si>
    <t>ACM Transactions on Modeling and Computer Simulation</t>
  </si>
  <si>
    <t>10.1145/3077583</t>
  </si>
  <si>
    <t>https://www.scopus.com/inward/record.uri?eid=2-s2.0-85025084437&amp;doi=10.1145%2f3077583&amp;partnerID=40&amp;md5=84a8714e4a5bf43e0f630c101fe2a702</t>
  </si>
  <si>
    <t>Medflex: An R package for flexible mediation analysis using natural effect models</t>
  </si>
  <si>
    <t>Steen J.; Loeys T.; Moerkerke B.; Vansteelandt S.</t>
  </si>
  <si>
    <t>Journal of Statistical Software</t>
  </si>
  <si>
    <t>10.18637/jss.v076.i11</t>
  </si>
  <si>
    <t>https://www.scopus.com/inward/record.uri?eid=2-s2.0-85015184230&amp;doi=10.18637%2fjss.v076.i11&amp;partnerID=40&amp;md5=0b2f3da049ec8ebb475c80c1be7af2d6</t>
  </si>
  <si>
    <t>Intelligent agent-based stimulation for testing robotic software in human-robot interactions</t>
  </si>
  <si>
    <t>Araiza-Illan D.; Pipe A.G.; Eder K.</t>
  </si>
  <si>
    <t>10.1145/3022099.3022101</t>
  </si>
  <si>
    <t>https://www.scopus.com/inward/record.uri?eid=2-s2.0-85018302263&amp;doi=10.1145%2f3022099.3022101&amp;partnerID=40&amp;md5=05da894301a79dada53e688a1192b74b</t>
  </si>
  <si>
    <t>Granger causality-aware prediction and diagnosis of software degradation</t>
  </si>
  <si>
    <t>Zheng P.; Zhou Y.; Lyu M.R.; Qi Y.</t>
  </si>
  <si>
    <t>Proceedings - 2014 IEEE International Conference on Services Computing, SCC 2014</t>
  </si>
  <si>
    <t>10.1109/SCC.2014.76</t>
  </si>
  <si>
    <t>https://www.scopus.com/inward/record.uri?eid=2-s2.0-84919667352&amp;doi=10.1109%2fSCC.2014.76&amp;partnerID=40&amp;md5=f33a75d76a05eaf769a3e6c2b7af4a6a</t>
  </si>
  <si>
    <t>ACM SIGPLAN Notices</t>
  </si>
  <si>
    <t>https://www.scopus.com/inward/record.uri?eid=2-s2.0-85100553631&amp;doi=10.1145%2f2784731.2784747&amp;partnerID=40&amp;md5=404784fd04980772ec9a51f5448d76f5</t>
  </si>
  <si>
    <t>Best practice in conceptual modelling for environmental software development</t>
  </si>
  <si>
    <t>Argent R.M.; Sojda R.S.; Guipponi C.; McIntosh B.; Voinov A.A.</t>
  </si>
  <si>
    <t>Proceedings - 7th International Congress on Environmental Modelling and Software: Bold Visions for Environmental Modeling, iEMSs 2014</t>
  </si>
  <si>
    <t>https://www.scopus.com/inward/record.uri?eid=2-s2.0-84911922048&amp;partnerID=40&amp;md5=48249f3935b8ee7d35c737bcc76c707d</t>
  </si>
  <si>
    <t>System dynamic analysis on behavior-based safety in an LNG enterprise</t>
  </si>
  <si>
    <t>Chu Y.-Y.; Huang L.-J.; Zhang Q.-X.; Liang D.</t>
  </si>
  <si>
    <t>Proceedings - 7th International Conference on Intelligent Computation Technology and Automation, ICICTA 2014</t>
  </si>
  <si>
    <t>10.1109/ICICTA.2014.184</t>
  </si>
  <si>
    <t>https://www.scopus.com/inward/record.uri?eid=2-s2.0-84921795091&amp;doi=10.1109%2fICICTA.2014.184&amp;partnerID=40&amp;md5=385a4a4165a687c2d42214beb90c33e6</t>
  </si>
  <si>
    <t>IPA: Improving predictive analysis with pointer analysis</t>
  </si>
  <si>
    <t>Liu P.; Tripp O.; Zhang X.</t>
  </si>
  <si>
    <t>ISSTA 2016 - Proceedings of the 25th International Symposium on Software Testing and Analysis</t>
  </si>
  <si>
    <t>10.1145/2931037.2931046</t>
  </si>
  <si>
    <t>https://www.scopus.com/inward/record.uri?eid=2-s2.0-84984924744&amp;doi=10.1145%2f2931037.2931046&amp;partnerID=40&amp;md5=4b58d9115942862052bde8886dfe22c5</t>
  </si>
  <si>
    <t>FUNNEL: Assessing Software Changes in Web-Based Services</t>
  </si>
  <si>
    <t>Zhang S.; Liu Y.; Pei D.; Chen Y.; Qu X.; Tao S.; Zang Z.; Jing X.; Feng M.</t>
  </si>
  <si>
    <t>10.1109/TSC.2016.2539945</t>
  </si>
  <si>
    <t>https://www.scopus.com/inward/record.uri?eid=2-s2.0-85042055228&amp;doi=10.1109%2fTSC.2016.2539945&amp;partnerID=40&amp;md5=15e0b419e51da3052fae4e20799e94c4</t>
  </si>
  <si>
    <t>Asynchronous approximate simulation algorithm for stream processing platforms (WIP)</t>
  </si>
  <si>
    <t>Gil-Costa V.; Tapia E.; Marin M.</t>
  </si>
  <si>
    <t>Simulation Series</t>
  </si>
  <si>
    <t>https://www.scopus.com/inward/record.uri?eid=2-s2.0-84994682617&amp;partnerID=40&amp;md5=be0fc9f8cad2befd3a398cd84c0a0081</t>
  </si>
  <si>
    <t>On the Safety of Machine Learning: Cyber-Physical Systems, Decision Sciences, and Data Products</t>
  </si>
  <si>
    <t>Varshney K.R.; Alemzadeh H.</t>
  </si>
  <si>
    <t>Big Data</t>
  </si>
  <si>
    <t>10.1089/big.2016.0051</t>
  </si>
  <si>
    <t>https://www.scopus.com/inward/record.uri?eid=2-s2.0-85049006775&amp;doi=10.1089%2fbig.2016.0051&amp;partnerID=40&amp;md5=f6b38104c6455d55b1ac032066343b46</t>
  </si>
  <si>
    <t>Accurate, low cost and instrumentation-free security audit logging for windows</t>
  </si>
  <si>
    <t>Ma S.; Lee K.H.; Kim C.H.; Rhee J.; Zhang X.; Xu D.</t>
  </si>
  <si>
    <t>10.1145/2818000.2818039</t>
  </si>
  <si>
    <t>https://www.scopus.com/inward/record.uri?eid=2-s2.0-84959323920&amp;doi=10.1145%2f2818000.2818039&amp;partnerID=40&amp;md5=8fda98522b64afe82f3bd8a9cb89d878</t>
  </si>
  <si>
    <t>Assessment of maturity levels in dealing with low probability high impact events</t>
  </si>
  <si>
    <t>Diakou C.M.; Kokkinaki A.</t>
  </si>
  <si>
    <t>Proceedings of the European Conference on IS Management and Evaluation, ECIME</t>
  </si>
  <si>
    <t>https://www.scopus.com/inward/record.uri?eid=2-s2.0-84994153825&amp;partnerID=40&amp;md5=513d6720ca359136c9a2ee2f41bf76d8</t>
  </si>
  <si>
    <t>Cit: Hypothesis testing software for mediation analysis in genomic applications</t>
  </si>
  <si>
    <t>Millstein J.; Chen G.K.; Breton C.V.</t>
  </si>
  <si>
    <t>10.1093/bioinformatics/btw135</t>
  </si>
  <si>
    <t>https://www.scopus.com/inward/record.uri?eid=2-s2.0-84991457654&amp;doi=10.1093%2fbioinformatics%2fbtw135&amp;partnerID=40&amp;md5=a3e9ca26e03fb4643d8e0dc00656888a</t>
  </si>
  <si>
    <t>Causality reasoning about network events for detecting stealthy malware activities</t>
  </si>
  <si>
    <t>Zhang H.; Yao D.; Ramakrishnan N.; Zhang Z.</t>
  </si>
  <si>
    <t>Computers and Security</t>
  </si>
  <si>
    <t>10.1016/j.cose.2016.01.002</t>
  </si>
  <si>
    <t>https://www.scopus.com/inward/record.uri?eid=2-s2.0-84957038910&amp;doi=10.1016%2fj.cose.2016.01.002&amp;partnerID=40&amp;md5=7c9f2b7da443d8976eacce7b86d7f805</t>
  </si>
  <si>
    <t>Estimating bounds on causal effects in high-dimensional and possibly confounded systems</t>
  </si>
  <si>
    <t>Malinsky D.; Spirtes P.</t>
  </si>
  <si>
    <t>International Journal of Approximate Reasoning</t>
  </si>
  <si>
    <t>10.1016/j.ijar.2017.06.005</t>
  </si>
  <si>
    <t>https://www.scopus.com/inward/record.uri?eid=2-s2.0-85021982451&amp;doi=10.1016%2fj.ijar.2017.06.005&amp;partnerID=40&amp;md5=5389cabecf49eeb00ca07fbba622c094</t>
  </si>
  <si>
    <t>Propagation of incremental changes to performance model due to SOA design pattern application</t>
  </si>
  <si>
    <t>Mani N.; Petriu D.C.; Woodside M.</t>
  </si>
  <si>
    <t>ICPE 2013 - Proceedings of the 2013 ACM/SPEC International Conference on Performance Engineering</t>
  </si>
  <si>
    <t>10.1145/2479871.2479887</t>
  </si>
  <si>
    <t>https://www.scopus.com/inward/record.uri?eid=2-s2.0-84878175405&amp;doi=10.1145%2f2479871.2479887&amp;partnerID=40&amp;md5=a57cfc15783278cb126b7226c47cb568</t>
  </si>
  <si>
    <t>Dependency analysis of cloud applications for performance monitoring using recurrent neural networks</t>
  </si>
  <si>
    <t>Shah S.Y.; Yuan Z.; Lu S.; Zerfos P.</t>
  </si>
  <si>
    <t>Proceedings - 2017 IEEE International Conference on Big Data, Big Data 2017</t>
  </si>
  <si>
    <t>10.1109/BigData.2017.8258087</t>
  </si>
  <si>
    <t>https://www.scopus.com/inward/record.uri?eid=2-s2.0-85062625691&amp;doi=10.1109%2fBigData.2017.8258087&amp;partnerID=40&amp;md5=daa60d266c0e25ab467c789e872268a6</t>
  </si>
  <si>
    <t>COCONUT: Seamless scale-out of network elements</t>
  </si>
  <si>
    <t>Ghorbani S.; Godfrey P.B.</t>
  </si>
  <si>
    <t>Proceedings of the 12th European Conference on Computer Systems, EuroSys 2017</t>
  </si>
  <si>
    <t>10.1145/3064176.3064201</t>
  </si>
  <si>
    <t>https://www.scopus.com/inward/record.uri?eid=2-s2.0-85019189612&amp;doi=10.1145%2f3064176.3064201&amp;partnerID=40&amp;md5=552530910fe88686187bd3aaf3377b83</t>
  </si>
  <si>
    <t>Transparent Speculative Parallelization of Discrete Event Simulation Applications Using Global Variables</t>
  </si>
  <si>
    <t>Pellegrini A.; Peluso S.; Quaglia F.; Vitali R.</t>
  </si>
  <si>
    <t>International Journal of Parallel Programming</t>
  </si>
  <si>
    <t>10.1007/s10766-016-0429-2</t>
  </si>
  <si>
    <t>https://www.scopus.com/inward/record.uri?eid=2-s2.0-84963721657&amp;doi=10.1007%2fs10766-016-0429-2&amp;partnerID=40&amp;md5=1fa49c288718c27fbf2bca11a9813b44</t>
  </si>
  <si>
    <t>Ardunio controlled landmine detection robot</t>
  </si>
  <si>
    <t>Abilash V.; Paul Chandra Kumar J.</t>
  </si>
  <si>
    <t>ICONSTEM 2017 - Proceedings: 3rd IEEE International Conference on Science Technology, Engineering and Management</t>
  </si>
  <si>
    <t>10.1109/ICONSTEM.2017.8261366</t>
  </si>
  <si>
    <t>https://www.scopus.com/inward/record.uri?eid=2-s2.0-85046420520&amp;doi=10.1109%2fICONSTEM.2017.8261366&amp;partnerID=40&amp;md5=43395cb9db929738746df57a12754f59</t>
  </si>
  <si>
    <t>BONSEYES: Platform for open development of systems of artificial intelligence</t>
  </si>
  <si>
    <t>Llewellynn T.; Milagro M.; Deniz O.; Fricker S.; Storkey A.; Pazos N.; Velikic G.; Leufgen K.; Dahyot R.; Koller S.; Goumas G.; Leitner P.; Dasika G.; Wang L.; Tutschku K.</t>
  </si>
  <si>
    <t>ACM International Conference on Computing Frontiers 2017, CF 2017</t>
  </si>
  <si>
    <t>10.1145/3075564.3076259</t>
  </si>
  <si>
    <t>https://www.scopus.com/inward/record.uri?eid=2-s2.0-85020497834&amp;doi=10.1145%2f3075564.3076259&amp;partnerID=40&amp;md5=ba1c871ef17675b90f49defbafbe53ae</t>
  </si>
  <si>
    <t>Fairness testing: Testing software for discrimination</t>
  </si>
  <si>
    <t>Galhotra S.; Brun Y.; Meliou A.</t>
  </si>
  <si>
    <t>Proceedings of the ACM SIGSOFT Symposium on the Foundations of Software Engineering</t>
  </si>
  <si>
    <t>10.1145/3106237.3106277</t>
  </si>
  <si>
    <t>https://www.scopus.com/inward/record.uri?eid=2-s2.0-85030786296&amp;doi=10.1145%2f3106237.3106277&amp;partnerID=40&amp;md5=4b693eaa77973f109ada574101e6fc6c</t>
  </si>
  <si>
    <t>Verifying MARTE/CCSL mode behaviors using UPPAAL</t>
  </si>
  <si>
    <t>Suryadevara J.; Seceleanu C.; Mallet F.; Pettersson P.</t>
  </si>
  <si>
    <t>10.1007/978-3-642-40561-7_1</t>
  </si>
  <si>
    <t>https://www.scopus.com/inward/record.uri?eid=2-s2.0-84885934061&amp;doi=10.1007%2f978-3-642-40561-7_1&amp;partnerID=40&amp;md5=aebf783d8dee9c513ede6fcb56439b45</t>
  </si>
  <si>
    <t>NUMFL: Localizing faults in numerical software using a value-based causal model</t>
  </si>
  <si>
    <t>2015 IEEE 8th International Conference on Software Testing, Verification and Validation, ICST 2015 - Proceedings</t>
  </si>
  <si>
    <t>10.1109/ICST.2015.7102597</t>
  </si>
  <si>
    <t>https://www.scopus.com/inward/record.uri?eid=2-s2.0-84935040089&amp;doi=10.1109%2fICST.2015.7102597&amp;partnerID=40&amp;md5=763c561d48f22b26dde1d30590d2d8f7</t>
  </si>
  <si>
    <t>GeneVetter: A web tool for quantitative monogenic assessment of rare diseases</t>
  </si>
  <si>
    <t>Gillies C.E.; Robertson C.C.; Sampson M.G.; Kang H.M.</t>
  </si>
  <si>
    <t>10.1093/bioinformatics/btv432</t>
  </si>
  <si>
    <t>https://www.scopus.com/inward/record.uri?eid=2-s2.0-84947711470&amp;doi=10.1093%2fbioinformatics%2fbtv432&amp;partnerID=40&amp;md5=3ac9928aa08f95172b92e962f0d4ddd8</t>
  </si>
  <si>
    <t>FALCON or how to compute measures time efficiently on dynamically evolving dense complex networks?</t>
  </si>
  <si>
    <t>Franke R.; Ivanova G.</t>
  </si>
  <si>
    <t>Journal of Biomedical Informatics</t>
  </si>
  <si>
    <t>10.1016/j.jbi.2013.09.005</t>
  </si>
  <si>
    <t>https://www.scopus.com/inward/record.uri?eid=2-s2.0-84895444735&amp;doi=10.1016%2fj.jbi.2013.09.005&amp;partnerID=40&amp;md5=8bcf9ae1abe98edd88b43fdb1cb38218</t>
  </si>
  <si>
    <t>How to address endogeneity in partial least squares path modeling</t>
  </si>
  <si>
    <t>Benitez J.; Henseler J.; Roldán J.L.</t>
  </si>
  <si>
    <t>AMCIS 2016: Surfing the IT Innovation Wave - 22nd Americas Conference on Information Systems</t>
  </si>
  <si>
    <t>https://www.scopus.com/inward/record.uri?eid=2-s2.0-84987678520&amp;partnerID=40&amp;md5=714f270ab862aa3a86147aeb23c87878</t>
  </si>
  <si>
    <t>GPredict: Generic predictive concurrency analysis</t>
  </si>
  <si>
    <t>Huang J.; Luo Q.; Rosu G.</t>
  </si>
  <si>
    <t>10.1109/ICSE.2015.96</t>
  </si>
  <si>
    <t>https://www.scopus.com/inward/record.uri?eid=2-s2.0-84951728761&amp;doi=10.1109%2fICSE.2015.96&amp;partnerID=40&amp;md5=f97827c7fe4444eeeeab644994e487c9</t>
  </si>
  <si>
    <t>Analysis of the correlation between class stability and maintainability</t>
  </si>
  <si>
    <t>Baqais A.; Amro M.; Alshayeb M.</t>
  </si>
  <si>
    <t>Proceedings - CSIT 2016: 2016 7th International Conference on Computer Science and Information Technology</t>
  </si>
  <si>
    <t>10.1109/CSIT.2016.7549472</t>
  </si>
  <si>
    <t>https://www.scopus.com/inward/record.uri?eid=2-s2.0-84987623975&amp;doi=10.1109%2fCSIT.2016.7549472&amp;partnerID=40&amp;md5=e7afb9ccc5b7fb5891eb4decb77e631a</t>
  </si>
  <si>
    <t>MeRP: A high-throughput pipeline for Mendelian randomization analysis</t>
  </si>
  <si>
    <t>Yin P.; Voight B.F.</t>
  </si>
  <si>
    <t>10.1093/bioinformatics/btu742</t>
  </si>
  <si>
    <t>https://www.scopus.com/inward/record.uri?eid=2-s2.0-84925263335&amp;doi=10.1093%2fbioinformatics%2fbtu742&amp;partnerID=40&amp;md5=100acd99d029476539b0569b233b3423</t>
  </si>
  <si>
    <t>Analysis of software contributions to military aviation and drone mishaps</t>
  </si>
  <si>
    <t>Foreman V.L.; Favaro F.M.; Saleh J.H.</t>
  </si>
  <si>
    <t>10.1109/RAMS.2014.6798450</t>
  </si>
  <si>
    <t>https://www.scopus.com/inward/record.uri?eid=2-s2.0-84900028250&amp;doi=10.1109%2fRAMS.2014.6798450&amp;partnerID=40&amp;md5=a909345f16e3dec8435a358414d4f114</t>
  </si>
  <si>
    <t>Best practices for conceptual modelling in environmental planning and management</t>
  </si>
  <si>
    <t>Argent R.M.; Sojda R.S.; Guipponi C.; McIntosh B.; Voinov A.A.; Maier H.R.</t>
  </si>
  <si>
    <t>Environmental Modelling and Software</t>
  </si>
  <si>
    <t>10.1016/j.envsoft.2016.02.023</t>
  </si>
  <si>
    <t>https://www.scopus.com/inward/record.uri?eid=2-s2.0-84959341722&amp;doi=10.1016%2fj.envsoft.2016.02.023&amp;partnerID=40&amp;md5=3e0d9bce8ab2a4da8b08a420f87fbb8f</t>
  </si>
  <si>
    <t>Approaches to real time ambisonic spatialization and sound diffusion using motion capture</t>
  </si>
  <si>
    <t>Aska A.; Ritter M.</t>
  </si>
  <si>
    <t>ICMC 2016 - 42nd International Computer Music Conference, Proceedings</t>
  </si>
  <si>
    <t>https://www.scopus.com/inward/record.uri?eid=2-s2.0-85003756281&amp;partnerID=40&amp;md5=4dd6881c69d1bc195b0fbf69ebc1c8a9</t>
  </si>
  <si>
    <t>Coal mine safety influence factors causality analysis and function relationship construction based on system dynamics</t>
  </si>
  <si>
    <t>Chen J.; Yang Y.; Cao Q.</t>
  </si>
  <si>
    <t>Taishan Academic Forum - Project on Mine Disaster Prevention and Control</t>
  </si>
  <si>
    <t>https://www.scopus.com/inward/record.uri?eid=2-s2.0-84927949099&amp;partnerID=40&amp;md5=5e98c4e5f3b67ad5b6ca8a68f3199858</t>
  </si>
  <si>
    <t>Arguing to solve food engineering problems</t>
  </si>
  <si>
    <t>Tammara R.A.L.; Cuba J.V.G.; Ramirez-Corona N.; Lopez-Malo A.; Palou E.</t>
  </si>
  <si>
    <t>ASEE Annual Conference and Exposition, Conference Proceedings</t>
  </si>
  <si>
    <t>https://www.scopus.com/inward/record.uri?eid=2-s2.0-84941995360&amp;partnerID=40&amp;md5=469798882853007f3e9346cdf9d8ca91</t>
  </si>
  <si>
    <t>An operational approach to happens-before memory model</t>
  </si>
  <si>
    <t>Zhang Y.; Feng X.</t>
  </si>
  <si>
    <t>Proceedings - 2013 International Symposium on Theoretical Aspects of Software Engineering, TASE 2013</t>
  </si>
  <si>
    <t>10.1109/TASE.2013.24</t>
  </si>
  <si>
    <t>https://www.scopus.com/inward/record.uri?eid=2-s2.0-84886420009&amp;doi=10.1109%2fTASE.2013.24&amp;partnerID=40&amp;md5=905480e42c95470cf34ffe149e8db046</t>
  </si>
  <si>
    <t>A supervised adverse drug reaction signalling framework imitating Bradford Hill's causality considerations</t>
  </si>
  <si>
    <t>Reps J.M.; Garibaldi J.M.; Aickelin U.; Gibson J.E.; Hubbard R.B.</t>
  </si>
  <si>
    <t>10.1016/j.jbi.2015.06.011</t>
  </si>
  <si>
    <t>https://www.scopus.com/inward/record.uri?eid=2-s2.0-84938571741&amp;doi=10.1016%2fj.jbi.2015.06.011&amp;partnerID=40&amp;md5=3066de518959ca15860f50680a6a1002</t>
  </si>
  <si>
    <t>Three-level-parallelization support framework for large-scale analytic simulation</t>
  </si>
  <si>
    <t>Yao Y.-P.; Meng D.; Zhu F.; Yan L.-B.; Qu Q.-J.; Lin Z.-W.; Ma H.-B.</t>
  </si>
  <si>
    <t>Journal of Simulation</t>
  </si>
  <si>
    <t>10.1057/s41273-017-0057-x</t>
  </si>
  <si>
    <t>https://www.scopus.com/inward/record.uri?eid=2-s2.0-85015935525&amp;doi=10.1057%2fs41273-017-0057-x&amp;partnerID=40&amp;md5=61928d92c622e2e1b977a63944abace1</t>
  </si>
  <si>
    <t>Causality problem in real-time calculus</t>
  </si>
  <si>
    <t>Altisen K.; Moy M.</t>
  </si>
  <si>
    <t>Formal Methods in System Design</t>
  </si>
  <si>
    <t>10.1007/s10703-016-0250-y</t>
  </si>
  <si>
    <t>https://www.scopus.com/inward/record.uri?eid=2-s2.0-84962648520&amp;doi=10.1007%2fs10703-016-0250-y&amp;partnerID=40&amp;md5=07817ac83c24fad69676f4fa8dc268e8</t>
  </si>
  <si>
    <t>Managing risk in secure system: Antecedents to requirement engineers' trust-assumption decisions</t>
  </si>
  <si>
    <t>Offor P.I.</t>
  </si>
  <si>
    <t>Proceedings - SocialCom/PASSAT/BigData/EconCom/BioMedCom 2013</t>
  </si>
  <si>
    <t>10.1109/SocialCom.2013.74</t>
  </si>
  <si>
    <t>https://www.scopus.com/inward/record.uri?eid=2-s2.0-84893557368&amp;doi=10.1109%2fSocialCom.2013.74&amp;partnerID=40&amp;md5=7186f338dabced7b2bcbe097802298e0</t>
  </si>
  <si>
    <t>A novel partitioning and tracing approach for distributed systems based on vector clocks</t>
  </si>
  <si>
    <t>Hoettger R.; Igel B.; Kamsties E.</t>
  </si>
  <si>
    <t>Proceedings of the 2013 IEEE 7th International Conference on Intelligent Data Acquisition and Advanced Computing Systems, IDAACS 2013</t>
  </si>
  <si>
    <t>10.1109/IDAACS.2013.6663010</t>
  </si>
  <si>
    <t>https://www.scopus.com/inward/record.uri?eid=2-s2.0-84892658053&amp;doi=10.1109%2fIDAACS.2013.6663010&amp;partnerID=40&amp;md5=b0b908a08d206329128c369225b06cdd</t>
  </si>
  <si>
    <t>Early concept development and safety analysis of future transportation systems</t>
  </si>
  <si>
    <t>IEEE Transactions on Intelligent Transportation Systems</t>
  </si>
  <si>
    <t>10.1109/TITS.2016.2561409</t>
  </si>
  <si>
    <t>https://www.scopus.com/inward/record.uri?eid=2-s2.0-84973926489&amp;doi=10.1109%2fTITS.2016.2561409&amp;partnerID=40&amp;md5=63c1ed63dae5a9f02e7d8d3777619c18</t>
  </si>
  <si>
    <t>Discovering many-to-one causality in software project risk analysis</t>
  </si>
  <si>
    <t>Chen W.; Su L.; Hao Z.; Zhang X.; Liu K.; Liu M.; Hu Y.</t>
  </si>
  <si>
    <t>Proceedings - 2014 9th International Conference on P2P, Parallel, Grid, Cloud and Internet Computing, 3PGCIC 2014</t>
  </si>
  <si>
    <t>10.1109/3PGCIC.2014.133</t>
  </si>
  <si>
    <t>https://www.scopus.com/inward/record.uri?eid=2-s2.0-84988258839&amp;doi=10.1109%2f3PGCIC.2014.133&amp;partnerID=40&amp;md5=d9cb6f1b4fee3bdb9ceb6a0dadcd72bd</t>
  </si>
  <si>
    <t>Mutation-based graph inference for fault localization</t>
  </si>
  <si>
    <t>Musco V.; Monperrus M.; Preux P.</t>
  </si>
  <si>
    <t>Proceedings - 2016 IEEE 16th International Working Conference on Source Code Analysis and Manipulation, SCAM 2016</t>
  </si>
  <si>
    <t>10.1109/SCAM.2016.24</t>
  </si>
  <si>
    <t>https://www.scopus.com/inward/record.uri?eid=2-s2.0-85010807499&amp;doi=10.1109%2fSCAM.2016.24&amp;partnerID=40&amp;md5=22f13c5d2fbc0e221bb8743c3ad3cd17</t>
  </si>
  <si>
    <t>The diversity of relationship between logistics and agricultural economy in the east China</t>
  </si>
  <si>
    <t>Peng J.; Wang S.; Yang L.</t>
  </si>
  <si>
    <t>10.4304/jsw.8.6.1503-1510</t>
  </si>
  <si>
    <t>https://www.scopus.com/inward/record.uri?eid=2-s2.0-84878701787&amp;doi=10.4304%2fjsw.8.6.1503-1510&amp;partnerID=40&amp;md5=fed259250492b64f01b5f2f32d240aa7</t>
  </si>
  <si>
    <t>An approach on detecting attack based on causality in network behavior</t>
  </si>
  <si>
    <t>Zhiwen W.; Qin X.; Ke L.; Jie Z.</t>
  </si>
  <si>
    <t>Proceedings - International Conference on Computer Science and Software Engineering, CSSE 2008</t>
  </si>
  <si>
    <t>10.1109/CSSE.2008.1003</t>
  </si>
  <si>
    <t>https://www.scopus.com/inward/record.uri?eid=2-s2.0-79951474157&amp;doi=10.1109%2fCSSE.2008.1003&amp;partnerID=40&amp;md5=91480d58f649f0321c8532831e24c574</t>
  </si>
  <si>
    <t>Developing a generalized modular modeling structure for dynamic engine simulation</t>
  </si>
  <si>
    <t>Ali M.; Moskwa J.J.</t>
  </si>
  <si>
    <t>10.4271/2002-01-0202</t>
  </si>
  <si>
    <t>https://www.scopus.com/inward/record.uri?eid=2-s2.0-85072479707&amp;doi=10.4271%2f2002-01-0202&amp;partnerID=40&amp;md5=24928a20172c30ab3ccbf26b2315ad06</t>
  </si>
  <si>
    <t>Optimal dual-rate digital redesign with closed-loop order reduction</t>
  </si>
  <si>
    <t>Rabbath C.A.; Lechevin N.; Hori N.</t>
  </si>
  <si>
    <t>IEE Proceedings: Control Theory and Applications</t>
  </si>
  <si>
    <t>10.1049/ip-cta:20045141</t>
  </si>
  <si>
    <t>https://www.scopus.com/inward/record.uri?eid=2-s2.0-25144454982&amp;doi=10.1049%2fip-cta%3a20045141&amp;partnerID=40&amp;md5=34047f7f1e975765bc9ab0e6758c849e</t>
  </si>
  <si>
    <t>Logics and Bisimulation Games for Concurrency, Causality and Conflict</t>
  </si>
  <si>
    <t>Gutierrez J.</t>
  </si>
  <si>
    <t>10.1007/978-3-642-00596-1_5</t>
  </si>
  <si>
    <t>https://www.scopus.com/inward/record.uri?eid=2-s2.0-70349872049&amp;doi=10.1007%2f978-3-642-00596-1_5&amp;partnerID=40&amp;md5=727ced69043ae84346275cb17321bf9a</t>
  </si>
  <si>
    <t>Requirements-driven adaptive security: Protecting variable assets at runtime</t>
  </si>
  <si>
    <t>Salehie M.; Pasquale L.; Omoronyia I.; Ali R.; Nuseibeh B.</t>
  </si>
  <si>
    <t>2012 20th IEEE International Requirements Engineering Conference, RE 2012 - Proceedings</t>
  </si>
  <si>
    <t>10.1109/RE.2012.6345794</t>
  </si>
  <si>
    <t>https://www.scopus.com/inward/record.uri?eid=2-s2.0-84870723455&amp;doi=10.1109%2fRE.2012.6345794&amp;partnerID=40&amp;md5=7f81fbc22750a0f7da836f07e4d8e3a7</t>
  </si>
  <si>
    <t>An approach for generating state machine designs from scenarios</t>
  </si>
  <si>
    <t>Mousavi A.; Far B.H.; Eberlein A.</t>
  </si>
  <si>
    <t>Proceedings of the 11th IASTED International Conference on Software Engineering and Applications, SEA 2007</t>
  </si>
  <si>
    <t>https://www.scopus.com/inward/record.uri?eid=2-s2.0-84959052135&amp;partnerID=40&amp;md5=618dcb191e9bcb6be36388dd45dcc4f4</t>
  </si>
  <si>
    <t>Parametric and sliced causality</t>
  </si>
  <si>
    <t>Chen F.; Roşu G.</t>
  </si>
  <si>
    <t>10.1007/978-3-540-73368-3_27</t>
  </si>
  <si>
    <t>https://www.scopus.com/inward/record.uri?eid=2-s2.0-38149019145&amp;doi=10.1007%2f978-3-540-73368-3_27&amp;partnerID=40&amp;md5=b5779ac0047fba73abdeba1d7452787c</t>
  </si>
  <si>
    <t>KANSEI robotics to open a new epoch of human-machine relationship - Machine with a heart</t>
  </si>
  <si>
    <t>Hashimoto S.</t>
  </si>
  <si>
    <t>Proceedings - IEEE International Workshop on Robot and Human Interactive Communication</t>
  </si>
  <si>
    <t>10.1109/ROMAN.2006.314385</t>
  </si>
  <si>
    <t>https://www.scopus.com/inward/record.uri?eid=2-s2.0-48349142936&amp;doi=10.1109%2fROMAN.2006.314385&amp;partnerID=40&amp;md5=8b974d329aae0575aff916f632e4c74e</t>
  </si>
  <si>
    <t>On presence, collective performance and assumptions of causality</t>
  </si>
  <si>
    <t>McGovern M.</t>
  </si>
  <si>
    <t>Advances in Intelligent and Soft Computing</t>
  </si>
  <si>
    <t>10.1007/978-3-642-25321-8_9</t>
  </si>
  <si>
    <t>https://www.scopus.com/inward/record.uri?eid=2-s2.0-84856332010&amp;doi=10.1007%2f978-3-642-25321-8_9&amp;partnerID=40&amp;md5=fed37879e44c4e6764270ad71483d972</t>
  </si>
  <si>
    <t>Program analysis for event-based distributed systems</t>
  </si>
  <si>
    <t>Jayaram K.R.; Eugster P.</t>
  </si>
  <si>
    <t>DEBS'11 - Proceedings of the 5th ACM International Conference on Distributed Event-Based Systems</t>
  </si>
  <si>
    <t>10.1145/2002259.2002278</t>
  </si>
  <si>
    <t>https://www.scopus.com/inward/record.uri?eid=2-s2.0-80051917340&amp;doi=10.1145%2f2002259.2002278&amp;partnerID=40&amp;md5=ebda1bfbe67af58db6c72a109ec507b6</t>
  </si>
  <si>
    <t>Brain-computer interface analysis of a dynamic visuo-motor task</t>
  </si>
  <si>
    <t>Logar V.; Belič A.</t>
  </si>
  <si>
    <t>Artificial Intelligence in Medicine</t>
  </si>
  <si>
    <t>10.1016/j.artmed.2010.10.004</t>
  </si>
  <si>
    <t>https://www.scopus.com/inward/record.uri?eid=2-s2.0-78650965550&amp;doi=10.1016%2fj.artmed.2010.10.004&amp;partnerID=40&amp;md5=68e5c2a1d9b0df7873dd7bfc0f648c7c</t>
  </si>
  <si>
    <t>Dynamic bayesian network for decision aided disassembly planning</t>
  </si>
  <si>
    <t>Duta L.; Douche S.A.</t>
  </si>
  <si>
    <t>Studies in Computational Intelligence</t>
  </si>
  <si>
    <t>10.1007/978-3-642-27449-7_11</t>
  </si>
  <si>
    <t>https://www.scopus.com/inward/record.uri?eid=2-s2.0-84859790443&amp;doi=10.1007%2f978-3-642-27449-7_11&amp;partnerID=40&amp;md5=398b01ce842b4424b4d40b128b048168</t>
  </si>
  <si>
    <t>Predicting maintainability expressed as change impact: A machine-learning-based approach</t>
  </si>
  <si>
    <t>Lounis H.; Abdi M.K.; Sahraoui H.</t>
  </si>
  <si>
    <t>Proceedings of the 21st International Conference on Software Engineering and Knowledge Engineering, SEKE 2009</t>
  </si>
  <si>
    <t>https://www.scopus.com/inward/record.uri?eid=2-s2.0-78149302889&amp;partnerID=40&amp;md5=a6bf4ccc8c7ec3e90c12fdc8d5125f61</t>
  </si>
  <si>
    <t>Process improvement based on causal networks</t>
  </si>
  <si>
    <t>Dumke R.; Richter K.; Georgieva K.; Asfoura E.</t>
  </si>
  <si>
    <t>8th ACIS International Conference on Software Engineering Research, Management and Applications, SERA 2010</t>
  </si>
  <si>
    <t>10.1109/SERA.2010.43</t>
  </si>
  <si>
    <t>https://www.scopus.com/inward/record.uri?eid=2-s2.0-77955336168&amp;doi=10.1109%2fSERA.2010.43&amp;partnerID=40&amp;md5=498922ba550e098611c6229114fc427a</t>
  </si>
  <si>
    <t>Application of a human error framework to conduct train accident/incident investigations</t>
  </si>
  <si>
    <t>Reinach S.; Viale A.</t>
  </si>
  <si>
    <t>Accident Analysis and Prevention</t>
  </si>
  <si>
    <t>10.1016/j.aap.2005.10.013</t>
  </si>
  <si>
    <t>https://www.scopus.com/inward/record.uri?eid=2-s2.0-31044436648&amp;doi=10.1016%2fj.aap.2005.10.013&amp;partnerID=40&amp;md5=4954f96ea8ce9c6ed4cf78d40fb41acf</t>
  </si>
  <si>
    <t>The lean optimization design of the performance evaluation index system of small and medium manufacturing in lean revolution</t>
  </si>
  <si>
    <t>Li J.; Zhang F.-X.; Qu Y.-J.</t>
  </si>
  <si>
    <t>International Asia Conference on Industrial Engineering and Management Innovation: Core Areas of Industrial Engineering, IEMI 2012 - Proceedings</t>
  </si>
  <si>
    <t>10.1007/978-3-642-38445-5_57</t>
  </si>
  <si>
    <t>https://www.scopus.com/inward/record.uri?eid=2-s2.0-84891807075&amp;doi=10.1007%2f978-3-642-38445-5_57&amp;partnerID=40&amp;md5=7cc32e8dc8f3fc80ed1a09f87fe369f9</t>
  </si>
  <si>
    <t>AutoSense: Unobtrusively wearable sensor suite for inferring the onset, causality, and consequences of stress in the field</t>
  </si>
  <si>
    <t>Ertin E.; Stohs N.; Kumar S.; Raij A.; Al'Absi M.; Shah S.; Mitra S.; Kwon T.; Jeong J.W.</t>
  </si>
  <si>
    <t>SenSys 2011 - Proceedings of the 9th ACM Conference on Embedded Networked Sensor Systems</t>
  </si>
  <si>
    <t>10.1145/2070942.2070970</t>
  </si>
  <si>
    <t>https://www.scopus.com/inward/record.uri?eid=2-s2.0-83455176188&amp;doi=10.1145%2f2070942.2070970&amp;partnerID=40&amp;md5=51eae59a13a4c52e6c2b6dd11bc2e01d</t>
  </si>
  <si>
    <t>Which came first, it or productivity? The virtuous cycle of investment and use in enterprise systems</t>
  </si>
  <si>
    <t>Aral S.; Brynjolfsson E.; Wu D.J.</t>
  </si>
  <si>
    <t>ICIS 2006 Proceedings - Twenty Seventh International Conference on Information Systems</t>
  </si>
  <si>
    <t>10.2139/ssrn.942291</t>
  </si>
  <si>
    <t>https://www.scopus.com/inward/record.uri?eid=2-s2.0-84870172717&amp;doi=10.2139%2fssrn.942291&amp;partnerID=40&amp;md5=e81a33ea766008ee5d02ea17f63a0de8</t>
  </si>
  <si>
    <t>Secure composition of untrusted code: Box π, wrappers, and causality types</t>
  </si>
  <si>
    <t>Sewell P.; Vitek J.</t>
  </si>
  <si>
    <t>Journal of Computer Security</t>
  </si>
  <si>
    <t>10.3233/JCS-2003-11202</t>
  </si>
  <si>
    <t>https://www.scopus.com/inward/record.uri?eid=2-s2.0-0037272061&amp;doi=10.3233%2fJCS-2003-11202&amp;partnerID=40&amp;md5=c1cd01f4038db819a4eecf53b592dec4</t>
  </si>
  <si>
    <t>Testing three-way complementarities: Performance pay, monitoring and information technology</t>
  </si>
  <si>
    <t>Aral S.; Brynjolfsson E.; Wu L.</t>
  </si>
  <si>
    <t>ICIS 2009 Proceedings - Thirtieth International Conference on Information Systems</t>
  </si>
  <si>
    <t>https://www.scopus.com/inward/record.uri?eid=2-s2.0-84870965139&amp;partnerID=40&amp;md5=bdc8f049dd2e3a787dc84e61c295b2fe</t>
  </si>
  <si>
    <t>Failure modes and effects analysis through knowledge modelling</t>
  </si>
  <si>
    <t>Teoh P.C.; Case K.</t>
  </si>
  <si>
    <t>Journal of Materials Processing Technology</t>
  </si>
  <si>
    <t>10.1016/j.jmatprotec.2004.04.298</t>
  </si>
  <si>
    <t>https://www.scopus.com/inward/record.uri?eid=2-s2.0-9444287010&amp;doi=10.1016%2fj.jmatprotec.2004.04.298&amp;partnerID=40&amp;md5=8c8a7462335f0ed61e98db63cb3a32a1</t>
  </si>
  <si>
    <t>An Analysis of the Composition of Synchronous Systems</t>
  </si>
  <si>
    <t>Jose B.A.; Xue B.; Shukla S.K.</t>
  </si>
  <si>
    <t>Electronic Notes in Theoretical Computer Science</t>
  </si>
  <si>
    <t>10.1016/j.entcs.2009.07.029</t>
  </si>
  <si>
    <t>https://www.scopus.com/inward/record.uri?eid=2-s2.0-67949122076&amp;doi=10.1016%2fj.entcs.2009.07.029&amp;partnerID=40&amp;md5=1603f0f297e64dec4ae3e84c3de9d1c4</t>
  </si>
  <si>
    <t>Logical causality analysis method for alert correlation</t>
  </si>
  <si>
    <t>Zhang D.; Li W.; Yang X.</t>
  </si>
  <si>
    <t>https://www.scopus.com/inward/record.uri?eid=2-s2.0-34547209651&amp;partnerID=40&amp;md5=8abd73a6928114b59358d0d9938c49e6</t>
  </si>
  <si>
    <t>Uncovering causal relationships between software metrics and bugs</t>
  </si>
  <si>
    <t>Couto C.; Silva C.; Valente M.T.; Bigonha R.; Anquetil N.</t>
  </si>
  <si>
    <t>Proceedings of the European Conference on Software Maintenance and Reengineering, CSMR</t>
  </si>
  <si>
    <t>10.1109/CSMR.2012.31</t>
  </si>
  <si>
    <t>https://www.scopus.com/inward/record.uri?eid=2-s2.0-84860521126&amp;doi=10.1109%2fCSMR.2012.31&amp;partnerID=40&amp;md5=d5699c7b686330e7b6da368694c23db9</t>
  </si>
  <si>
    <t>Toward human level machine intelligence - Is it achievable? the need for a paradigm shift</t>
  </si>
  <si>
    <t>Zadeh L.A.</t>
  </si>
  <si>
    <t>IEEE Computational Intelligence Magazine</t>
  </si>
  <si>
    <t>10.1109/MCI.2008.926583</t>
  </si>
  <si>
    <t>https://www.scopus.com/inward/record.uri?eid=2-s2.0-47849085268&amp;doi=10.1109%2fMCI.2008.926583&amp;partnerID=40&amp;md5=8c3df28c79bb855f4139de417bd7d99a</t>
  </si>
  <si>
    <t>Causal reasoning for human supervised process reconfiguration</t>
  </si>
  <si>
    <t>Garcia-Beltran C.; Gentil S.</t>
  </si>
  <si>
    <t>IEEE International Symposium on Intelligent Control - Proceedings</t>
  </si>
  <si>
    <t>https://www.scopus.com/inward/record.uri?eid=2-s2.0-0035684273&amp;partnerID=40&amp;md5=d9d9d44393e7597297a129e4b58e4b6f</t>
  </si>
  <si>
    <t>Software metrics: Roadmap</t>
  </si>
  <si>
    <t>Fenton N.E.; Neil M.</t>
  </si>
  <si>
    <t>Proceedings of the Conference on the Future of Software Engineering, ICSE 2000</t>
  </si>
  <si>
    <t>10.1145/336512.336588</t>
  </si>
  <si>
    <t>https://www.scopus.com/inward/record.uri?eid=2-s2.0-85005986521&amp;doi=10.1145%2f336512.336588&amp;partnerID=40&amp;md5=e64e27ee039db6e6cf9f5c5d76df5ada</t>
  </si>
  <si>
    <t>Interaction tree algorithms to extract effective architecture and layered performance models from traces</t>
  </si>
  <si>
    <t>Israr T.; Woodside M.; Franks G.</t>
  </si>
  <si>
    <t>10.1016/j.jss.2006.07.019</t>
  </si>
  <si>
    <t>https://www.scopus.com/inward/record.uri?eid=2-s2.0-33847312642&amp;doi=10.1016%2fj.jss.2006.07.019&amp;partnerID=40&amp;md5=99b0799e9952c5022c4da9eb323e3b7f</t>
  </si>
  <si>
    <t>The Java memory model</t>
  </si>
  <si>
    <t>Manson J.; Pugh W.; Adve S.V.</t>
  </si>
  <si>
    <t>Conference Record of the Annual ACM Symposium on Principles of Programming Languages</t>
  </si>
  <si>
    <t>10.1145/1040305.1040336</t>
  </si>
  <si>
    <t>https://www.scopus.com/inward/record.uri?eid=2-s2.0-29144516746&amp;doi=10.1145%2f1040305.1040336&amp;partnerID=40&amp;md5=486dee1b87d751058e9b413cfe59ba65</t>
  </si>
  <si>
    <t>Estimation of image quality with driving schemes/liquid crystal simulations for microdisplay device from the projection system viewpoint</t>
  </si>
  <si>
    <t>Shyu J.-J.; Hsu C.-C.; Ou C.R.; Ho K.-J.; Chung S.C.</t>
  </si>
  <si>
    <t>Proceedings of SPIE - The International Society for Optical Engineering</t>
  </si>
  <si>
    <t>10.1117/12.469824</t>
  </si>
  <si>
    <t>https://www.scopus.com/inward/record.uri?eid=2-s2.0-0036030698&amp;doi=10.1117%2f12.469824&amp;partnerID=40&amp;md5=00c791a0e158c56b81118b02cb6e7823</t>
  </si>
  <si>
    <t>Demand-driven weak clock synchronization for distributed applications</t>
  </si>
  <si>
    <t>Limei X.</t>
  </si>
  <si>
    <t>10.1109/CSSE.2008.593</t>
  </si>
  <si>
    <t>https://www.scopus.com/inward/record.uri?eid=2-s2.0-79951548211&amp;doi=10.1109%2fCSSE.2008.593&amp;partnerID=40&amp;md5=67a526233ce253f198455809a691126a</t>
  </si>
  <si>
    <t>Evaluation of a perspective based review method applied in an industrial setting</t>
  </si>
  <si>
    <t>Berling T.; Runeson P.</t>
  </si>
  <si>
    <t>IEE Proceedings: Software</t>
  </si>
  <si>
    <t>10.1049/ip-sen:20030483</t>
  </si>
  <si>
    <t>https://www.scopus.com/inward/record.uri?eid=2-s2.0-0038721370&amp;doi=10.1049%2fip-sen%3a20030483&amp;partnerID=40&amp;md5=a30f70c6c9e844f127099281d692ded8</t>
  </si>
  <si>
    <t>Performance debugging for distributed systems of black boxes</t>
  </si>
  <si>
    <t>Aguilera M.K.; Mogul J.C.; Wiener J.L.; Reynolds P.; Muthitacharoen A.</t>
  </si>
  <si>
    <t>Operating Systems Review (ACM)</t>
  </si>
  <si>
    <t>10.1145/1165389.945454</t>
  </si>
  <si>
    <t>https://www.scopus.com/inward/record.uri?eid=2-s2.0-21644455102&amp;doi=10.1145%2f1165389.945454&amp;partnerID=40&amp;md5=9a7223cf79a47615134a0af8d3fd0d90</t>
  </si>
  <si>
    <t>Verification of causality requirements in Java memory model is undecidable</t>
  </si>
  <si>
    <t>Botinčan M.; Glavan P.; Runje D.</t>
  </si>
  <si>
    <t>10.1007/978-3-642-14403-5_7</t>
  </si>
  <si>
    <t>https://www.scopus.com/inward/record.uri?eid=2-s2.0-77955121845&amp;doi=10.1007%2f978-3-642-14403-5_7&amp;partnerID=40&amp;md5=ef911a5d51c57181ac7ab5091cf84a86</t>
  </si>
  <si>
    <t>What will affect software reuse: A causal model analysis</t>
  </si>
  <si>
    <t>Li G.; Dai H.</t>
  </si>
  <si>
    <t>International Journal of Software Engineering and Knowledge Engineering</t>
  </si>
  <si>
    <t>10.1142/S021819400400166X</t>
  </si>
  <si>
    <t>https://www.scopus.com/inward/record.uri?eid=2-s2.0-4043111406&amp;doi=10.1142%2fS021819400400166X&amp;partnerID=40&amp;md5=865f7e023a3377508dc2fba523677328</t>
  </si>
  <si>
    <t>Automated debugging: Are we close?</t>
  </si>
  <si>
    <t>Zeller A.</t>
  </si>
  <si>
    <t>Computer</t>
  </si>
  <si>
    <t>10.1109/2.963440</t>
  </si>
  <si>
    <t>https://www.scopus.com/inward/record.uri?eid=2-s2.0-0035500227&amp;doi=10.1109%2f2.963440&amp;partnerID=40&amp;md5=b25435cf6cdbaf49015f0771b056fcfa</t>
  </si>
  <si>
    <t>CmUML - A UML based framework for formal specification of concurrent, reactive systems</t>
  </si>
  <si>
    <t>Suryadevara J.; Chung L.; Shyamasundar R.K.</t>
  </si>
  <si>
    <t>Journal of Object Technology</t>
  </si>
  <si>
    <t>10.5381/jot.2008.7.8.a7</t>
  </si>
  <si>
    <t>https://www.scopus.com/inward/record.uri?eid=2-s2.0-57549116901&amp;doi=10.5381%2fjot.2008.7.8.a7&amp;partnerID=40&amp;md5=2d391081536b7b84ec3c8054e75bffd0</t>
  </si>
  <si>
    <t>Software behavior and failure clustering: An empirical study of fault causality</t>
  </si>
  <si>
    <t>DiGiuseppe N.; Jones J.A.</t>
  </si>
  <si>
    <t>Proceedings - IEEE 5th International Conference on Software Testing, Verification and Validation, ICST 2012</t>
  </si>
  <si>
    <t>10.1109/ICST.2012.99</t>
  </si>
  <si>
    <t>https://www.scopus.com/inward/record.uri?eid=2-s2.0-84862310712&amp;doi=10.1109%2fICST.2012.99&amp;partnerID=40&amp;md5=f0a4df88864bdefaf76dde8063f1afab</t>
  </si>
  <si>
    <t>HLA-ACTOR-REPAST: An approach to distributing RePast models for high-performance simulations</t>
  </si>
  <si>
    <t>Cicirelli F.; Furfaro A.; Giordano A.; Nigro L.</t>
  </si>
  <si>
    <t>10.1016/j.simpat.2010.06.013</t>
  </si>
  <si>
    <t>https://www.scopus.com/inward/record.uri?eid=2-s2.0-78049402221&amp;doi=10.1016%2fj.simpat.2010.06.013&amp;partnerID=40&amp;md5=5e3c2f8e17327ff04f7ca7ab3be7fcc9</t>
  </si>
  <si>
    <t>The good, the bad, and the ugly: Stepping on the security scale</t>
  </si>
  <si>
    <t>Davidson M.A.</t>
  </si>
  <si>
    <t>Proceedings - Annual Computer Security Applications Conference, ACSAC</t>
  </si>
  <si>
    <t>10.1109/ACSAC.2009.59</t>
  </si>
  <si>
    <t>https://www.scopus.com/inward/record.uri?eid=2-s2.0-77950790352&amp;doi=10.1109%2fACSAC.2009.59&amp;partnerID=40&amp;md5=f2d7068f9734f122fc737ac7096c8cae</t>
  </si>
  <si>
    <t>The relation of the arable and construction land based on granger test in Xi'an City</t>
  </si>
  <si>
    <t>Lu-Hong Z.</t>
  </si>
  <si>
    <t>Proceedings - 4th International Conference on Intelligent Computation Technology and Automation, ICICTA 2011</t>
  </si>
  <si>
    <t>10.1109/ICICTA.2011.481</t>
  </si>
  <si>
    <t>https://www.scopus.com/inward/record.uri?eid=2-s2.0-79956024234&amp;doi=10.1109%2fICICTA.2011.481&amp;partnerID=40&amp;md5=f24e318d127748e3a1f315b305197a96</t>
  </si>
  <si>
    <t>DRACA: Decision support for root cause analysis and change impact analysis for CMDBs</t>
  </si>
  <si>
    <t>Nadi S.; Holt R.; Davis I.; Mankovskii S.</t>
  </si>
  <si>
    <t>Proceedings of the 2009 Conference of the Center for Advanced Studies on Collaborative Research, CASCON '09</t>
  </si>
  <si>
    <t>10.1145/1723028.1723030</t>
  </si>
  <si>
    <t>https://www.scopus.com/inward/record.uri?eid=2-s2.0-77951595680&amp;doi=10.1145%2f1723028.1723030&amp;partnerID=40&amp;md5=b57b6980f52187ab25653c55f0ffdda7</t>
  </si>
  <si>
    <t>WHYNET: A framework for in-situ evaluation of heterogeneous mobile wireless systems</t>
  </si>
  <si>
    <t>Varshney M.; Xu Z.; Mohan S.; Yang Y.; Xu D.; Bagrodia R.</t>
  </si>
  <si>
    <t>Proceedings of the 2nd ACM International Workshop on Wireless Network Testbeds, Experimental Evaluation and Characterization, WiNTECH '07, Co-located with the ACM MobiCom 2007 Conference</t>
  </si>
  <si>
    <t>https://www.scopus.com/inward/record.uri?eid=2-s2.0-50849126151&amp;partnerID=40&amp;md5=65e2edd96fd55cb84cf30171a923ccf5</t>
  </si>
  <si>
    <t>Solving performance issues in COTS-based systems</t>
  </si>
  <si>
    <t>Putrycz E.; Slavescu M.</t>
  </si>
  <si>
    <t>Proceedings - Fifth International Conference on Commercial-off-the-Shelf (COTS)-Based Software Systems</t>
  </si>
  <si>
    <t>10.1109/ICCBSS.2006.27</t>
  </si>
  <si>
    <t>https://www.scopus.com/inward/record.uri?eid=2-s2.0-33749397465&amp;doi=10.1109%2fICCBSS.2006.27&amp;partnerID=40&amp;md5=5dbbe546954ee87972c5f3a16ef57204</t>
  </si>
  <si>
    <t>Performance evaluation of concurrently executing parallel applications on multi-processor systems</t>
  </si>
  <si>
    <t>Shabbir A.; Kumar A.; Mesman B.; Corporaal H.</t>
  </si>
  <si>
    <t>Proceedings - 2009 International Conference on Embedded Computer Systems: Architectures, Modeling and Simulation, IC-SAMOS 2009</t>
  </si>
  <si>
    <t>10.1109/ICSAMOS.2009.5289220</t>
  </si>
  <si>
    <t>https://www.scopus.com/inward/record.uri?eid=2-s2.0-71949104704&amp;doi=10.1109%2fICSAMOS.2009.5289220&amp;partnerID=40&amp;md5=512462f3d592b7d7b8f1311fe8247f78</t>
  </si>
  <si>
    <t>Agent communication in distributed simulations</t>
  </si>
  <si>
    <t>Wang F.; Turner S.J.; Wang L.</t>
  </si>
  <si>
    <t>10.1007/978-3-540-32243-6_2</t>
  </si>
  <si>
    <t>https://www.scopus.com/inward/record.uri?eid=2-s2.0-26844529786&amp;doi=10.1007%2f978-3-540-32243-6_2&amp;partnerID=40&amp;md5=5192ecae6f4fed9bef38218c7b6ef493</t>
  </si>
  <si>
    <t>Accident models and organisational factors in air transport: The need for multi-method models</t>
  </si>
  <si>
    <t>Roelen A.L.C.; Lin P.H.; Hale A.R.</t>
  </si>
  <si>
    <t>10.1016/j.ssci.2010.01.022</t>
  </si>
  <si>
    <t>https://www.scopus.com/inward/record.uri?eid=2-s2.0-77957019147&amp;doi=10.1016%2fj.ssci.2010.01.022&amp;partnerID=40&amp;md5=a88a9c89424fd311f64099889e147312</t>
  </si>
  <si>
    <t>Use of crash surrogates and exceedance statistics to estimate road safety</t>
  </si>
  <si>
    <t>Tarko A.P.</t>
  </si>
  <si>
    <t>10.1016/j.aap.2011.07.008</t>
  </si>
  <si>
    <t>https://www.scopus.com/inward/record.uri?eid=2-s2.0-84856108231&amp;doi=10.1016%2fj.aap.2011.07.008&amp;partnerID=40&amp;md5=f89e770146467a9591cf8e87ed9757c4</t>
  </si>
  <si>
    <t>Predicting change impact in object-oriented applications with bayesian networks</t>
  </si>
  <si>
    <t>Abdi M.K.; Lounis H.; Sahraoui H.</t>
  </si>
  <si>
    <t>Proceedings - International Computer Software and Applications Conference</t>
  </si>
  <si>
    <t>10.1109/COMPSAC.2009.38</t>
  </si>
  <si>
    <t>https://www.scopus.com/inward/record.uri?eid=2-s2.0-70449637974&amp;doi=10.1109%2fCOMPSAC.2009.38&amp;partnerID=40&amp;md5=1cc9722fda700517abcd7d947b42d3b8</t>
  </si>
  <si>
    <t>Causal inference for statistical fault localization</t>
  </si>
  <si>
    <t>Baah G.K.; Podgurski A.; Harrold M.J.</t>
  </si>
  <si>
    <t>ISSTA'10 - Proceedings of the 2010 International Symposium on Software Testing and Analysis</t>
  </si>
  <si>
    <t>10.1145/1831708.1831717</t>
  </si>
  <si>
    <t>https://www.scopus.com/inward/record.uri?eid=2-s2.0-77955876106&amp;doi=10.1145%2f1831708.1831717&amp;partnerID=40&amp;md5=73d688c99d4e50108b43d5160ffdbf29</t>
  </si>
  <si>
    <t>BBN construction for software process tailoring</t>
  </si>
  <si>
    <t>Tseng W.-H.; Fan C.-F.</t>
  </si>
  <si>
    <t>IEICE Transactions on Information and Systems</t>
  </si>
  <si>
    <t>10.1093/ietisy/e90-d.3.648</t>
  </si>
  <si>
    <t>https://www.scopus.com/inward/record.uri?eid=2-s2.0-33947123699&amp;doi=10.1093%2fietisy%2fe90-d.3.648&amp;partnerID=40&amp;md5=184881b512d36fbab5b28aac91b6845b</t>
  </si>
  <si>
    <t>The java memory model</t>
  </si>
  <si>
    <t>10.1145/1047659.1040336</t>
  </si>
  <si>
    <t>https://www.scopus.com/inward/record.uri?eid=2-s2.0-17044378871&amp;doi=10.1145%2f1047659.1040336&amp;partnerID=40&amp;md5=ad28023bb6aed3d73043959745b4dbac</t>
  </si>
  <si>
    <t>Implementation of tree and butterfly barriers with optimistic time management algorithms for discrete event simulation</t>
  </si>
  <si>
    <t>Rizvi S.S.; Shah D.; Riasat A.</t>
  </si>
  <si>
    <t>Advanced Techniques in Computing Sciences and Software Engineering</t>
  </si>
  <si>
    <t>10.1007/978-90-481-3660-5_78</t>
  </si>
  <si>
    <t>https://www.scopus.com/inward/record.uri?eid=2-s2.0-84876498508&amp;doi=10.1007%2f978-90-481-3660-5_78&amp;partnerID=40&amp;md5=99e8c711b47eb4a7db9c48f9da7bd1fd</t>
  </si>
  <si>
    <t>Software reliability qualitative evaluation method based on Bayesian networks</t>
  </si>
  <si>
    <t>Li Q.-Y.; Jiang M.-C.; Li H.-F.; Lv M.-Y.</t>
  </si>
  <si>
    <t>ICETC 2010 - 2010 2nd International Conference on Education Technology and Computer</t>
  </si>
  <si>
    <t>10.1109/ICETC.2010.5529643</t>
  </si>
  <si>
    <t>https://www.scopus.com/inward/record.uri?eid=2-s2.0-77956082341&amp;doi=10.1109%2fICETC.2010.5529643&amp;partnerID=40&amp;md5=5751d8b0b11ab78129777ebc29eb0f55</t>
  </si>
  <si>
    <t>A causal model for information security risk assessment</t>
  </si>
  <si>
    <t>Kondakci S.</t>
  </si>
  <si>
    <t>2010 6th International Conference on Information Assurance and Security, IAS 2010</t>
  </si>
  <si>
    <t>10.1109/ISIAS.2010.5604039</t>
  </si>
  <si>
    <t>https://www.scopus.com/inward/record.uri?eid=2-s2.0-78349282314&amp;doi=10.1109%2fISIAS.2010.5604039&amp;partnerID=40&amp;md5=82131fb7b133811b29cb562883cab0c9</t>
  </si>
  <si>
    <t>Construction and analysis of purchase factor model by using creativity method</t>
  </si>
  <si>
    <t>Kitami K.; Saga R.; Matsumoto K.</t>
  </si>
  <si>
    <t>Proceedings of the 16th International Symposium on Artificial Life and Robotics, AROB 16th'11</t>
  </si>
  <si>
    <t>https://www.scopus.com/inward/record.uri?eid=2-s2.0-84866719944&amp;partnerID=40&amp;md5=9175123abe185632eddb7abb974914c5</t>
  </si>
  <si>
    <t>Correctness analysis of Petri Net based logic controllers</t>
  </si>
  <si>
    <t>Frey Georg; Litz Lothar</t>
  </si>
  <si>
    <t>Proceedings of the American Control Conference</t>
  </si>
  <si>
    <t>10.1109/acc.2000.879148</t>
  </si>
  <si>
    <t>https://www.scopus.com/inward/record.uri?eid=2-s2.0-0034540445&amp;doi=10.1109%2facc.2000.879148&amp;partnerID=40&amp;md5=711627360a207086ba05bd6c48be4e23</t>
  </si>
  <si>
    <t>Analysis of correlation between capital stock and energy intensity: A case of China</t>
  </si>
  <si>
    <t>Xu X.; Yuan X.</t>
  </si>
  <si>
    <t>International Review on Computers and Software</t>
  </si>
  <si>
    <t>https://www.scopus.com/inward/record.uri?eid=2-s2.0-84864367133&amp;partnerID=40&amp;md5=5756ea38acdcf7ae08b04bf5690a0d7c</t>
  </si>
  <si>
    <t>CAPIS model based software design method for sharing experts' thought processes</t>
  </si>
  <si>
    <t>Oyama K.; Takeuchi A.; Fujimoto H.</t>
  </si>
  <si>
    <t>10.1109/COMPSAC.2006.34</t>
  </si>
  <si>
    <t>https://www.scopus.com/inward/record.uri?eid=2-s2.0-34247472665&amp;doi=10.1109%2fCOMPSAC.2006.34&amp;partnerID=40&amp;md5=b68b51442227221ed535f438a1c5b8d6</t>
  </si>
  <si>
    <t>A systematic representation of path constraints for implicit path enumeration technique</t>
  </si>
  <si>
    <t>Kim T.H.; Bang H.J.; Cha S.D.</t>
  </si>
  <si>
    <t>10.1002/stvr.406</t>
  </si>
  <si>
    <t>https://www.scopus.com/inward/record.uri?eid=2-s2.0-77449086518&amp;doi=10.1002%2fstvr.406&amp;partnerID=40&amp;md5=6c18af408c5516b1bc0e3746fb76f4aa</t>
  </si>
  <si>
    <t>Software supports for preemptive rollback in optimistic parallel simulation on Myrinet clusters</t>
  </si>
  <si>
    <t>Quaglia F.; Santoro A.</t>
  </si>
  <si>
    <t>10.1109/ISCC.2002.1021738</t>
  </si>
  <si>
    <t>https://www.scopus.com/inward/record.uri?eid=2-s2.0-84883866718&amp;doi=10.1109%2fISCC.2002.1021738&amp;partnerID=40&amp;md5=9fe00ea48646c38cdc2a04a25bcd0500</t>
  </si>
  <si>
    <t>WHYNET: A framework for In-Situ evaluation of heterogeneous mobile wireless systems</t>
  </si>
  <si>
    <t>International Conference on Mobile Computing and Networking, MobiCom'07 Co-Located Workshops -Proceedings of the the Second ACM International Workshop on Wireless Network Testbeds, Experimental Evalua</t>
  </si>
  <si>
    <t>10.1145/1287767.1287775</t>
  </si>
  <si>
    <t>https://www.scopus.com/inward/record.uri?eid=2-s2.0-37849039298&amp;doi=10.1145%2f1287767.1287775&amp;partnerID=40&amp;md5=c7b0b73b581144f758de330aac510ebf</t>
  </si>
  <si>
    <t>Reducing confounding bias in predicate-level statistical debugging metrics</t>
  </si>
  <si>
    <t>Gore R.; Reynolds P.F., Jr.</t>
  </si>
  <si>
    <t>10.1109/ICSE.2012.6227169</t>
  </si>
  <si>
    <t>https://www.scopus.com/inward/record.uri?eid=2-s2.0-84864213697&amp;doi=10.1109%2fICSE.2012.6227169&amp;partnerID=40&amp;md5=148c44cbdd1a9b02581b632899ac7dfa</t>
  </si>
  <si>
    <t>Multiparty asynchronous session types</t>
  </si>
  <si>
    <t>Honda K.; Yoshida N.; Carbone M.</t>
  </si>
  <si>
    <t>10.1145/1328897.1328472</t>
  </si>
  <si>
    <t>https://www.scopus.com/inward/record.uri?eid=2-s2.0-67650133223&amp;doi=10.1145%2f1328897.1328472&amp;partnerID=40&amp;md5=1ba59f14e86e76ca22b8a21207c3be4b</t>
  </si>
  <si>
    <t>Monitoring and characterization of component-based systems with global causality capture</t>
  </si>
  <si>
    <t>Li J.</t>
  </si>
  <si>
    <t>Proceedings - International Conference on Distributed Computing Systems</t>
  </si>
  <si>
    <t>https://www.scopus.com/inward/record.uri?eid=2-s2.0-0037968016&amp;partnerID=40&amp;md5=5f088968d1736ce3003dd00186c1b3b9</t>
  </si>
  <si>
    <t>Adaptguard: Guarding adaptive systems from instability</t>
  </si>
  <si>
    <t>Heo J.; Abdelzaher T.</t>
  </si>
  <si>
    <t>Proceedings of the 6th International Conference on Autonomic Computing, ICAC'09</t>
  </si>
  <si>
    <t>10.1145/1555228.1555256</t>
  </si>
  <si>
    <t>https://www.scopus.com/inward/record.uri?eid=2-s2.0-70049099382&amp;doi=10.1145%2f1555228.1555256&amp;partnerID=40&amp;md5=3da991b31783faeb17bea78154fbc6db</t>
  </si>
  <si>
    <t>POSE: Getting over grainsize in parallel discrete event simulation</t>
  </si>
  <si>
    <t>Wilmarth T.L.; Kalé L.V.</t>
  </si>
  <si>
    <t>Proceedings of the International Conference on Parallel Processing</t>
  </si>
  <si>
    <t>10.1109/icpp.2004.1327899</t>
  </si>
  <si>
    <t>https://www.scopus.com/inward/record.uri?eid=2-s2.0-10044260983&amp;doi=10.1109%2ficpp.2004.1327899&amp;partnerID=40&amp;md5=ca35c89e7598a0930277cd665e31657c</t>
  </si>
  <si>
    <t>A novel structural modeling and analysis of VLSI interconnect with an RLC tree network system using a BG/SEBD approach</t>
  </si>
  <si>
    <t>Chang R.F.; Kao W.S.; Chang C.W.; Tseng K.H.; Huang S.Y.</t>
  </si>
  <si>
    <t>Science China Information Sciences</t>
  </si>
  <si>
    <t>10.1007/s11432-011-4287-7</t>
  </si>
  <si>
    <t>https://www.scopus.com/inward/record.uri?eid=2-s2.0-79961027572&amp;doi=10.1007%2fs11432-011-4287-7&amp;partnerID=40&amp;md5=406d5e2e0cfb8b42dfb85930b3b2b63e</t>
  </si>
  <si>
    <t>Epidemiological geomatics in evaluation of mine risk education in Afghanistan: Introducing population weighted raster maps</t>
  </si>
  <si>
    <t>Andersson N.; Mitchell S.</t>
  </si>
  <si>
    <t>International Journal of Health Geographics</t>
  </si>
  <si>
    <t>10.1186/1476-072X-5-1</t>
  </si>
  <si>
    <t>https://www.scopus.com/inward/record.uri?eid=2-s2.0-30544442072&amp;doi=10.1186%2f1476-072X-5-1&amp;partnerID=40&amp;md5=3e99c36b9aa44f1138b226c89695df6f</t>
  </si>
  <si>
    <t>Survey and analysis of determinism in network communications in embedded computer systems of aerospace vehicles</t>
  </si>
  <si>
    <t>Penna S.D.; De Oliveira M.L.E.S.</t>
  </si>
  <si>
    <t>10.4271/2008-36-0282</t>
  </si>
  <si>
    <t>https://www.scopus.com/inward/record.uri?eid=2-s2.0-85072462511&amp;doi=10.4271%2f2008-36-0282&amp;partnerID=40&amp;md5=db7aa5410bbb1d80526229de8df619b0</t>
  </si>
  <si>
    <t>10.1145/1328438.1328472</t>
  </si>
  <si>
    <t>https://www.scopus.com/inward/record.uri?eid=2-s2.0-84865647368&amp;doi=10.1145%2f1328438.1328472&amp;partnerID=40&amp;md5=7589965a37b634c8de89d1bba00b27d8</t>
  </si>
  <si>
    <t>Causing communication closure: Safe program composition with non-FIFO channels</t>
  </si>
  <si>
    <t>Engelhardt K.; Moses Y.</t>
  </si>
  <si>
    <t>10.1007/11561927_18</t>
  </si>
  <si>
    <t>https://www.scopus.com/inward/record.uri?eid=2-s2.0-33646423270&amp;doi=10.1007%2f11561927_18&amp;partnerID=40&amp;md5=5c5823fb3ee53eb4200d6da36e4b6809</t>
  </si>
  <si>
    <t>Ontology-based reliability evaluation for Web service</t>
  </si>
  <si>
    <t>Wang X.; Li B.; Liao L.; Xie C.</t>
  </si>
  <si>
    <t>10.1109/COMPSAC.2011.125</t>
  </si>
  <si>
    <t>https://www.scopus.com/inward/record.uri?eid=2-s2.0-80054985900&amp;doi=10.1109%2fCOMPSAC.2011.125&amp;partnerID=40&amp;md5=bbcefe9535f147d8544996e811ad39e8</t>
  </si>
  <si>
    <t>Static scheduling of multidomain circuits for fast functional verification</t>
  </si>
  <si>
    <t>Kudlugi M.; Tessier R.</t>
  </si>
  <si>
    <t>10.1109/TCAD.2002.804086</t>
  </si>
  <si>
    <t>https://www.scopus.com/inward/record.uri?eid=2-s2.0-0036864856&amp;doi=10.1109%2fTCAD.2002.804086&amp;partnerID=40&amp;md5=4a8cb7cfbc4103e5d6e99fb688046448</t>
  </si>
  <si>
    <t>Architecture of malware tracker visualization for malware analysis</t>
  </si>
  <si>
    <t>Yee C.L.; Ismail M.; Zainal N.; Chuan L.L.</t>
  </si>
  <si>
    <t>Journal of Theoretical and Applied Information Technology</t>
  </si>
  <si>
    <t>https://www.scopus.com/inward/record.uri?eid=2-s2.0-84878974336&amp;partnerID=40&amp;md5=96d9b7ccccc6b58b2020ca8698196546</t>
  </si>
  <si>
    <t>Tracking causality by visualization of multi-agent interactions using causality graphs</t>
  </si>
  <si>
    <t>Vigueras G.; Botia J.A.</t>
  </si>
  <si>
    <t>10.1007/978-3-540-79043-3_12</t>
  </si>
  <si>
    <t>https://www.scopus.com/inward/record.uri?eid=2-s2.0-43949123264&amp;doi=10.1007%2f978-3-540-79043-3_12&amp;partnerID=40&amp;md5=bc1d11cd92a2a9ed89a6f568940ffa16</t>
  </si>
  <si>
    <t>AutoBash: Improving configuration management with operating system causality analysis</t>
  </si>
  <si>
    <t>Su Y.-Y.; Attariyan M.; Flinn J.</t>
  </si>
  <si>
    <t>10.1145/1294261.1294284</t>
  </si>
  <si>
    <t>https://www.scopus.com/inward/record.uri?eid=2-s2.0-41149116573&amp;doi=10.1145%2f1294261.1294284&amp;partnerID=40&amp;md5=dce193a5c10b3025cd60e4e299845007</t>
  </si>
  <si>
    <t>AutoLog: Facing log redundancy and insufficiency</t>
  </si>
  <si>
    <t>Zhang C.; Guo Z.; Wu M.; Lu L.; Fan Y.; Zhao J.; Zhang Z.</t>
  </si>
  <si>
    <t>Proceedings of the 2nd Asia-Pacific Workshop on Systems, APSys'11</t>
  </si>
  <si>
    <t>10.1145/2103799.2103811</t>
  </si>
  <si>
    <t>https://www.scopus.com/inward/record.uri?eid=2-s2.0-84863126466&amp;doi=10.1145%2f2103799.2103811&amp;partnerID=40&amp;md5=13051e3649b831aadc4496dac25655af</t>
  </si>
  <si>
    <t>Determining Consistent Global Checkpoints of a Distributed Computation</t>
  </si>
  <si>
    <t>Manivannan D.</t>
  </si>
  <si>
    <t>https://www.scopus.com/inward/record.uri?eid=2-s2.0-0842267073&amp;partnerID=40&amp;md5=8e9bca8579c1be354ef97a1079d88c87</t>
  </si>
  <si>
    <t>Logical clock requirements for reverse engineering scenarios from a distributed system</t>
  </si>
  <si>
    <t>Hrischuk C.E.; Woodside C.M.</t>
  </si>
  <si>
    <t>10.1109/TSE.2002.995416</t>
  </si>
  <si>
    <t>https://www.scopus.com/inward/record.uri?eid=2-s2.0-0036530164&amp;doi=10.1109%2fTSE.2002.995416&amp;partnerID=40&amp;md5=ab40dbc05eb20d9ae17ab27900ff643c</t>
  </si>
  <si>
    <t>Reconstruction of three dimensional City Model based on LIDAR</t>
  </si>
  <si>
    <t>Lin H.; Ji Y.; Liang L.; Liu W.; Hu Z.</t>
  </si>
  <si>
    <t>Advanced Materials Research</t>
  </si>
  <si>
    <t>10.4028/www.scientific.net/AMR.518-523.5648</t>
  </si>
  <si>
    <t>https://www.scopus.com/inward/record.uri?eid=2-s2.0-84861706671&amp;doi=10.4028%2fwww.scientific.net%2fAMR.518-523.5648&amp;partnerID=40&amp;md5=db1908925e4b662a2dcd27b02ee6037a</t>
  </si>
  <si>
    <t>Computational Qualitative Economics Computational Intelligence-assisted building, writing and running virtual Economic theories</t>
  </si>
  <si>
    <t>Andrášik L.</t>
  </si>
  <si>
    <t>10.1007/978-3-642-15220-7_20</t>
  </si>
  <si>
    <t>https://www.scopus.com/inward/record.uri?eid=2-s2.0-78049304862&amp;doi=10.1007%2f978-3-642-15220-7_20&amp;partnerID=40&amp;md5=ad587ef778bf43f60f9963abe04c6928</t>
  </si>
  <si>
    <t>Statistical causality analysis of INFOSEC alert data</t>
  </si>
  <si>
    <t>Qin X.; Lee W.</t>
  </si>
  <si>
    <t>10.1007/978-3-540-45248-5_5</t>
  </si>
  <si>
    <t>https://www.scopus.com/inward/record.uri?eid=2-s2.0-33646844014&amp;doi=10.1007%2f978-3-540-45248-5_5&amp;partnerID=40&amp;md5=9a393620c334c76f99685b301f0cdcc7</t>
  </si>
  <si>
    <t>A systematic dynamics risk evaluation model of coalmine production system</t>
  </si>
  <si>
    <t>Ma Q.; Wang X.; Zhang Y.</t>
  </si>
  <si>
    <t>Applied Mechanics and Materials</t>
  </si>
  <si>
    <t>10.4028/www.scientific.net/AMM.40-41.801</t>
  </si>
  <si>
    <t>https://www.scopus.com/inward/record.uri?eid=2-s2.0-78650969212&amp;doi=10.4028%2fwww.scientific.net%2fAMM.40-41.801&amp;partnerID=40&amp;md5=7d401ff8c68169b452d26a324fb25bdf</t>
  </si>
  <si>
    <t>Causal networks based process improvement</t>
  </si>
  <si>
    <t>Günther D.; Neumann R.; Georgieva K.; Dumke R.R.</t>
  </si>
  <si>
    <t>SEKE 2011 - Proceedings of the 23rd International Conference on Software Engineering and Knowledge Engineering</t>
  </si>
  <si>
    <t>https://www.scopus.com/inward/record.uri?eid=2-s2.0-84855526226&amp;partnerID=40&amp;md5=6a34dab256e5e706b180aa08a5c2eed9</t>
  </si>
  <si>
    <t>ScalaTrace: Tracing, analysis and modeling of HPC codes at scale</t>
  </si>
  <si>
    <t>Mueller F.; Wu X.; Schulz M.; De Supinski B.R.; Gamblin T.</t>
  </si>
  <si>
    <t>10.1007/978-3-642-28145-7_40</t>
  </si>
  <si>
    <t>https://www.scopus.com/inward/record.uri?eid=2-s2.0-84863124036&amp;doi=10.1007%2f978-3-642-28145-7_40&amp;partnerID=40&amp;md5=ef02fc1a19f768cbbfac239b3ade991e</t>
  </si>
  <si>
    <t>Integrated weighted gene co-expression network analysis with an application to chronic fatigue syndrome</t>
  </si>
  <si>
    <t>Presson A.P.; Sobel E.M.; Papp J.C.; Suarez C.J.; Whistler T.; Rajeevan M.S.; Vernon S.D.; Horvath S.</t>
  </si>
  <si>
    <t>BMC Systems Biology</t>
  </si>
  <si>
    <t>10.1186/1752-0509-2-95</t>
  </si>
  <si>
    <t>https://www.scopus.com/inward/record.uri?eid=2-s2.0-58549117328&amp;doi=10.1186%2f1752-0509-2-95&amp;partnerID=40&amp;md5=09c382b594eb5e0a0a31b59dd52619e2</t>
  </si>
  <si>
    <t>Mitigating the confounding effects of program dependences for effective fault localization</t>
  </si>
  <si>
    <t>SIGSOFT/FSE 2011 - Proceedings of the 19th ACM SIGSOFT Symposium on Foundations of Software Engineering</t>
  </si>
  <si>
    <t>10.1145/2025113.2025136</t>
  </si>
  <si>
    <t>https://www.scopus.com/inward/record.uri?eid=2-s2.0-80053219303&amp;doi=10.1145%2f2025113.2025136&amp;partnerID=40&amp;md5=9f4a9c4878b2045d6b413b3d510c858c</t>
  </si>
  <si>
    <t>Crimes analysis software: 'Pins in maps', clustering and Bayes net prediction</t>
  </si>
  <si>
    <t>Oatley G.C.; Ewart B.W.</t>
  </si>
  <si>
    <t>10.1016/S0957-4174(03)00097-6</t>
  </si>
  <si>
    <t>https://www.scopus.com/inward/record.uri?eid=2-s2.0-0041508379&amp;doi=10.1016%2fS0957-4174%2803%2900097-6&amp;partnerID=40&amp;md5=3481bb7480c5da58dc0e87f5835ed0cd</t>
  </si>
  <si>
    <t>An active approach to characterizing dynamic dependencies for problem determination in a distributed environment</t>
  </si>
  <si>
    <t>Brown A.; Kar G.; Keller A.</t>
  </si>
  <si>
    <t>2001 7th IEEE/IFIP International Symposium on Integrated Network Management Proceedings: Integrated Management Strategies for the New Millennium</t>
  </si>
  <si>
    <t>10.1109/INM.2001.918054</t>
  </si>
  <si>
    <t>https://www.scopus.com/inward/record.uri?eid=2-s2.0-84952324793&amp;doi=10.1109%2fINM.2001.918054&amp;partnerID=40&amp;md5=bac9bd3dfcaf668907ec1cb106d35fcb</t>
  </si>
  <si>
    <t>Raising the bar? - The challenges of evaluating the outcomes of environmental modelling and software</t>
  </si>
  <si>
    <t>Matthews K.B.; Rivington M.; Blackstock K.; McCrum G.; Buchan K.; Miller D.G.</t>
  </si>
  <si>
    <t>10.1016/j.envsoft.2010.03.031</t>
  </si>
  <si>
    <t>https://www.scopus.com/inward/record.uri?eid=2-s2.0-78649871619&amp;doi=10.1016%2fj.envsoft.2010.03.031&amp;partnerID=40&amp;md5=fb97234afb3024feec7f6818df6fb9a0</t>
  </si>
  <si>
    <t>Evaluating the effectiveness of Norway's "Speak out!" road safety campaign: The logic of causal inference in road safety evaluation studies</t>
  </si>
  <si>
    <t>Elvik R.</t>
  </si>
  <si>
    <t>Transportation Research Record</t>
  </si>
  <si>
    <t>10.3141/1717-09</t>
  </si>
  <si>
    <t>https://www.scopus.com/inward/record.uri?eid=2-s2.0-0034432723&amp;doi=10.3141%2f1717-09&amp;partnerID=40&amp;md5=5cfdcfd777bc6fcb8f8a588ef655805f</t>
  </si>
  <si>
    <t>Distributed simulation of RePast models over HLA/actors</t>
  </si>
  <si>
    <t>Proceedings - IEEE International Symposium on Distributed Simulation and Real-Time Applications, DS-RT</t>
  </si>
  <si>
    <t>10.1109/DS-RT.2009.14</t>
  </si>
  <si>
    <t>https://www.scopus.com/inward/record.uri?eid=2-s2.0-77951428018&amp;doi=10.1109%2fDS-RT.2009.14&amp;partnerID=40&amp;md5=b393f7b6005d41b73e9783322e7e0cd9</t>
  </si>
  <si>
    <t>RedesignIT - A constraint-based tool for managing design changes</t>
  </si>
  <si>
    <t>Ollinger G.A.; Stahovich T.F.</t>
  </si>
  <si>
    <t>https://www.scopus.com/inward/record.uri?eid=2-s2.0-0035790741&amp;partnerID=40&amp;md5=a1f4452446a716397ba32d70a7bcba5e</t>
  </si>
  <si>
    <t>Exploiting causality and communication patterns in network data analysis</t>
  </si>
  <si>
    <t>Pietikäinen P.; Viide J.; Röning J.</t>
  </si>
  <si>
    <t>Proceedings of the 2008 16th IEEE Workshop on Local and Metropolitan Area Networks, LANMAN 2008</t>
  </si>
  <si>
    <t>10.1109/LANMAN.2008.4675854</t>
  </si>
  <si>
    <t>https://www.scopus.com/inward/record.uri?eid=2-s2.0-57849109920&amp;doi=10.1109%2fLANMAN.2008.4675854&amp;partnerID=40&amp;md5=e70bd6a693670775606017f1797e8c56</t>
  </si>
  <si>
    <t>Occupational vehicular accident claims: A workers' compensation analysis of Oregon truck drivers 1990-1997</t>
  </si>
  <si>
    <t>McCall B.P.; Horwitz I.B.</t>
  </si>
  <si>
    <t>10.1016/j.aap.2005.03.018</t>
  </si>
  <si>
    <t>https://www.scopus.com/inward/record.uri?eid=2-s2.0-19944388964&amp;doi=10.1016%2fj.aap.2005.03.018&amp;partnerID=40&amp;md5=ad8a1997375c0b3dbe486b34ce0251f9</t>
  </si>
  <si>
    <t>Static data-flow analysis of synchronous programs</t>
  </si>
  <si>
    <t>Brandt J.; Schneider K.</t>
  </si>
  <si>
    <t>2009 7th IEEE-ACM International Conference on Formal Methods and Models for Co-Design, MEMOCODE '09</t>
  </si>
  <si>
    <t>10.1109/MEMCOD.2009.5185392</t>
  </si>
  <si>
    <t>https://www.scopus.com/inward/record.uri?eid=2-s2.0-70449502122&amp;doi=10.1109%2fMEMCOD.2009.5185392&amp;partnerID=40&amp;md5=0e0ac22430c12ddbc62d32b1b92762d0</t>
  </si>
  <si>
    <t>(E-)mind thinking with E-um</t>
  </si>
  <si>
    <t>Kobal D.; Zmazek B.</t>
  </si>
  <si>
    <t>WMSCI 2007 - The 11th World Multi-Conference on Systemics, Cybernetics and Informatics, Jointly with the 13th International Conference on Information Systems Analysis and Synthesis, ISAS 2007 - Proc.</t>
  </si>
  <si>
    <t>https://www.scopus.com/inward/record.uri?eid=2-s2.0-84869852793&amp;partnerID=40&amp;md5=33273451e354246d4fc1fe75e4fd4839</t>
  </si>
  <si>
    <t>VisOK: A flexible visualization system for distributed Java object application</t>
  </si>
  <si>
    <t>Lee Dong-Woo; Ramakrishna R.S.</t>
  </si>
  <si>
    <t>Proceedings of the International Parallel Processing Symposium, IPPS</t>
  </si>
  <si>
    <t>https://www.scopus.com/inward/record.uri?eid=2-s2.0-0033887175&amp;partnerID=40&amp;md5=ddc82d3db60bb909120df21a726a3623</t>
  </si>
  <si>
    <t>Evaluating the effects of a new qualitative simulation software (DynaLearn) on learning behavior, factual and causal understanding</t>
  </si>
  <si>
    <t>Zitek A.; Poppe M.; Stelzhammer M.; Muhar S.; Bredeweg B.</t>
  </si>
  <si>
    <t>10.1007/978-3-642-21869-9_112</t>
  </si>
  <si>
    <t>https://www.scopus.com/inward/record.uri?eid=2-s2.0-79959299449&amp;doi=10.1007%2f978-3-642-21869-9_112&amp;partnerID=40&amp;md5=c9347374d10ad0683e409771bc59c1da</t>
  </si>
  <si>
    <t>The use of prime implicants in dependability analysis of software controlled systems</t>
  </si>
  <si>
    <t>Yau M.; Apostolakis G.; Guarro S.</t>
  </si>
  <si>
    <t>Reliability Engineering and System Safety</t>
  </si>
  <si>
    <t>10.1016/S0951-8320(98)00002-7</t>
  </si>
  <si>
    <t>https://www.scopus.com/inward/record.uri?eid=2-s2.0-0032184537&amp;doi=10.1016%2fS0951-8320%2898%2900002-7&amp;partnerID=40&amp;md5=c69f764b949d32101302dc8fd32dd241</t>
  </si>
  <si>
    <t>Using causal reasoning in gait analysis</t>
  </si>
  <si>
    <t>Hirsch D.E.; Simon S.R.; Bylander T.; Weintraub M.A.; Szolovits P.</t>
  </si>
  <si>
    <t>Applied Artificial Intelligence</t>
  </si>
  <si>
    <t>10.1080/08839518908949930</t>
  </si>
  <si>
    <t>https://www.scopus.com/inward/record.uri?eid=2-s2.0-0024931140&amp;doi=10.1080%2f08839518908949930&amp;partnerID=40&amp;md5=eef974db4075006d0fb47dedb6ec478d</t>
  </si>
  <si>
    <t>Secure composition of untrusted code: Wrappers and causality types</t>
  </si>
  <si>
    <t>Sewell Peter; Vitek Jan</t>
  </si>
  <si>
    <t>Proceedings of the Computer Security Foundations Workshop</t>
  </si>
  <si>
    <t>https://www.scopus.com/inward/record.uri?eid=2-s2.0-0033719707&amp;partnerID=40&amp;md5=f3c3efb2441d4b0611365581aa2f2788</t>
  </si>
  <si>
    <t>DAVID influence diagram processing system in environmental management</t>
  </si>
  <si>
    <t>Varis O.; Kettunen J.</t>
  </si>
  <si>
    <t>Environmental Software</t>
  </si>
  <si>
    <t>10.1016/0266-9838(88)90014-7</t>
  </si>
  <si>
    <t>https://www.scopus.com/inward/record.uri?eid=2-s2.0-0024023334&amp;doi=10.1016%2f0266-9838%2888%2990014-7&amp;partnerID=40&amp;md5=ad380607d65bac6035fc7a18697488d9</t>
  </si>
  <si>
    <t>Q-MOPP: Qualitative evaluation of maintenance organizations, processes and products</t>
  </si>
  <si>
    <t>Briand L.; Kim Y.-M.I.; Melo W.; Seaman C.; Basili V.R.</t>
  </si>
  <si>
    <t>Journal of Software Maintenance and Evolution</t>
  </si>
  <si>
    <t>10.1002/(sici)1096-908x(199807/08)10:4&lt;249::aid-smr172&gt;3.0.co;2-7</t>
  </si>
  <si>
    <t>https://www.scopus.com/inward/record.uri?eid=2-s2.0-0032114903&amp;doi=10.1002%2f%28sici%291096-908x%28199807%2f08%2910%3a4%3c249%3a%3aaid-smr172%3e3.0.co%3b2-7&amp;partnerID=40&amp;md5=429b739471e89e3201816fdd811ac4bd</t>
  </si>
  <si>
    <t>A safe and efficient agent architecture</t>
  </si>
  <si>
    <t>Yuan S.-T.</t>
  </si>
  <si>
    <t>Informatica (Ljubljana)</t>
  </si>
  <si>
    <t>https://www.scopus.com/inward/record.uri?eid=2-s2.0-0031163701&amp;partnerID=40&amp;md5=9f6e2b7b9fb52154c5a2b0802b6cedbf</t>
  </si>
  <si>
    <t>A technique for the distributed simulation of parallel computers</t>
  </si>
  <si>
    <t>Ricciulli L.</t>
  </si>
  <si>
    <t>Proceedings - IEEE Computer Society's Annual International Symposium on Modeling, Analysis, and Simulation of Computer and Telecommunications Systems, MASCOTS</t>
  </si>
  <si>
    <t>10.1109/MASCOT.1995.378679</t>
  </si>
  <si>
    <t>https://www.scopus.com/inward/record.uri?eid=2-s2.0-84949659860&amp;doi=10.1109%2fMASCOT.1995.378679&amp;partnerID=40&amp;md5=e32b660b84d8daba09ad050396721241</t>
  </si>
  <si>
    <t>Soft failures and reliability</t>
  </si>
  <si>
    <t>Chenoweth H.B.</t>
  </si>
  <si>
    <t>Proceedings of the Annual Reliability and Maintainability Symposium</t>
  </si>
  <si>
    <t>https://www.scopus.com/inward/record.uri?eid=2-s2.0-0025252836&amp;partnerID=40&amp;md5=a572cefbd8315246df97709edaef7d97</t>
  </si>
  <si>
    <t>Rail vehicle control system integration testing using digital hardware-in-the-loop simulation</t>
  </si>
  <si>
    <t>Terwiesch P.; Keller T.; Scheiben E.</t>
  </si>
  <si>
    <t>IEEE Transactions on Control Systems Technology</t>
  </si>
  <si>
    <t>10.1109/87.761055</t>
  </si>
  <si>
    <t>https://www.scopus.com/inward/record.uri?eid=2-s2.0-0032687527&amp;doi=10.1109%2f87.761055&amp;partnerID=40&amp;md5=bf72ef17e69e0a80c36e4db33e740dd2</t>
  </si>
  <si>
    <t>General approach to trace-checking in distributed computing systems</t>
  </si>
  <si>
    <t>Jard Claude; Jourdan Guy-Vincent; Jeron Thierry; Rampon Jean-Xavier</t>
  </si>
  <si>
    <t>https://www.scopus.com/inward/record.uri?eid=2-s2.0-0028556187&amp;partnerID=40&amp;md5=594ebebb1f018be9ea7c04d35fe2dc92</t>
  </si>
  <si>
    <t>Framework of a software reliability engineering tool</t>
  </si>
  <si>
    <t>Sanyal S.; Shah V.; Bhattacharya S.</t>
  </si>
  <si>
    <t>Proceedings of the High-Assurance Systems Engineering Workshop</t>
  </si>
  <si>
    <t>https://www.scopus.com/inward/record.uri?eid=2-s2.0-0030638029&amp;partnerID=40&amp;md5=6e6450583540a178d649db182fcad45a</t>
  </si>
  <si>
    <t>Distributed simulation of parallel executions</t>
  </si>
  <si>
    <t>Ricciulli Livio; Lincoln Patrick; Meseguer Jose</t>
  </si>
  <si>
    <t>Proceedings of the IEEE Annual Simulation Symposium</t>
  </si>
  <si>
    <t>https://www.scopus.com/inward/record.uri?eid=2-s2.0-0029701236&amp;partnerID=40&amp;md5=cb1d407052369550594cf4871845e9f9</t>
  </si>
  <si>
    <t>Distributed storage of replicated beliefs to facilitate recovery of distributed intelligent agents</t>
  </si>
  <si>
    <t>Bansal A.K.; Ramohanarao K.; Rao A.</t>
  </si>
  <si>
    <t>https://www.scopus.com/inward/record.uri?eid=2-s2.0-84961369798&amp;partnerID=40&amp;md5=46ad28a32fdec061dcc1a4450520c3f9</t>
  </si>
  <si>
    <t>Causality as a means for the expression of requirements for safety critical systems</t>
  </si>
  <si>
    <t>Coombes Andrew; McDermid John; Morris Philip</t>
  </si>
  <si>
    <t>COMPASS - Proceedings of the Annual Conference on Computer Assurance</t>
  </si>
  <si>
    <t>https://www.scopus.com/inward/record.uri?eid=2-s2.0-0028576753&amp;partnerID=40&amp;md5=f84fcc5d5e73f04e834b3c93c671b7be</t>
  </si>
  <si>
    <t>Computing design rationales by interpreting simulations</t>
  </si>
  <si>
    <t>Raghavan A.; Stahovich T.F.</t>
  </si>
  <si>
    <t>10.1115/DETC98/DTM-5652</t>
  </si>
  <si>
    <t>https://www.scopus.com/inward/record.uri?eid=2-s2.0-33744464556&amp;doi=10.1115%2fDETC98%2fDTM-5652&amp;partnerID=40&amp;md5=5aedbe709862775698098e67ddbbc258</t>
  </si>
  <si>
    <t>[Dynamic modeling and verification of safe-set architectures] III - dynamic flowgraph methodology (DFM) for safety verification and analysis of critical control software</t>
  </si>
  <si>
    <t>Guarro Sergio B.; Yau Michael K.</t>
  </si>
  <si>
    <t>Wescon Conference Record</t>
  </si>
  <si>
    <t>https://www.scopus.com/inward/record.uri?eid=2-s2.0-0030398519&amp;partnerID=40&amp;md5=37d179e2b5ef07b5ea560a81cfa0e325</t>
  </si>
  <si>
    <t>Timestamping events for inferring "Affects" relation and potential causality</t>
  </si>
  <si>
    <t>Ahuja M.; Carlson T.; Gahlot A.; Shands D.</t>
  </si>
  <si>
    <t>10.1109/CMPSAC.1991.170249</t>
  </si>
  <si>
    <t>https://www.scopus.com/inward/record.uri?eid=2-s2.0-84944026879&amp;doi=10.1109%2fCMPSAC.1991.170249&amp;partnerID=40&amp;md5=2f6a649d3bbd796434b156dae9e89184</t>
  </si>
  <si>
    <t>Message-driven relaxed consistency in a software distributed shared memory</t>
  </si>
  <si>
    <t>Koch P.T.; Fowler R.J.; Jul E.</t>
  </si>
  <si>
    <t>Proceedings of the 1st USENIX Conference on Operating Systems Design and Implementation, OSDI 1994</t>
  </si>
  <si>
    <t>https://www.scopus.com/inward/record.uri?eid=2-s2.0-0012650248&amp;partnerID=40&amp;md5=eb6975622fa60cc82de1758f9688d6d9</t>
  </si>
  <si>
    <t>Storm watch: a tool for visualizing memory system protocols</t>
  </si>
  <si>
    <t>Chilimbi Trishul M.; Ball Thomas; Eick Stephen G.; Larus James R.</t>
  </si>
  <si>
    <t>Proceedings of the ACM/IEEE Supercomputing Conference</t>
  </si>
  <si>
    <t>https://www.scopus.com/inward/record.uri?eid=2-s2.0-0029431194&amp;partnerID=40&amp;md5=e3ce88bb7b61d057e839fa9c2db8aa52</t>
  </si>
  <si>
    <t>Emergency response personnel training for aircraft accidents - A computer simulation approach</t>
  </si>
  <si>
    <t>Geibel W.D.</t>
  </si>
  <si>
    <t>10.4271/951155</t>
  </si>
  <si>
    <t>https://www.scopus.com/inward/record.uri?eid=2-s2.0-85081769525&amp;doi=10.4271%2f951155&amp;partnerID=40&amp;md5=978f5abbe6615da8320430c231d25dbf</t>
  </si>
  <si>
    <t>Systematic design of automation, protection, and control in substations</t>
  </si>
  <si>
    <t>Brand K.P.; Kopainsky J.</t>
  </si>
  <si>
    <t>IEEE Transactions on Power Apparatus and Systems</t>
  </si>
  <si>
    <t>10.1109/TPAS.1984.318271</t>
  </si>
  <si>
    <t>https://www.scopus.com/inward/record.uri?eid=2-s2.0-0021494372&amp;doi=10.1109%2fTPAS.1984.318271&amp;partnerID=40&amp;md5=096f58a24dbb21190f977946133c6077</t>
  </si>
  <si>
    <t>NET-BASED SOFTWARE DESIGN IN AUTOMATION TECHNOLOGY.</t>
  </si>
  <si>
    <t>Fensch S.; Meyer G.</t>
  </si>
  <si>
    <t>IFAC Proceedings Series</t>
  </si>
  <si>
    <t>https://www.scopus.com/inward/record.uri?eid=2-s2.0-0021938841&amp;partnerID=40&amp;md5=222026a9c4dee38a83b46c6033959af8</t>
  </si>
  <si>
    <t>Aspects of the parallel program execution: Work, time and the current state</t>
  </si>
  <si>
    <t>Zernik Dror; Rudolph Larry; Snir Marc</t>
  </si>
  <si>
    <t>Israel Conference on Computer Systems and Software Engineering</t>
  </si>
  <si>
    <t>https://www.scopus.com/inward/record.uri?eid=2-s2.0-0026376148&amp;partnerID=40&amp;md5=fc5e71b0bf13d91e406247dd19f577f2</t>
  </si>
  <si>
    <t>Precluding useless events for on-line global predicate detections</t>
  </si>
  <si>
    <t>Yen Li-Hsing</t>
  </si>
  <si>
    <t>https://www.scopus.com/inward/record.uri?eid=2-s2.0-0033702824&amp;partnerID=40&amp;md5=75050a9df35207345ca084198de51dbd</t>
  </si>
  <si>
    <t>Causality filters: A tool for the online visualization and steering of parallel and distributed programs</t>
  </si>
  <si>
    <t>Kraemer Eileen</t>
  </si>
  <si>
    <t>https://www.scopus.com/inward/record.uri?eid=2-s2.0-0030709675&amp;partnerID=40&amp;md5=7ee5f3e1886a3f339042ae39302131f8</t>
  </si>
  <si>
    <t>Preventing denial and forgery of causal relationships in distributed systems</t>
  </si>
  <si>
    <t>Reiter Michael; Gong Li</t>
  </si>
  <si>
    <t>Proceedings of the IEEE Computer Society Symposium on Research in Security and Privacy</t>
  </si>
  <si>
    <t>https://www.scopus.com/inward/record.uri?eid=2-s2.0-0027148659&amp;partnerID=40&amp;md5=f61b98d56ec560b62ab86b5302da33a9</t>
  </si>
  <si>
    <t>Estimating the benefit of the parallelisation of discrete event simulation</t>
  </si>
  <si>
    <t>Taylor Simon J.E.; Fatin Farshad; Delaitre Thierry</t>
  </si>
  <si>
    <t>Winter Simulation Conference Proceedings</t>
  </si>
  <si>
    <t>10.1145/224401.224708</t>
  </si>
  <si>
    <t>https://www.scopus.com/inward/record.uri?eid=2-s2.0-0029538770&amp;doi=10.1145%2f224401.224708&amp;partnerID=40&amp;md5=ccad6b1a0dfedb882e790015cfa1d5ed</t>
  </si>
  <si>
    <t>Automatic model builder in cardiovascular dynamics</t>
  </si>
  <si>
    <t>Lefevre J.; De Graeve J.</t>
  </si>
  <si>
    <t>Computers in Cardiology</t>
  </si>
  <si>
    <t>https://www.scopus.com/inward/record.uri?eid=2-s2.0-0023458261&amp;partnerID=40&amp;md5=214f01f37b0ffbfeca27c65536caaf73</t>
  </si>
  <si>
    <t>Knowledge-based diagnostic systems for avionics</t>
  </si>
  <si>
    <t>Davis J.F.; Goodaker A.W.; McDowell J.K.; Abdallah M.</t>
  </si>
  <si>
    <t>AUTOTESTCON (Proceedings)</t>
  </si>
  <si>
    <t>10.1109/AUTEST.1992.270130</t>
  </si>
  <si>
    <t>https://www.scopus.com/inward/record.uri?eid=2-s2.0-84904736208&amp;doi=10.1109%2fAUTEST.1992.270130&amp;partnerID=40&amp;md5=f32ef9b99aa9997ec8357d456f9338a5</t>
  </si>
  <si>
    <t>Publication Year</t>
  </si>
  <si>
    <t>Publication Title</t>
  </si>
  <si>
    <t>PDF Link</t>
  </si>
  <si>
    <t>Article Citation Count</t>
  </si>
  <si>
    <t>Publisher</t>
  </si>
  <si>
    <t>Document Identifier</t>
  </si>
  <si>
    <t>J. Li; X. Cui; Y. Wang; F. Xie</t>
  </si>
  <si>
    <t>2022 IEEE 22nd International Conference on Software Quality, Reliability, and Security Companion (QRS-C)</t>
  </si>
  <si>
    <t>https://ieeexplore.ieee.org/stamp/stamp.jsp?arnumber=10077047</t>
  </si>
  <si>
    <t>IEEE</t>
  </si>
  <si>
    <t>IEEE Conferences</t>
  </si>
  <si>
    <t>S. -H. Li; G. Zhou; Z. -B. Li; J. -C. Lu; N. -B. Huang</t>
  </si>
  <si>
    <t>2023 IEEE 23rd International Conference on Software Quality, Reliability, and Security (QRS)</t>
  </si>
  <si>
    <t>https://ieeexplore.ieee.org/stamp/stamp.jsp?arnumber=10366620</t>
  </si>
  <si>
    <t>A Method for Merging Experts' Cause-Effect Knowledge in Software Dependability</t>
  </si>
  <si>
    <t>F. Huang; B. Li; T. Quinn; C. Smidts</t>
  </si>
  <si>
    <t>2018 Annual Reliability and Maintainability Symposium (RAMS)</t>
  </si>
  <si>
    <t>10.1109/RAM.2018.8463139</t>
  </si>
  <si>
    <t>https://ieeexplore.ieee.org/stamp/stamp.jsp?arnumber=8463139</t>
  </si>
  <si>
    <t>Z. Ji; P. Ma; S. Wang</t>
  </si>
  <si>
    <t>2023 38th IEEE/ACM International Conference on Automated Software Engineering (ASE)</t>
  </si>
  <si>
    <t>https://ieeexplore.ieee.org/stamp/stamp.jsp?arnumber=10298374</t>
  </si>
  <si>
    <t>Y. Küçük; T. A. D. Henderson; A. Podgurski</t>
  </si>
  <si>
    <t>2021 IEEE/ACM 43rd International Conference on Software Engineering: Companion Proceedings (ICSE-Companion)</t>
  </si>
  <si>
    <t>https://ieeexplore.ieee.org/stamp/stamp.jsp?arnumber=9402630</t>
  </si>
  <si>
    <t>P. Chadbourne; N. U. Eisty</t>
  </si>
  <si>
    <t>2023 IEEE/ACIS 21st International Conference on Software Engineering Research, Management and Applications (SERA)</t>
  </si>
  <si>
    <t>https://ieeexplore.ieee.org/stamp/stamp.jsp?arnumber=10197835</t>
  </si>
  <si>
    <t>L. Giamattei; R. Pietrantuono; S. Russo</t>
  </si>
  <si>
    <t>2023 IEEE/ACM 45th International Conference on Software Engineering: New Ideas and Emerging Results (ICSE-NIER)</t>
  </si>
  <si>
    <t>https://ieeexplore.ieee.org/stamp/stamp.jsp?arnumber=10173910</t>
  </si>
  <si>
    <t>Improving Fault Localization by Integrating Value and Predicate Based Causal Inference Techniques</t>
  </si>
  <si>
    <t>2021 IEEE/ACM 43rd International Conference on Software Engineering (ICSE)</t>
  </si>
  <si>
    <t>https://ieeexplore.ieee.org/stamp/stamp.jsp?arnumber=9402143</t>
  </si>
  <si>
    <t>MFL: Method-Level Fault Localization with Causal Inference</t>
  </si>
  <si>
    <t>G. Shu; B. Sun; A. Podgurski; F. Cao</t>
  </si>
  <si>
    <t>2013 IEEE Sixth International Conference on Software Testing, Verification and Validation</t>
  </si>
  <si>
    <t>https://ieeexplore.ieee.org/stamp/stamp.jsp?arnumber=6569724</t>
  </si>
  <si>
    <t>A. Podgurski; Y. Küçük</t>
  </si>
  <si>
    <t>2020 IEEE International Conference on Software Maintenance and Evolution (ICSME)</t>
  </si>
  <si>
    <t>https://ieeexplore.ieee.org/stamp/stamp.jsp?arnumber=9240635</t>
  </si>
  <si>
    <t>Striking Gold in Software Repositories? An Econometric Study of Cryptocurrencies on GitHub</t>
  </si>
  <si>
    <t>A. Trockman; R. van Tonder; B. Vasilescu</t>
  </si>
  <si>
    <t>2019 IEEE/ACM 16th International Conference on Mining Software Repositories (MSR)</t>
  </si>
  <si>
    <t>https://ieeexplore.ieee.org/stamp/stamp.jsp?arnumber=8816811</t>
  </si>
  <si>
    <t>Causality in Configurable Software Systems</t>
  </si>
  <si>
    <t>C. Dubslaff; K. Weis; C. Baier; S. Apel</t>
  </si>
  <si>
    <t>2022 IEEE/ACM 44th International Conference on Software Engineering (ICSE)</t>
  </si>
  <si>
    <t>10.1145/3510003.3510200</t>
  </si>
  <si>
    <t>https://ieeexplore.ieee.org/stamp/stamp.jsp?arnumber=9794029</t>
  </si>
  <si>
    <t>FCA: A Causal Inference Based Method for Analyzing the Failure Causes of Object Detection Algorithms</t>
  </si>
  <si>
    <t>L. Yuanxin; L. Rui; M. Yuxi; X. Yunzhi; M. Lingzhong</t>
  </si>
  <si>
    <t>2023 IEEE 23rd International Conference on Software Quality, Reliability, and Security Companion (QRS-C)</t>
  </si>
  <si>
    <t>10.1109/QRS-C60940.2023.00069</t>
  </si>
  <si>
    <t>https://ieeexplore.ieee.org/stamp/stamp.jsp?arnumber=10429988</t>
  </si>
  <si>
    <t>Information-Theoretic Testing and Debugging of Fairness Defects in Deep Neural Networks</t>
  </si>
  <si>
    <t>V. Monjezi; A. Trivedi; G. Tan; S. Tizpaz-Niari</t>
  </si>
  <si>
    <t>2023 IEEE/ACM 45th International Conference on Software Engineering (ICSE)</t>
  </si>
  <si>
    <t>10.1109/ICSE48619.2023.00136</t>
  </si>
  <si>
    <t>https://ieeexplore.ieee.org/stamp/stamp.jsp?arnumber=10172902</t>
  </si>
  <si>
    <t>N. Silvis-Cividjian; F. Hager</t>
  </si>
  <si>
    <t>2023 IEEE/ACM 45th International Conference on Software Engineering: Software Engineering Education and Training (ICSE-SEET)</t>
  </si>
  <si>
    <t>https://ieeexplore.ieee.org/stamp/stamp.jsp?arnumber=10172906</t>
  </si>
  <si>
    <t>Metamorphic Testing with Causal Graphs</t>
  </si>
  <si>
    <t>A. G. Clark; M. Foster; N. Walkinshaw; R. M. Hierons</t>
  </si>
  <si>
    <t>2023 IEEE Conference on Software Testing, Verification and Validation (ICST)</t>
  </si>
  <si>
    <t>10.1109/ICST57152.2023.00023</t>
  </si>
  <si>
    <t>https://ieeexplore.ieee.org/stamp/stamp.jsp?arnumber=10132179</t>
  </si>
  <si>
    <t>Causal Testing: Understanding Defects' Root Causes</t>
  </si>
  <si>
    <t>B. Johnson; Y. Brun; A. Meliou</t>
  </si>
  <si>
    <t>2020 IEEE/ACM 42nd International Conference on Software Engineering (ICSE)</t>
  </si>
  <si>
    <t>https://ieeexplore.ieee.org/stamp/stamp.jsp?arnumber=9284101</t>
  </si>
  <si>
    <t>Exploring Exposure Bias in Recommender Systems from Causality Perspective</t>
  </si>
  <si>
    <t>Y. Yang; M. Li; X. Hu; G. Pan; W. Huang; J. Wang; Y. Wang</t>
  </si>
  <si>
    <t>2021 IEEE 21st International Conference on Software Quality, Reliability and Security Companion (QRS-C)</t>
  </si>
  <si>
    <t>10.1109/QRS-C55045.2021.00069</t>
  </si>
  <si>
    <t>https://ieeexplore.ieee.org/stamp/stamp.jsp?arnumber=9741986</t>
  </si>
  <si>
    <t>Groot: An Event-graph-based Approach for Root Cause Analysis in Industrial Settings</t>
  </si>
  <si>
    <t>H. Wang; Z. Wu; H. Jiang; Y. Huang; J. Wang; S. Kopru; T. Xie</t>
  </si>
  <si>
    <t>2021 36th IEEE/ACM International Conference on Automated Software Engineering (ASE)</t>
  </si>
  <si>
    <t>10.1109/ASE51524.2021.9678708</t>
  </si>
  <si>
    <t>https://ieeexplore.ieee.org/stamp/stamp.jsp?arnumber=9678708</t>
  </si>
  <si>
    <t>A. Paleyes; S. Guo; B. Scholkopf; N. D. Lawrence</t>
  </si>
  <si>
    <t>2023 IEEE/ACM 2nd International Conference on AI Engineering – Software Engineering for AI (CAIN)</t>
  </si>
  <si>
    <t>https://ieeexplore.ieee.org/stamp/stamp.jsp?arnumber=10164752</t>
  </si>
  <si>
    <t>Causal Inference Based Service Dependency Graph for Statistical Service Fault Localization</t>
  </si>
  <si>
    <t>L. Li; J. Liu; Z. Zhou; H. Luo; W. Liu; J. Li</t>
  </si>
  <si>
    <t>2014 10th International Conference on Semantics, Knowledge and Grids</t>
  </si>
  <si>
    <t>10.1109/SKG.2014.21</t>
  </si>
  <si>
    <t>https://ieeexplore.ieee.org/stamp/stamp.jsp?arnumber=6964662</t>
  </si>
  <si>
    <t>Uncovering Causal Relationships between Software Metrics and Bugs</t>
  </si>
  <si>
    <t>C. Couto; C. Silva; M. T. Valente; R. Bigonha; N. Anquetil</t>
  </si>
  <si>
    <t>2012 16th European Conference on Software Maintenance and Reengineering</t>
  </si>
  <si>
    <t>https://ieeexplore.ieee.org/stamp/stamp.jsp?arnumber=6178869</t>
  </si>
  <si>
    <t>Brain causality investigation based on FMRI images time series using dynamic causal modelling augmented by Granger Causality</t>
  </si>
  <si>
    <t>A. M. Mahroos; Y. M. Kadah</t>
  </si>
  <si>
    <t>2011 28th National Radio Science Conference (NRSC)</t>
  </si>
  <si>
    <t>10.1109/NRSC.2011.5873643</t>
  </si>
  <si>
    <t>https://ieeexplore.ieee.org/stamp/stamp.jsp?arnumber=5873643</t>
  </si>
  <si>
    <t>Efficient Fault Prediction Using Exploratory and Causal Techniques</t>
  </si>
  <si>
    <t>D. Sharma; P. Chandra</t>
  </si>
  <si>
    <t>2018 Second World Conference on Smart Trends in Systems, Security and Sustainability (WorldS4)</t>
  </si>
  <si>
    <t>10.1109/WorldS4.2018.8611559</t>
  </si>
  <si>
    <t>https://ieeexplore.ieee.org/stamp/stamp.jsp?arnumber=8611559</t>
  </si>
  <si>
    <t>Software Fault Localization: an Overview of Research, Techniques, and Tools</t>
  </si>
  <si>
    <t>W. E. Wong; R. Gao; Y. Li; R. Abreu; F. Wotawa; D. Li</t>
  </si>
  <si>
    <t>Handbook of Software Fault Localization: Foundations and Advances</t>
  </si>
  <si>
    <t>10.1002/9781119880929.ch1</t>
  </si>
  <si>
    <t>https://ieeexplore.ieee.org/xpl/ebooks/bookPdfWithBanner.jsp?fileName=10114462.pdf&amp;bkn=10114439&amp;pdfType=chapter</t>
  </si>
  <si>
    <t>Wiley-IEEE Press eBook Chapters</t>
  </si>
  <si>
    <t>A. Baqais; M. Amro; M. Alshayeb</t>
  </si>
  <si>
    <t>2016 7th International Conference on Computer Science and Information Technology (CSIT)</t>
  </si>
  <si>
    <t>https://ieeexplore.ieee.org/stamp/stamp.jsp?arnumber=7549472</t>
  </si>
  <si>
    <t>M. Salehie; L. Pasquale; I. Omoronyia; R. Ali; B. Nuseibeh</t>
  </si>
  <si>
    <t>2012 20th IEEE International Requirements Engineering Conference (RE)</t>
  </si>
  <si>
    <t>https://ieeexplore.ieee.org/stamp/stamp.jsp?arnumber=6345794</t>
  </si>
  <si>
    <t>Casper: Using Ghosts to Debug Null Deferences with Dynamic Causality Traces</t>
  </si>
  <si>
    <t>B. Cornu</t>
  </si>
  <si>
    <t>2015 IEEE/ACM 37th IEEE International Conference on Software Engineering</t>
  </si>
  <si>
    <t>10.1109/ICSE.2015.251</t>
  </si>
  <si>
    <t>https://ieeexplore.ieee.org/stamp/stamp.jsp?arnumber=7203072</t>
  </si>
  <si>
    <t>W. Zheng; F. Cai; T. Chen; T. Yang; F. Yang; P. Xiao</t>
  </si>
  <si>
    <t>2022 International Conference on Image Processing and Computer Vision (IPCV)</t>
  </si>
  <si>
    <t>https://ieeexplore.ieee.org/stamp/stamp.jsp?arnumber=10405655</t>
  </si>
  <si>
    <t>M. Smytzek</t>
  </si>
  <si>
    <t>2023 IEEE/ACM 45th International Conference on Software Engineering: Companion Proceedings (ICSE-Companion)</t>
  </si>
  <si>
    <t>https://ieeexplore.ieee.org/stamp/stamp.jsp?arnumber=10172774</t>
  </si>
  <si>
    <t>Mitigating the Dependence Confounding Effect for Effective Predicate-Based Statistical Fault Localization</t>
  </si>
  <si>
    <t>X. Wang; S. Jiang; X. Ju; H. Cao; Y. Liu</t>
  </si>
  <si>
    <t>2015 IEEE 39th Annual Computer Software and Applications Conference</t>
  </si>
  <si>
    <t>10.1109/COMPSAC.2015.37</t>
  </si>
  <si>
    <t>https://ieeexplore.ieee.org/stamp/stamp.jsp?arnumber=7273607</t>
  </si>
  <si>
    <t>A Distributed Framework for Knowledge-Driven Root-Cause Analysis on Evolving Alarm Data–An Industrial Case Study</t>
  </si>
  <si>
    <t>J. Wilch; B. Vogel-Heuser; J. Mager; R. Cendelín; T. Fett; Y. -M. Hsieh; F. -T. Cheng</t>
  </si>
  <si>
    <t>10.1109/LRA.2023.3270822</t>
  </si>
  <si>
    <t>https://ieeexplore.ieee.org/stamp/stamp.jsp?arnumber=10109749</t>
  </si>
  <si>
    <t>IEEE Journals</t>
  </si>
  <si>
    <t>CTSCOPY: Hunting Cyber Threats within Enterprise via Provenance Graph-based Analysis</t>
  </si>
  <si>
    <t>R. Mei; H. -B. Yan; Z. -H. Han; J. -C. Jiang</t>
  </si>
  <si>
    <t>2021 IEEE 21st International Conference on Software Quality, Reliability and Security (QRS)</t>
  </si>
  <si>
    <t>10.1109/QRS54544.2021.00014</t>
  </si>
  <si>
    <t>https://ieeexplore.ieee.org/stamp/stamp.jsp?arnumber=9724970</t>
  </si>
  <si>
    <t>O. Hamdi; A. Ouni; E. A. AlOmar; M. Ó Cinnéide; M. W. Mkaouer</t>
  </si>
  <si>
    <t>2021 IEEE/ACM 8th International Conference on Mobile Software Engineering and Systems (MobileSoft)</t>
  </si>
  <si>
    <t>https://ieeexplore.ieee.org/stamp/stamp.jsp?arnumber=9460932</t>
  </si>
  <si>
    <t>S. -F. Sun; A. Podgurski</t>
  </si>
  <si>
    <t>2016 IEEE International Conference on Software Testing, Verification and Validation (ICST)</t>
  </si>
  <si>
    <t>https://ieeexplore.ieee.org/stamp/stamp.jsp?arnumber=7515465</t>
  </si>
  <si>
    <t>Granger Causality-Aware Prediction and Diagnosis of Software Degradation</t>
  </si>
  <si>
    <t>P. Zheng; Y. Zhou; M. R. Lyu; Y. Qi</t>
  </si>
  <si>
    <t>2014 IEEE International Conference on Services Computing</t>
  </si>
  <si>
    <t>https://ieeexplore.ieee.org/stamp/stamp.jsp?arnumber=6930576</t>
  </si>
  <si>
    <t>System Dynamic Analysis on Behavior-Based Safety in an LNG Enterprise</t>
  </si>
  <si>
    <t>Y. -Y. Chu; L. -J. Huang; Q. -X. Zhang; D. Liang</t>
  </si>
  <si>
    <t>2014 7th International Conference on Intelligent Computation Technology and Automation</t>
  </si>
  <si>
    <t>https://ieeexplore.ieee.org/stamp/stamp.jsp?arnumber=7003647</t>
  </si>
  <si>
    <t>Q. -y. Li; M. -c. Jiang; H. -f. Li; M. -y. Lu</t>
  </si>
  <si>
    <t>2010 2nd International Conference on Education Technology and Computer</t>
  </si>
  <si>
    <t>https://ieeexplore.ieee.org/stamp/stamp.jsp?arnumber=5529643</t>
  </si>
  <si>
    <t>CSTCN: A Novel Causal-Based Framework for Air Quality Medium- and Long-term Prediction</t>
  </si>
  <si>
    <t>R. Cao; Z. Ma; L. Kang; S. Wang; J. Liu</t>
  </si>
  <si>
    <t>2023 IEEE 35th International Conference on Tools with Artificial Intelligence (ICTAI)</t>
  </si>
  <si>
    <t>10.1109/ICTAI59109.2023.00145</t>
  </si>
  <si>
    <t>https://ieeexplore.ieee.org/stamp/stamp.jsp?arnumber=10356565</t>
  </si>
  <si>
    <t>V. L. Foreman; F. M. Favarò; J. H. Saleh</t>
  </si>
  <si>
    <t>2014 Reliability and Maintainability Symposium</t>
  </si>
  <si>
    <t>https://ieeexplore.ieee.org/stamp/stamp.jsp?arnumber=6798450</t>
  </si>
  <si>
    <t>B. Afshinpour; R. Groz; M. -R. Amini</t>
  </si>
  <si>
    <t>2022 IEEE 22nd International Conference on Software Quality, Reliability and Security (QRS)</t>
  </si>
  <si>
    <t>https://ieeexplore.ieee.org/stamp/stamp.jsp?arnumber=10062453</t>
  </si>
  <si>
    <t>Ontology-Based Reliability Evaluation for Web Service</t>
  </si>
  <si>
    <t>X. Wang; B. Li; L. Liao; C. Xie</t>
  </si>
  <si>
    <t>2011 IEEE 35th Annual Computer Software and Applications Conference</t>
  </si>
  <si>
    <t>https://ieeexplore.ieee.org/stamp/stamp.jsp?arnumber=6032363</t>
  </si>
  <si>
    <t>N. T. Zaman; J. S. Stecki; P. Lebaigue; E. Apostolou</t>
  </si>
  <si>
    <t>2021 Annual Reliability and Maintainability Symposium (RAMS)</t>
  </si>
  <si>
    <t>https://ieeexplore.ieee.org/stamp/stamp.jsp?arnumber=9605797</t>
  </si>
  <si>
    <t>C. H. Fleming</t>
  </si>
  <si>
    <t>2017 Annual IEEE International Systems Conference (SysCon)</t>
  </si>
  <si>
    <t>https://ieeexplore.ieee.org/stamp/stamp.jsp?arnumber=7934799</t>
  </si>
  <si>
    <t>GPU accelerated extraction of sparse Granger causality patterns</t>
  </si>
  <si>
    <t>D. Sahoo; N. Honnorat; C. Davatzikos</t>
  </si>
  <si>
    <t>2018 IEEE 15th International Symposium on Biomedical Imaging (ISBI 2018)</t>
  </si>
  <si>
    <t>10.1109/ISBI.2018.8363648</t>
  </si>
  <si>
    <t>https://ieeexplore.ieee.org/stamp/stamp.jsp?arnumber=8363648</t>
  </si>
  <si>
    <t>A Novel Causal Inference-Guided Feature Enhancement Framework for PolSAR Image Classification</t>
  </si>
  <si>
    <t>H. Dong; L. Si; W. Qiang; L. Zhang; J. Yu; Y. Wu; C. Zheng; F. Sun</t>
  </si>
  <si>
    <t>IEEE Transactions on Geoscience and Remote Sensing</t>
  </si>
  <si>
    <t>10.1109/TGRS.2023.3343380</t>
  </si>
  <si>
    <t>https://ieeexplore.ieee.org/stamp/stamp.jsp?arnumber=10360854</t>
  </si>
  <si>
    <t>Fault Localization for Microservice Applications with System Logs and Monitoring Metrics</t>
  </si>
  <si>
    <t>Q. Zhang; T. Jia; Z. Wu; Q. Wu; L. Jia; D. Li; Y. Tao; Y. Xiao</t>
  </si>
  <si>
    <t>2022 7th International Conference on Cloud Computing and Big Data Analytics (ICCCBDA)</t>
  </si>
  <si>
    <t>10.1109/ICCCBDA55098.2022.9778893</t>
  </si>
  <si>
    <t>https://ieeexplore.ieee.org/stamp/stamp.jsp?arnumber=9778893</t>
  </si>
  <si>
    <t>A Method for the Identification of Logical Dependencies</t>
  </si>
  <si>
    <t>G. A. Oliva; M. A. Gerosa</t>
  </si>
  <si>
    <t>2012 IEEE Seventh International Conference on Global Software Engineering Workshops</t>
  </si>
  <si>
    <t>10.1109/ICGSEW.2012.19</t>
  </si>
  <si>
    <t>https://ieeexplore.ieee.org/stamp/stamp.jsp?arnumber=6337323</t>
  </si>
  <si>
    <t>D. Cotroneo; F. Frattini; R. Natella; R. Pietrantuono</t>
  </si>
  <si>
    <t>2013 IEEE International Symposium on Software Reliability Engineering Workshops (ISSREW)</t>
  </si>
  <si>
    <t>https://ieeexplore.ieee.org/stamp/stamp.jsp?arnumber=6688904</t>
  </si>
  <si>
    <t>Causality-Based Neural Network Repair</t>
  </si>
  <si>
    <t>B. Sun; J. Sun; L. H. Pham; T. Shi</t>
  </si>
  <si>
    <t>10.1145/3510003.3510080</t>
  </si>
  <si>
    <t>https://ieeexplore.ieee.org/stamp/stamp.jsp?arnumber=9793926</t>
  </si>
  <si>
    <t>An Approach to Specify and Test the Control Algorithm in Focus Framework</t>
  </si>
  <si>
    <t>R. Nallamalli; D. S. Chauhan; C. Bhatnagar</t>
  </si>
  <si>
    <t>2018 IEEE Conference on Open Systems (ICOS)</t>
  </si>
  <si>
    <t>10.1109/ICOS.2018.8632807</t>
  </si>
  <si>
    <t>https://ieeexplore.ieee.org/stamp/stamp.jsp?arnumber=8632807</t>
  </si>
  <si>
    <t>Y. Liu; D. I. Mattos; J. Bosch; H. H. Olsson; J. Lantz</t>
  </si>
  <si>
    <t>2021 28th Asia-Pacific Software Engineering Conference (APSEC)</t>
  </si>
  <si>
    <t>https://ieeexplore.ieee.org/stamp/stamp.jsp?arnumber=9712142</t>
  </si>
  <si>
    <t>A. Coombes; J. McDermid; P. Morris</t>
  </si>
  <si>
    <t>Proceedings of COMPASS'94 - 1994 IEEE 9th Annual Conference on Computer Assurance</t>
  </si>
  <si>
    <t>10.1109/CMPASS.1994.318450</t>
  </si>
  <si>
    <t>https://ieeexplore.ieee.org/stamp/stamp.jsp?arnumber=318450</t>
  </si>
  <si>
    <t>W. N. Sumner; X. Zhang</t>
  </si>
  <si>
    <t>2013 35th International Conference on Software Engineering (ICSE)</t>
  </si>
  <si>
    <t>https://ieeexplore.ieee.org/stamp/stamp.jsp?arnumber=6606573</t>
  </si>
  <si>
    <t>Prevent: An Unsupervised Approach to Predict Software Failures in Production</t>
  </si>
  <si>
    <t>G. Denaro; R. Heydarov; A. Mohebbi; M. Pezzè</t>
  </si>
  <si>
    <t>10.1109/TSE.2023.3327583</t>
  </si>
  <si>
    <t>https://ieeexplore.ieee.org/stamp/stamp.jsp?arnumber=10305549</t>
  </si>
  <si>
    <t>How Programmers Debug, Revisited: An Information Foraging Theory Perspective</t>
  </si>
  <si>
    <t>J. Lawrance; C. Bogart; M. Burnett; R. Bellamy; K. Rector; S. D. Fleming</t>
  </si>
  <si>
    <t>10.1109/TSE.2010.111</t>
  </si>
  <si>
    <t>https://ieeexplore.ieee.org/stamp/stamp.jsp?arnumber=5674060</t>
  </si>
  <si>
    <t>M. Cinquini; F. Giannotti; R. Guidotti</t>
  </si>
  <si>
    <t>2021 IEEE Third International Conference on Cognitive Machine Intelligence (CogMI)</t>
  </si>
  <si>
    <t>https://ieeexplore.ieee.org/stamp/stamp.jsp?arnumber=9750370</t>
  </si>
  <si>
    <t>NUMFL: Localizing Faults in Numerical Software Using a Value-Based Causal Model</t>
  </si>
  <si>
    <t>Z. Bai; G. Shu; A. Podgurski</t>
  </si>
  <si>
    <t>2015 IEEE 8th International Conference on Software Testing, Verification and Validation (ICST)</t>
  </si>
  <si>
    <t>https://ieeexplore.ieee.org/stamp/stamp.jsp?arnumber=7102597</t>
  </si>
  <si>
    <t>A New Causal Direction Reasoning Method for Decision Making on Noisy Data</t>
  </si>
  <si>
    <t>B. Zhao; G. Luo</t>
  </si>
  <si>
    <t>2019 IEEE Intelligent Vehicles Symposium (IV)</t>
  </si>
  <si>
    <t>10.1109/IVS.2019.8813898</t>
  </si>
  <si>
    <t>https://ieeexplore.ieee.org/stamp/stamp.jsp?arnumber=8813898</t>
  </si>
  <si>
    <t>An Approach on Detecting Attack Based on Causality in Network Behavior</t>
  </si>
  <si>
    <t>Z. Wang; Q. Xia; K. Lu; J. Zhang</t>
  </si>
  <si>
    <t>2008 International Conference on Computer Science and Software Engineering</t>
  </si>
  <si>
    <t>https://ieeexplore.ieee.org/stamp/stamp.jsp?arnumber=4722499</t>
  </si>
  <si>
    <t>A Delta-Debugging Approach to Assessing the Resilience of Actor Programs through Run-time Test Perturbations</t>
  </si>
  <si>
    <t>J. De Bleser; D. Di Nucci; C. De Roover</t>
  </si>
  <si>
    <t>2020 IEEE/ACM 15th International Conference on Automation of Software Test (AST)</t>
  </si>
  <si>
    <t>https://ieeexplore.ieee.org/stamp/stamp.jsp?arnumber=10186499</t>
  </si>
  <si>
    <t>Causal Models to Support Scenario-Based Testing of ADAS</t>
  </si>
  <si>
    <t>R. Maier; L. Grabinger; D. Urlhart; J. Mottok</t>
  </si>
  <si>
    <t>10.1109/TITS.2023.3317475</t>
  </si>
  <si>
    <t>https://ieeexplore.ieee.org/stamp/stamp.jsp?arnumber=10268664</t>
  </si>
  <si>
    <t>Software Behavior and Failure Clustering: An Empirical Study of Fault Causality</t>
  </si>
  <si>
    <t>N. DiGiuseppe; J. A. Jones</t>
  </si>
  <si>
    <t>2012 IEEE Fifth International Conference on Software Testing, Verification and Validation</t>
  </si>
  <si>
    <t>https://ieeexplore.ieee.org/stamp/stamp.jsp?arnumber=6200116</t>
  </si>
  <si>
    <t>Z. Liu; K. Chen; D. Sullivan; O. Arias; R. Dutta; Y. Jin; X. Guo</t>
  </si>
  <si>
    <t>2024 29th Asia and South Pacific Design Automation Conference (ASP-DAC)</t>
  </si>
  <si>
    <t>https://ieeexplore.ieee.org/stamp/stamp.jsp?arnumber=10473793</t>
  </si>
  <si>
    <t>A Bayesian Network-Based Analysis of Changing Impact of Organizational Goals on Software Development</t>
  </si>
  <si>
    <t>K. Honda; N. Hashimoto; H. Washizaki; Y. Fukazawa; M. Taga; A. Matsuzaki; K. Nakagawa; Y. Sakai</t>
  </si>
  <si>
    <t>2023 IEEE 34th International Symposium on Software Reliability Engineering Workshops (ISSREW)</t>
  </si>
  <si>
    <t>10.1109/ISSREW60843.2023.00080</t>
  </si>
  <si>
    <t>https://ieeexplore.ieee.org/stamp/stamp.jsp?arnumber=10301331</t>
  </si>
  <si>
    <t>The CRISP-ML Approach to Handling Causality and Interpretability Issues in Machine Learning</t>
  </si>
  <si>
    <t>I. Kolyshkina; S. Simoff</t>
  </si>
  <si>
    <t>2021 IEEE International Conference on Big Data (Big Data)</t>
  </si>
  <si>
    <t>10.1109/BigData52589.2021.9671754</t>
  </si>
  <si>
    <t>https://ieeexplore.ieee.org/stamp/stamp.jsp?arnumber=9671754</t>
  </si>
  <si>
    <t>Latent Hazard Notification for Highly Automated Driving: Expected Safety Benefits and Driver Behavioral Adaptation</t>
  </si>
  <si>
    <t>Q. Li; Y. Su; W. Wang; Z. Wang; J. He; G. Li; C. Zeng; B. Cheng</t>
  </si>
  <si>
    <t>10.1109/TITS.2023.3280955</t>
  </si>
  <si>
    <t>https://ieeexplore.ieee.org/stamp/stamp.jsp?arnumber=10149141</t>
  </si>
  <si>
    <t>E. Putrycz; M. Slavescu</t>
  </si>
  <si>
    <t>Fifth International Conference on Commercial-off-the-Shelf (COTS)-Based Software Systems (ICCBSS'05)</t>
  </si>
  <si>
    <t>https://ieeexplore.ieee.org/stamp/stamp.jsp?arnumber=1595750</t>
  </si>
  <si>
    <t>A Three-Stage Defect Prediction Model for Cross-Project Defect Prediction</t>
  </si>
  <si>
    <t>S. Huang; Y. Wu; H. Ji; C. Bai</t>
  </si>
  <si>
    <t>2017 International Conference on Dependable Systems and Their Applications (DSA)</t>
  </si>
  <si>
    <t>10.1109/DSA.2017.39</t>
  </si>
  <si>
    <t>https://ieeexplore.ieee.org/stamp/stamp.jsp?arnumber=8269623</t>
  </si>
  <si>
    <t>System level signal and power integrity analysis methodology for system-in-package applications</t>
  </si>
  <si>
    <t>R. Mandrekar; K. Bharath; K. Srinivasan; E. Engin; M. Swaminathan</t>
  </si>
  <si>
    <t>2006 43rd ACM/IEEE Design Automation Conference</t>
  </si>
  <si>
    <t>10.1145/1146909.1147163</t>
  </si>
  <si>
    <t>https://ieeexplore.ieee.org/stamp/stamp.jsp?arnumber=1688946</t>
  </si>
  <si>
    <t>E. Garmash; A. Cheshkov</t>
  </si>
  <si>
    <t>2021 International Conference on Code Quality (ICCQ)</t>
  </si>
  <si>
    <t>https://ieeexplore.ieee.org/stamp/stamp.jsp?arnumber=9392959</t>
  </si>
  <si>
    <t>A Quantitative Causal Analysis for Network Log Data</t>
  </si>
  <si>
    <t>R. Jarry; S. Kobayashi; K. Fukuda</t>
  </si>
  <si>
    <t>2021 IEEE 45th Annual Computers, Software, and Applications Conference (COMPSAC)</t>
  </si>
  <si>
    <t>10.1109/COMPSAC51774.2021.00213</t>
  </si>
  <si>
    <t>https://ieeexplore.ieee.org/stamp/stamp.jsp?arnumber=9529498</t>
  </si>
  <si>
    <t>H. B. Chenoweth</t>
  </si>
  <si>
    <t>Annual Proceedings on Reliability and Maintainability Symposium</t>
  </si>
  <si>
    <t>10.1109/ARMS.1990.67995</t>
  </si>
  <si>
    <t>https://ieeexplore.ieee.org/stamp/stamp.jsp?arnumber=67995</t>
  </si>
  <si>
    <t>Engineering for a Science-Centric Experimentation Platform</t>
  </si>
  <si>
    <t>N. Diamantopoulos; J. Wong; D. I. Mattos; I. Gerostathopoulos; M. Wardrop; T. Mao; C. McFarland</t>
  </si>
  <si>
    <t>2020 IEEE/ACM 42nd International Conference on Software Engineering: Software Engineering in Practice (ICSE-SEIP)</t>
  </si>
  <si>
    <t>https://ieeexplore.ieee.org/stamp/stamp.jsp?arnumber=9276550</t>
  </si>
  <si>
    <t>Exploiting global causality in testing of distributed and component-based applications</t>
  </si>
  <si>
    <t>Jun Li; K. Moore</t>
  </si>
  <si>
    <t>20th IEEE International Conference on Software Maintenance, 2004. Proceedings.</t>
  </si>
  <si>
    <t>10.1109/ICSM.2004.1357869</t>
  </si>
  <si>
    <t>https://ieeexplore.ieee.org/stamp/stamp.jsp?arnumber=1357869</t>
  </si>
  <si>
    <t>G. Di Gravio; F. Costantino; A. Falegnami; R. Patriarca</t>
  </si>
  <si>
    <t>2019 4th International Conference on System Reliability and Safety (ICSRS)</t>
  </si>
  <si>
    <t>https://ieeexplore.ieee.org/stamp/stamp.jsp?arnumber=8987725</t>
  </si>
  <si>
    <t>M. A. Hossen; S. Kharade; B. Schmerl; J. Cámara; J. M. O'Kane; E. C. Czaplinski; K. A. Dzurilla; D. Garlan; P. Jamshidi</t>
  </si>
  <si>
    <t>https://ieeexplore.ieee.org/stamp/stamp.jsp?arnumber=10137745</t>
  </si>
  <si>
    <t>E. Zibaei; S. Banescu; A. Pretschner</t>
  </si>
  <si>
    <t>2018 3rd International Conference on System Reliability and Safety (ICSRS)</t>
  </si>
  <si>
    <t>https://ieeexplore.ieee.org/stamp/stamp.jsp?arnumber=8688886</t>
  </si>
  <si>
    <t>Z. Ji; P. Ma; Y. Yuan; S. Wang</t>
  </si>
  <si>
    <t>https://ieeexplore.ieee.org/stamp/stamp.jsp?arnumber=10172609</t>
  </si>
  <si>
    <t>Automated debugging: are we close?</t>
  </si>
  <si>
    <t>A. Zeller</t>
  </si>
  <si>
    <t>https://ieeexplore.ieee.org/stamp/stamp.jsp?arnumber=963440</t>
  </si>
  <si>
    <t>IEEE Magazines</t>
  </si>
  <si>
    <t>Using causal reasoning for automated failure modes and effects analysis (FMEA)</t>
  </si>
  <si>
    <t>D. Bell; L. Cox; S. Jackson; P. Schaefer</t>
  </si>
  <si>
    <t>Annual Reliability and Maintainability Symposium 1992 Proceedings</t>
  </si>
  <si>
    <t>10.1109/ARMS.1992.187847</t>
  </si>
  <si>
    <t>https://ieeexplore.ieee.org/stamp/stamp.jsp?arnumber=187847</t>
  </si>
  <si>
    <t>Managing Risk in Secure System: Antecedents to System Engineers' Trust Assumptions Decisions</t>
  </si>
  <si>
    <t>P. I. Offor</t>
  </si>
  <si>
    <t>2013 International Conference on Social Computing</t>
  </si>
  <si>
    <t>https://ieeexplore.ieee.org/stamp/stamp.jsp?arnumber=6693371</t>
  </si>
  <si>
    <t>Classification and metrics for replay tools</t>
  </si>
  <si>
    <t>F. Yan</t>
  </si>
  <si>
    <t>2017 8th IEEE International Conference on Software Engineering and Service Science (ICSESS)</t>
  </si>
  <si>
    <t>10.1109/ICSESS.2017.8342854</t>
  </si>
  <si>
    <t>https://ieeexplore.ieee.org/stamp/stamp.jsp?arnumber=8342854</t>
  </si>
  <si>
    <t>Causality-Aided Trade-Off Analysis for Machine Learning Fairness</t>
  </si>
  <si>
    <t>Z. Ji; P. Ma; S. Wang; Y. Li</t>
  </si>
  <si>
    <t>10.1109/ASE56229.2023.00105</t>
  </si>
  <si>
    <t>https://ieeexplore.ieee.org/stamp/stamp.jsp?arnumber=10298485</t>
  </si>
  <si>
    <t>Do Developers Discover New Tools On The Toilet?</t>
  </si>
  <si>
    <t>E. Murphy-Hill; E. K. Smith; C. Sadowski; C. Jaspan; C. Winter; M. Jorde; A. Knight; A. Trenk; S. Gross</t>
  </si>
  <si>
    <t>2019 IEEE/ACM 41st International Conference on Software Engineering (ICSE)</t>
  </si>
  <si>
    <t>https://ieeexplore.ieee.org/stamp/stamp.jsp?arnumber=8812046</t>
  </si>
  <si>
    <t>Discovering Many-to-One Causality in Software Project Risk Analysis</t>
  </si>
  <si>
    <t>W. Chen; K. Liu; L. Su; M. Liu; Z. Hao; Y. Hu; X. Zhang</t>
  </si>
  <si>
    <t>2014 Ninth International Conference on P2P, Parallel, Grid, Cloud and Internet Computing</t>
  </si>
  <si>
    <t>https://ieeexplore.ieee.org/stamp/stamp.jsp?arnumber=7024602</t>
  </si>
  <si>
    <t>Z. Bai; S. -F. Sun; A. Podgurski</t>
  </si>
  <si>
    <t>2015 IEEE/ACM 1st International Workshop on Complex Faults and Failures in Large Software Systems (COUFLESS)</t>
  </si>
  <si>
    <t>https://ieeexplore.ieee.org/stamp/stamp.jsp?arnumber=7181476</t>
  </si>
  <si>
    <t>Flipping Consistent and Counterfactual Attention Network for Facial Expression Recognition</t>
  </si>
  <si>
    <t>W. Liu; X. Shi; X. Liu</t>
  </si>
  <si>
    <t>ICASSP 2024 - 2024 IEEE International Conference on Acoustics, Speech and Signal Processing (ICASSP)</t>
  </si>
  <si>
    <t>10.1109/ICASSP48485.2024.10448412</t>
  </si>
  <si>
    <t>https://ieeexplore.ieee.org/stamp/stamp.jsp?arnumber=10448412</t>
  </si>
  <si>
    <t>Causality-Based Visual Analysis of Questionnaire Responses</t>
  </si>
  <si>
    <t>R. Li; W. Cui; T. Song; X. Xie; R. Ding; Y. Wang; H. Zhang; H. Zhou; Y. Wu</t>
  </si>
  <si>
    <t>10.1109/TVCG.2023.3327376</t>
  </si>
  <si>
    <t>https://ieeexplore.ieee.org/stamp/stamp.jsp?arnumber=10302175</t>
  </si>
  <si>
    <t>CauseInfer: Automated End-to-End Performance Diagnosis with Hierarchical Causality Graph in Cloud Environment</t>
  </si>
  <si>
    <t>P. Chen; Y. Qi; D. Hou</t>
  </si>
  <si>
    <t>https://ieeexplore.ieee.org/stamp/stamp.jsp?arnumber=7563819</t>
  </si>
  <si>
    <t>Online Reasoning about the Root Causes of Software Rollout Failures in the Smart Grid</t>
  </si>
  <si>
    <t>E. Piatkowska; C. Gavriluta; P. Smith; F. P. Andrén</t>
  </si>
  <si>
    <t>2020 IEEE International Conference on Communications, Control, and Computing Technologies for Smart Grids (SmartGridComm)</t>
  </si>
  <si>
    <t>https://ieeexplore.ieee.org/stamp/stamp.jsp?arnumber=9303005</t>
  </si>
  <si>
    <t>R. Gore; P. F. Reynolds</t>
  </si>
  <si>
    <t>2012 34th International Conference on Software Engineering (ICSE)</t>
  </si>
  <si>
    <t>https://ieeexplore.ieee.org/stamp/stamp.jsp?arnumber=6227169</t>
  </si>
  <si>
    <t>Predicting Success in Undergraduate Parallel Programming via Probabilistic Causality Analysis</t>
  </si>
  <si>
    <t>S. Raj; S. Kumar Jha</t>
  </si>
  <si>
    <t>2018 IEEE International Parallel and Distributed Processing Symposium Workshops (IPDPSW)</t>
  </si>
  <si>
    <t>https://ieeexplore.ieee.org/stamp/stamp.jsp?arnumber=8425433</t>
  </si>
  <si>
    <t>Mutation-Based Graph Inference for Fault Localization</t>
  </si>
  <si>
    <t>V. Musco; M. Monperrus; P. Preux</t>
  </si>
  <si>
    <t>2016 IEEE 16th International Working Conference on Source Code Analysis and Manipulation (SCAM)</t>
  </si>
  <si>
    <t>https://ieeexplore.ieee.org/stamp/stamp.jsp?arnumber=7781803</t>
  </si>
  <si>
    <t>P. Chen; Y. Qi; P. Zheng; D. Hou</t>
  </si>
  <si>
    <t>IEEE INFOCOM 2014 - IEEE Conference on Computer Communications</t>
  </si>
  <si>
    <t>https://ieeexplore.ieee.org/stamp/stamp.jsp?arnumber=6848128</t>
  </si>
  <si>
    <t>Probabilistic Risk Assessment for Security Requirements: A Preliminary Study</t>
  </si>
  <si>
    <t>S. -W. Lee</t>
  </si>
  <si>
    <t>2011 Fifth International Conference on Secure Software Integration and Reliability Improvement</t>
  </si>
  <si>
    <t>10.1109/SSIRI.2011.12</t>
  </si>
  <si>
    <t>https://ieeexplore.ieee.org/stamp/stamp.jsp?arnumber=5991999</t>
  </si>
  <si>
    <t>F. Wei; N. Feng; R. D. Evans; R. Zhao; S. Yang</t>
  </si>
  <si>
    <t>https://ieeexplore.ieee.org/stamp/stamp.jsp?arnumber=9537580</t>
  </si>
  <si>
    <t>Effectively Sampling Higher Order Mutants Using Causal Effect</t>
  </si>
  <si>
    <t>S. Oh; S. Lee; S. Yoo</t>
  </si>
  <si>
    <t>2021 IEEE International Conference on Software Testing, Verification and Validation Workshops (ICSTW)</t>
  </si>
  <si>
    <t>https://ieeexplore.ieee.org/stamp/stamp.jsp?arnumber=9440150</t>
  </si>
  <si>
    <t>E. Pournaras; A. N. Ghulam; R. Kunz; R. Hänggli</t>
  </si>
  <si>
    <t>https://ieeexplore.ieee.org/stamp/stamp.jsp?arnumber=9596577</t>
  </si>
  <si>
    <t>DyCause: Crowdsourcing to Diagnose Microservice Kernel Failure</t>
  </si>
  <si>
    <t>Y. Pan; M. Ma; X. Jiang; P. Wang</t>
  </si>
  <si>
    <t>IEEE Transactions on Dependable and Secure Computing</t>
  </si>
  <si>
    <t>10.1109/TDSC.2022.3233915</t>
  </si>
  <si>
    <t>https://ieeexplore.ieee.org/stamp/stamp.jsp?arnumber=10005849</t>
  </si>
  <si>
    <t>S. Sanyal; V. Shah; S. Bhattacharya</t>
  </si>
  <si>
    <t>Proceedings 1997 High-Assurance Engineering Workshop</t>
  </si>
  <si>
    <t>10.1109/HASE.1997.648048</t>
  </si>
  <si>
    <t>https://ieeexplore.ieee.org/stamp/stamp.jsp?arnumber=648048</t>
  </si>
  <si>
    <t>Notice of Retraction: The empirical analysis on the relationship between foreign direct investment and quality of employment in Shanghai's service industry</t>
  </si>
  <si>
    <t>Zhu Li-ping; Yang Xu-biao</t>
  </si>
  <si>
    <t>2011 IEEE 2nd International Conference on Software Engineering and Service Science</t>
  </si>
  <si>
    <t>10.1109/ICSESS.2011.5982325</t>
  </si>
  <si>
    <t>https://ieeexplore.ieee.org/stamp/stamp.jsp?arnumber=5982325</t>
  </si>
  <si>
    <t>Structural Causal Models as Boundary Objects in AI System Development</t>
  </si>
  <si>
    <t>H. -M. Heyn; E. Knauss</t>
  </si>
  <si>
    <t>2022 IEEE/ACM 1st International Conference on AI Engineering – Software Engineering for AI (CAIN)</t>
  </si>
  <si>
    <t>10.1145/3522664.3528615</t>
  </si>
  <si>
    <t>https://ieeexplore.ieee.org/stamp/stamp.jsp?arnumber=9796403</t>
  </si>
  <si>
    <t>Safety Verification for Random Ordinary Differential Equations</t>
  </si>
  <si>
    <t>B. Xue; M. Fränzle; N. Zhan; S. Bogomolov; B. Xia</t>
  </si>
  <si>
    <t>10.1109/TCAD.2020.3013135</t>
  </si>
  <si>
    <t>https://ieeexplore.ieee.org/stamp/stamp.jsp?arnumber=9211452</t>
  </si>
  <si>
    <t>Verifying Causality between Distant Performance Phenomena in Large-Scale MPI Applications</t>
  </si>
  <si>
    <t>M. -A. Hermanns; M. Geimer; F. Wolf; B. J. N. Wylie</t>
  </si>
  <si>
    <t>2009 17th Euromicro International Conference on Parallel, Distributed and Network-based Processing</t>
  </si>
  <si>
    <t>10.1109/PDP.2009.50</t>
  </si>
  <si>
    <t>https://ieeexplore.ieee.org/stamp/stamp.jsp?arnumber=4912918</t>
  </si>
  <si>
    <t>Feature Selections for Effectively Localizing Faulty Events in GUI Applications</t>
  </si>
  <si>
    <t>X. Xue; Y. Pang; A. S. Namin</t>
  </si>
  <si>
    <t>2014 13th International Conference on Machine Learning and Applications</t>
  </si>
  <si>
    <t>https://ieeexplore.ieee.org/stamp/stamp.jsp?arnumber=7033132</t>
  </si>
  <si>
    <t>Systematic Modeling Approach for Environmental Perception Limitations in Automated Driving</t>
  </si>
  <si>
    <t>A. Adee; R. Gansch; P. Liggesmeyer</t>
  </si>
  <si>
    <t>2021 17th European Dependable Computing Conference (EDCC)</t>
  </si>
  <si>
    <t>10.1109/EDCC53658.2021.00022</t>
  </si>
  <si>
    <t>https://ieeexplore.ieee.org/stamp/stamp.jsp?arnumber=9603704</t>
  </si>
  <si>
    <t>P. Kayongo; J. Hoffswell; S. Saini; S. Garg; E. Koh; H. Wang; T. Jacobs</t>
  </si>
  <si>
    <t>2022 Working Conference on Software Visualization (VISSOFT)</t>
  </si>
  <si>
    <t>https://ieeexplore.ieee.org/stamp/stamp.jsp?arnumber=9978445</t>
  </si>
  <si>
    <t>Research on rotary dump health monitoring expert system based on causality diagram theory</t>
  </si>
  <si>
    <t>Liu Quan; Li Jingsong</t>
  </si>
  <si>
    <t>2008 IEEE Conference on Cybernetics and Intelligent Systems</t>
  </si>
  <si>
    <t>10.1109/ICCIS.2008.4670773</t>
  </si>
  <si>
    <t>https://ieeexplore.ieee.org/stamp/stamp.jsp?arnumber=4670773</t>
  </si>
  <si>
    <t>Z. Zhang; Y. Dang</t>
  </si>
  <si>
    <t>2019 IEEE 19th International Conference on Software Quality, Reliability and Security Companion (QRS-C)</t>
  </si>
  <si>
    <t>https://ieeexplore.ieee.org/stamp/stamp.jsp?arnumber=8859462</t>
  </si>
  <si>
    <t>Technical Debt Impacting Lead-Times: An Exploratory Study</t>
  </si>
  <si>
    <t>V. Lenarduzzi; A. Martini; N. Saarimäki; D. A. Tamburri</t>
  </si>
  <si>
    <t>2021 47th Euromicro Conference on Software Engineering and Advanced Applications (SEAA)</t>
  </si>
  <si>
    <t>10.1109/SEAA53835.2021.00032</t>
  </si>
  <si>
    <t>https://ieeexplore.ieee.org/stamp/stamp.jsp?arnumber=9582572</t>
  </si>
  <si>
    <t>A. Misra; A. D. Kshemkalyani</t>
  </si>
  <si>
    <t>2022 IEEE 21st International Symposium on Network Computing and Applications (NCA)</t>
  </si>
  <si>
    <t>https://ieeexplore.ieee.org/stamp/stamp.jsp?arnumber=10013642</t>
  </si>
  <si>
    <t>Exploiting Causality to Engineer Elastic Distributed Software</t>
  </si>
  <si>
    <t>K. R. Jayaram</t>
  </si>
  <si>
    <t>2016 IEEE 36th International Conference on Distributed Computing Systems (ICDCS)</t>
  </si>
  <si>
    <t>10.1109/ICDCS.2016.102</t>
  </si>
  <si>
    <t>https://ieeexplore.ieee.org/stamp/stamp.jsp?arnumber=7536522</t>
  </si>
  <si>
    <t>Decision Support for Infection Outbreak Analysis: the case of the Diamond Princess cruise ship</t>
  </si>
  <si>
    <t>H. C. R. Oliveira; V. Shmerko; S. N. Yanushkevich</t>
  </si>
  <si>
    <t>2021 IEEE Symposium Series on Computational Intelligence (SSCI)</t>
  </si>
  <si>
    <t>10.1109/SSCI50451.2021.9660140</t>
  </si>
  <si>
    <t>https://ieeexplore.ieee.org/stamp/stamp.jsp?arnumber=9660140</t>
  </si>
  <si>
    <t>Towards Causality-Aware Inferring: A Sequential Discriminative Approach for Medical Diagnosis</t>
  </si>
  <si>
    <t>J. Lin; K. Wang; Z. Chen; X. Liang; L. Lin</t>
  </si>
  <si>
    <t>IEEE Transactions on Pattern Analysis and Machine Intelligence</t>
  </si>
  <si>
    <t>10.1109/TPAMI.2023.3292363</t>
  </si>
  <si>
    <t>https://ieeexplore.ieee.org/stamp/stamp.jsp?arnumber=10173552</t>
  </si>
  <si>
    <t>Good is Bad: Causality Inspired Cloth-debiasing for Cloth-changing Person Re-identification</t>
  </si>
  <si>
    <t>Z. Yang; M. Lin; X. Zhong; Y. Wu; Z. Wang</t>
  </si>
  <si>
    <t>2023 IEEE/CVF Conference on Computer Vision and Pattern Recognition (CVPR)</t>
  </si>
  <si>
    <t>10.1109/CVPR52729.2023.00148</t>
  </si>
  <si>
    <t>https://ieeexplore.ieee.org/stamp/stamp.jsp?arnumber=10203842</t>
  </si>
  <si>
    <t>E. Andrade; F. Machida; R. Pietrantuono; D. Cotroneo</t>
  </si>
  <si>
    <t>2021 IEEE International Symposium on Software Reliability Engineering Workshops (ISSREW)</t>
  </si>
  <si>
    <t>https://ieeexplore.ieee.org/stamp/stamp.jsp?arnumber=9700176</t>
  </si>
  <si>
    <t>C. Bolton; S. Rampazzi; C. Li; A. Kwong; W. Xu; K. Fu</t>
  </si>
  <si>
    <t>2018 IEEE Symposium on Security and Privacy (SP)</t>
  </si>
  <si>
    <t>https://ieeexplore.ieee.org/stamp/stamp.jsp?arnumber=8418653</t>
  </si>
  <si>
    <t>GCFormer: Granger Causality based Attention Mechanism for Multivariate Time Series Anomaly Detection</t>
  </si>
  <si>
    <t>S. Xing; J. Niu; T. Ren</t>
  </si>
  <si>
    <t>2023 IEEE International Conference on Data Mining (ICDM)</t>
  </si>
  <si>
    <t>10.1109/ICDM58522.2023.00187</t>
  </si>
  <si>
    <t>https://ieeexplore.ieee.org/stamp/stamp.jsp?arnumber=10415739</t>
  </si>
  <si>
    <t>Fall Prediction by a Spatio-Temporal Multi-Channel Causal Model from Wearable Sensors Data</t>
  </si>
  <si>
    <t>G. Liao; J. Liu; Y. Liang; S. Wang; L. Liu</t>
  </si>
  <si>
    <t>10.1109/ICASSP48485.2024.10447297</t>
  </si>
  <si>
    <t>https://ieeexplore.ieee.org/stamp/stamp.jsp?arnumber=10447297</t>
  </si>
  <si>
    <t>The Good, the Bad, And the Ugly: Stepping on the Security Scale</t>
  </si>
  <si>
    <t>M. A. Davidson</t>
  </si>
  <si>
    <t>2009 Annual Computer Security Applications Conference</t>
  </si>
  <si>
    <t>https://ieeexplore.ieee.org/stamp/stamp.jsp?arnumber=5380507</t>
  </si>
  <si>
    <t>A Weakest T-Norm Based Fuzzy Fault Tree Approach for Probability Assessment of Natural Gas Pipeline</t>
  </si>
  <si>
    <t>Y. Wang; C. Su; M. Xie</t>
  </si>
  <si>
    <t>2022 6th International Conference on System Reliability and Safety (ICSRS)</t>
  </si>
  <si>
    <t>10.1109/ICSRS56243.2022.10067575</t>
  </si>
  <si>
    <t>https://ieeexplore.ieee.org/stamp/stamp.jsp?arnumber=10067575</t>
  </si>
  <si>
    <t>An Empirical Study on the Influence of Investor Sentiment and Stock Price——Based on VAR Model</t>
  </si>
  <si>
    <t>Y. Lu; N. Ding; M. Shi; Z. Fan; Y. Zhai</t>
  </si>
  <si>
    <t>2021 4th International Conference on Advanced Electronic Materials, Computers and Software Engineering (AEMCSE)</t>
  </si>
  <si>
    <t>10.1109/AEMCSE51986.2021.00130</t>
  </si>
  <si>
    <t>https://ieeexplore.ieee.org/stamp/stamp.jsp?arnumber=9512948</t>
  </si>
  <si>
    <t>J. P. Leal</t>
  </si>
  <si>
    <t>2013 Federated Conference on Computer Science and Information Systems</t>
  </si>
  <si>
    <t>https://ieeexplore.ieee.org/stamp/stamp.jsp?arnumber=6644088</t>
  </si>
  <si>
    <t>Distinguish Markov Equivalence Classes from Large-Scale Linear Non-Gaussian Data</t>
  </si>
  <si>
    <t>G. Mai; Y. Hong; P. Chen; K. Chen; H. Huang; G. Zheng</t>
  </si>
  <si>
    <t>10.1109/ACCESS.2020.2965093</t>
  </si>
  <si>
    <t>https://ieeexplore.ieee.org/stamp/stamp.jsp?arnumber=8954735</t>
  </si>
  <si>
    <t>H. Wang; Y. Lin; Z. Yang; J. Sun; Y. Liu; J. Dong; Q. Zheng; T. Liu</t>
  </si>
  <si>
    <t>https://ieeexplore.ieee.org/stamp/stamp.jsp?arnumber=8883062</t>
  </si>
  <si>
    <t>An approach for tracing and understanding asynchronous architectures</t>
  </si>
  <si>
    <t>S. A. Hendrickson; E. M. Dashofy; R. N. Taylor</t>
  </si>
  <si>
    <t>18th IEEE International Conference on Automated Software Engineering, 2003. Proceedings.</t>
  </si>
  <si>
    <t>10.1109/ASE.2003.1240329</t>
  </si>
  <si>
    <t>https://ieeexplore.ieee.org/stamp/stamp.jsp?arnumber=1240329</t>
  </si>
  <si>
    <t>C. Garcia-Beltran; S. Gentil</t>
  </si>
  <si>
    <t>Proceeding of the 2001 IEEE International Symposium on Intelligent Control (ISIC '01) (Cat. No.01CH37206)</t>
  </si>
  <si>
    <t>10.1109/ISIC.2001.971490</t>
  </si>
  <si>
    <t>https://ieeexplore.ieee.org/stamp/stamp.jsp?arnumber=971490</t>
  </si>
  <si>
    <t>Mining causality graph for automatic web-based service diagnosis</t>
  </si>
  <si>
    <t>X. Nie; Y. Zhao; K. Sui; D. Pei; Y. Chen; X. Qu</t>
  </si>
  <si>
    <t>2016 IEEE 35th International Performance Computing and Communications Conference (IPCCC)</t>
  </si>
  <si>
    <t>10.1109/PCCC.2016.7820614</t>
  </si>
  <si>
    <t>https://ieeexplore.ieee.org/stamp/stamp.jsp?arnumber=7820614</t>
  </si>
  <si>
    <t>A Causality-Driven Graph Convolutional Network for Postural Abnormality Diagnosis in Parkinsonians</t>
  </si>
  <si>
    <t>X. Tang; R. Guo; C. Zhang; X. Zhuang; X. Qian</t>
  </si>
  <si>
    <t>10.1109/TMI.2023.3305378</t>
  </si>
  <si>
    <t>https://ieeexplore.ieee.org/stamp/stamp.jsp?arnumber=10218365</t>
  </si>
  <si>
    <t>The Psychological Effects of AI-Assisted Programming on Students and Professionals</t>
  </si>
  <si>
    <t>M. Valový; A. Buchalcevova</t>
  </si>
  <si>
    <t>2023 IEEE International Conference on Software Maintenance and Evolution (ICSME)</t>
  </si>
  <si>
    <t>10.1109/ICSME58846.2023.00050</t>
  </si>
  <si>
    <t>https://ieeexplore.ieee.org/stamp/stamp.jsp?arnumber=10336271</t>
  </si>
  <si>
    <t>Y. Mu; Z. Wang; S. Liu; J. Sun; J. Chen; X. Chen</t>
  </si>
  <si>
    <t>https://ieeexplore.ieee.org/stamp/stamp.jsp?arnumber=9724861</t>
  </si>
  <si>
    <t>Program Actions as Actual Causes: A Building Block for Accountability</t>
  </si>
  <si>
    <t>A. Datta; D. Garg; D. Kaynar; D. Sharma; A. Sinha</t>
  </si>
  <si>
    <t>2015 IEEE 28th Computer Security Foundations Symposium</t>
  </si>
  <si>
    <t>10.1109/CSF.2015.25</t>
  </si>
  <si>
    <t>https://ieeexplore.ieee.org/stamp/stamp.jsp?arnumber=7243738</t>
  </si>
  <si>
    <t>Arguing from Hazard Analysis in Safety Cases: A Modular Argument Pattern</t>
  </si>
  <si>
    <t>M. Gleirscher; C. Carlan</t>
  </si>
  <si>
    <t>2017 IEEE 18th International Symposium on High Assurance Systems Engineering (HASE)</t>
  </si>
  <si>
    <t>10.1109/HASE.2017.15</t>
  </si>
  <si>
    <t>https://ieeexplore.ieee.org/stamp/stamp.jsp?arnumber=7911871</t>
  </si>
  <si>
    <t>Intelligence Enabled SDN Fault Localization via Programmable In-band Network Telemetry</t>
  </si>
  <si>
    <t>Y. Tang; Y. Wu; G. Cheng; Z. Xu</t>
  </si>
  <si>
    <t>2019 IEEE 20th International Conference on High Performance Switching and Routing (HPSR)</t>
  </si>
  <si>
    <t>10.1109/HPSR.2019.8808121</t>
  </si>
  <si>
    <t>https://ieeexplore.ieee.org/stamp/stamp.jsp?arnumber=8808121</t>
  </si>
  <si>
    <t>A Mixed-Initiative Visual Analytics Approach for Qualitative Causal Modeling</t>
  </si>
  <si>
    <t>F. Husain; P. Proulx; M. -W. Chang; R. Romero-Gómez; H. Vasquez</t>
  </si>
  <si>
    <t>2021 IEEE Visualization Conference (VIS)</t>
  </si>
  <si>
    <t>10.1109/VIS49827.2021.9623318</t>
  </si>
  <si>
    <t>https://ieeexplore.ieee.org/stamp/stamp.jsp?arnumber=9623318</t>
  </si>
  <si>
    <t>S. Kondakci</t>
  </si>
  <si>
    <t>2010 Sixth International Conference on Information Assurance and Security</t>
  </si>
  <si>
    <t>https://ieeexplore.ieee.org/stamp/stamp.jsp?arnumber=5604039</t>
  </si>
  <si>
    <t>Non-blocking N-version programming for message passing systems</t>
  </si>
  <si>
    <t>B. Chitsaz; M. Razzazi</t>
  </si>
  <si>
    <t>2012 Proceedings of the 35th International Convention MIPRO</t>
  </si>
  <si>
    <t>https://ieeexplore.ieee.org/stamp/stamp.jsp?arnumber=6240668</t>
  </si>
  <si>
    <t>A causality based dynamic message ordering for DVEs on Wide Area Network</t>
  </si>
  <si>
    <t>H. Zhou; S. Fu</t>
  </si>
  <si>
    <t>2011 IEEE 3rd International Conference on Communication Software and Networks</t>
  </si>
  <si>
    <t>10.1109/ICCSN.2011.6014026</t>
  </si>
  <si>
    <t>https://ieeexplore.ieee.org/stamp/stamp.jsp?arnumber=6014026</t>
  </si>
  <si>
    <t>Timestamping events for inferring 'affects' relation and potential causality</t>
  </si>
  <si>
    <t>M. Ahuja; T. Carlson; A. Gahlot; D. Shands</t>
  </si>
  <si>
    <t>[1991] Proceedings The Fifteenth Annual International Computer Software &amp; Applications Conference</t>
  </si>
  <si>
    <t>https://ieeexplore.ieee.org/stamp/stamp.jsp?arnumber=170249</t>
  </si>
  <si>
    <t>Research on Vulnerability Ontology Model</t>
  </si>
  <si>
    <t>L. Zhu; Z. Zhang; G. Xia; C. Jiang</t>
  </si>
  <si>
    <t>2019 IEEE 8th Joint International Information Technology and Artificial Intelligence Conference (ITAIC)</t>
  </si>
  <si>
    <t>10.1109/ITAIC.2019.8785783</t>
  </si>
  <si>
    <t>https://ieeexplore.ieee.org/stamp/stamp.jsp?arnumber=8785783</t>
  </si>
  <si>
    <t>Estimating Effective Connectivity by Recurrent Generative Adversarial Networks</t>
  </si>
  <si>
    <t>J. Ji; J. Liu; L. Han; F. Wang</t>
  </si>
  <si>
    <t>10.1109/TMI.2021.3083984</t>
  </si>
  <si>
    <t>https://ieeexplore.ieee.org/stamp/stamp.jsp?arnumber=9440897</t>
  </si>
  <si>
    <t>CloudRanger: Root Cause Identification for Cloud Native Systems</t>
  </si>
  <si>
    <t>P. Wang; J. Xu; M. Ma; W. Lin; D. Pan; Y. Wang; P. Chen</t>
  </si>
  <si>
    <t>2018 18th IEEE/ACM International Symposium on Cluster, Cloud and Grid Computing (CCGRID)</t>
  </si>
  <si>
    <t>10.1109/CCGRID.2018.00076</t>
  </si>
  <si>
    <t>https://ieeexplore.ieee.org/stamp/stamp.jsp?arnumber=8411065</t>
  </si>
  <si>
    <t>S. Zhang; Y. Liu; D. Pei; Y. Chen; X. Qu; S. Tao; Z. Zang; X. Jing; M. Feng</t>
  </si>
  <si>
    <t>https://ieeexplore.ieee.org/stamp/stamp.jsp?arnumber=7429779</t>
  </si>
  <si>
    <t>R. A. Leitão Vasconcelos; C. M. Moraes; A. G. Martins-Britto</t>
  </si>
  <si>
    <t>2023 Workshop on Communication Networks and Power Systems (WCNPS)</t>
  </si>
  <si>
    <t>https://ieeexplore.ieee.org/stamp/stamp.jsp?arnumber=10345177</t>
  </si>
  <si>
    <t>D. Rodriguez-Cardenas; D. N. Palacio; D. Khati; H. Burke; D. Poshyvanyk</t>
  </si>
  <si>
    <t>https://ieeexplore.ieee.org/stamp/stamp.jsp?arnumber=10336302</t>
  </si>
  <si>
    <t>An Empirical Study on Failure Causes in a Commercial Off-the-Shelf Operating System</t>
  </si>
  <si>
    <t>C. A. R. Dos Santos; R. Matias</t>
  </si>
  <si>
    <t>2015 Brazilian Symposium on Computing Systems Engineering (SBESC)</t>
  </si>
  <si>
    <t>https://ieeexplore.ieee.org/stamp/stamp.jsp?arnumber=7423203</t>
  </si>
  <si>
    <t>Causal Impact for App Store Analysis</t>
  </si>
  <si>
    <t>W. Martin</t>
  </si>
  <si>
    <t>2016 IEEE/ACM 38th International Conference on Software Engineering Companion (ICSE-C)</t>
  </si>
  <si>
    <t>https://ieeexplore.ieee.org/stamp/stamp.jsp?arnumber=7883364</t>
  </si>
  <si>
    <t>G. Chance; A. Ghobrial; S. Lemaignan; T. Pipe; K. Eder</t>
  </si>
  <si>
    <t>2020 IEEE International Conference On Artificial Intelligence Testing (AITest)</t>
  </si>
  <si>
    <t>https://ieeexplore.ieee.org/stamp/stamp.jsp?arnumber=9176833</t>
  </si>
  <si>
    <t>K. R. Varshney</t>
  </si>
  <si>
    <t>2016 Information Theory and Applications Workshop (ITA)</t>
  </si>
  <si>
    <t>https://ieeexplore.ieee.org/stamp/stamp.jsp?arnumber=7888195</t>
  </si>
  <si>
    <t>Collaborative Development Environment in Peer-to-Peer Networks</t>
  </si>
  <si>
    <t>M. Thodi; S. Fujita</t>
  </si>
  <si>
    <t>2016 Fourth International Symposium on Computing and Networking (CANDAR)</t>
  </si>
  <si>
    <t>10.1109/CANDAR.2016.0106</t>
  </si>
  <si>
    <t>https://ieeexplore.ieee.org/stamp/stamp.jsp?arnumber=7818676</t>
  </si>
  <si>
    <t>Predicting Change Impact in Object-Oriented Applications with Bayesian Networks</t>
  </si>
  <si>
    <t>M. K. Abdi; H. Lounis; H. Sahraoui</t>
  </si>
  <si>
    <t>2009 33rd Annual IEEE International Computer Software and Applications Conference</t>
  </si>
  <si>
    <t>https://ieeexplore.ieee.org/stamp/stamp.jsp?arnumber=5254257</t>
  </si>
  <si>
    <t>A. Kale; Y. Wu; J. Hullman</t>
  </si>
  <si>
    <t>https://ieeexplore.ieee.org/stamp/stamp.jsp?arnumber=9552187</t>
  </si>
  <si>
    <t>Removing causality cycle of synchronous programs with sequential data-flow recursion</t>
  </si>
  <si>
    <t>Tieqiang Mo; PengHao</t>
  </si>
  <si>
    <t>2008 8th International Conference on Application of Concurrency to System Design</t>
  </si>
  <si>
    <t>10.1109/ACSD.2008.4574607</t>
  </si>
  <si>
    <t>https://ieeexplore.ieee.org/stamp/stamp.jsp?arnumber=4574607</t>
  </si>
  <si>
    <t>Time Delay and Causality in Biological Systems Using Whitened Cross-Correlation Analysis</t>
  </si>
  <si>
    <t>M. El-Gohary; J. McNames; T. Ellis; B. Goldstein</t>
  </si>
  <si>
    <t>2006 International Conference of the IEEE Engineering in Medicine and Biology Society</t>
  </si>
  <si>
    <t>10.1109/IEMBS.2006.260255</t>
  </si>
  <si>
    <t>https://ieeexplore.ieee.org/stamp/stamp.jsp?arnumber=4463217</t>
  </si>
  <si>
    <t>The quality of service (QoS) binding model</t>
  </si>
  <si>
    <t>J. de Meer; A. Hafid; A. Puder</t>
  </si>
  <si>
    <t>1998 Sixth International Workshop on Quality of Service (IWQoS'98) (Cat. No.98EX136)</t>
  </si>
  <si>
    <t>10.1109/IWQOS.1998.675230</t>
  </si>
  <si>
    <t>https://ieeexplore.ieee.org/stamp/stamp.jsp?arnumber=675230</t>
  </si>
  <si>
    <t>Collective Emotional Reaction to Societal Risks in China</t>
  </si>
  <si>
    <t>Y. Dong; H. Chen; X. Tang; W. Qian; A. Zhou</t>
  </si>
  <si>
    <t>2015 IEEE International Conference on Systems, Man, and Cybernetics</t>
  </si>
  <si>
    <t>10.1109/SMC.2015.108</t>
  </si>
  <si>
    <t>https://ieeexplore.ieee.org/stamp/stamp.jsp?arnumber=7379240</t>
  </si>
  <si>
    <t>Application Performance Monitoring and Analyzing Based on Bayesian Network</t>
  </si>
  <si>
    <t>C. Wang; L. Su; X. Zhao; Y. Zhang</t>
  </si>
  <si>
    <t>2014 11th Web Information System and Application Conference</t>
  </si>
  <si>
    <t>10.1109/WISA.2014.19</t>
  </si>
  <si>
    <t>https://ieeexplore.ieee.org/stamp/stamp.jsp?arnumber=7057988</t>
  </si>
  <si>
    <t>A Study on the Relationship between Higher Education Equity and Income Distribution Based on Co-Integration and Granger Causality Test</t>
  </si>
  <si>
    <t>S. Gao; S. Zhao; H. Xing</t>
  </si>
  <si>
    <t>2009 International Conference on Computational Intelligence and Software Engineering</t>
  </si>
  <si>
    <t>10.1109/CISE.2009.5364759</t>
  </si>
  <si>
    <t>https://ieeexplore.ieee.org/stamp/stamp.jsp?arnumber=5364759</t>
  </si>
  <si>
    <t>Simulation validation using Causal Inference Theory with morphological constraints</t>
  </si>
  <si>
    <t>W. N. Reynolds; F. Wimberly</t>
  </si>
  <si>
    <t>Proceedings of the 2011 Winter Simulation Conference (WSC)</t>
  </si>
  <si>
    <t>10.1109/WSC.2011.6148057</t>
  </si>
  <si>
    <t>https://ieeexplore.ieee.org/stamp/stamp.jsp?arnumber=6148057</t>
  </si>
  <si>
    <t>CABdedupe: A Causality-Based Deduplication Performance Booster for Cloud Backup Services</t>
  </si>
  <si>
    <t>Y. Tan; H. Jiang; D. Feng; L. Tian; Z. Yan</t>
  </si>
  <si>
    <t>2011 IEEE International Parallel &amp; Distributed Processing Symposium</t>
  </si>
  <si>
    <t>10.1109/IPDPS.2011.76</t>
  </si>
  <si>
    <t>https://ieeexplore.ieee.org/stamp/stamp.jsp?arnumber=6012934</t>
  </si>
  <si>
    <t>Fairness Under Feature Exemptions: Counterfactual and Observational Measures</t>
  </si>
  <si>
    <t>S. Dutta; P. Venkatesh; P. Mardziel; A. Datta; P. Grover</t>
  </si>
  <si>
    <t>https://ieeexplore.ieee.org/stamp/stamp.jsp?arnumber=9508964</t>
  </si>
  <si>
    <t>G-Computation Demonstration in Estimating Causal Effects with Time-Dependent Confounding</t>
  </si>
  <si>
    <t>F. Liu; Y. Shuai; X. Zhang; Y. Xiong; Y. Zeng</t>
  </si>
  <si>
    <t>2022 IEEE 2nd International Conference on Software Engineering and Artificial Intelligence (SEAI)</t>
  </si>
  <si>
    <t>10.1109/SEAI55746.2022.9832345</t>
  </si>
  <si>
    <t>https://ieeexplore.ieee.org/stamp/stamp.jsp?arnumber=9832345</t>
  </si>
  <si>
    <t>J. Frattini</t>
  </si>
  <si>
    <t>2020 IEEE Seventh International Workshop on Artificial Intelligence for Requirements Engineering (AIRE)</t>
  </si>
  <si>
    <t>https://ieeexplore.ieee.org/stamp/stamp.jsp?arnumber=9233006</t>
  </si>
  <si>
    <t>Transcranial Alternating Current Stimulation Improves Memory Function in Alzheimer’s Mice by Ameliorating Abnormal Gamma Oscillation</t>
  </si>
  <si>
    <t>L. Wu; W. Zhang; S. Li; Y. Li; Y. Yuan; L. Huang; T. Cao; L. Fan; J. Chen; J. Wang; T. Liu; J. Wang</t>
  </si>
  <si>
    <t>https://ieeexplore.ieee.org/stamp/stamp.jsp?arnumber=10106081</t>
  </si>
  <si>
    <t>Blaming in component-based real-time systems</t>
  </si>
  <si>
    <t>G. Gössier; L. Astefanoaei</t>
  </si>
  <si>
    <t>2014 International Conference on Embedded Software (EMSOFT)</t>
  </si>
  <si>
    <t>10.1145/2656045.2656048</t>
  </si>
  <si>
    <t>https://ieeexplore.ieee.org/stamp/stamp.jsp?arnumber=6986115</t>
  </si>
  <si>
    <t>Augmented Textual Features-Based Stock Market Prediction</t>
  </si>
  <si>
    <t>S. Bouktif; A. Fiaz; M. Awad</t>
  </si>
  <si>
    <t>10.1109/ACCESS.2020.2976725</t>
  </si>
  <si>
    <t>https://ieeexplore.ieee.org/stamp/stamp.jsp?arnumber=9016182</t>
  </si>
  <si>
    <t>Causality visualization using animated growing polygons</t>
  </si>
  <si>
    <t>N. Elmqvist; P. Tsigas</t>
  </si>
  <si>
    <t>IEEE Symposium on Information Visualization 2003 (IEEE Cat. No.03TH8714)</t>
  </si>
  <si>
    <t>10.1109/INFVIS.2003.1249025</t>
  </si>
  <si>
    <t>https://ieeexplore.ieee.org/stamp/stamp.jsp?arnumber=1249025</t>
  </si>
  <si>
    <t>Secure composition of untrusted code: wrappers and causality types</t>
  </si>
  <si>
    <t>P. Sewell; J. Vitek</t>
  </si>
  <si>
    <t>Proceedings 13th IEEE Computer Security Foundations Workshop. CSFW-13</t>
  </si>
  <si>
    <t>10.1109/CSFW.2000.856943</t>
  </si>
  <si>
    <t>https://ieeexplore.ieee.org/stamp/stamp.jsp?arnumber=856943</t>
  </si>
  <si>
    <t>Finding Cryptocurrency Attack Indicators Using Temporal Logic and Darkweb Data</t>
  </si>
  <si>
    <t>M. Almukaynizi; V. Paliath; M. Shah; M. Shah; P. Shakarian</t>
  </si>
  <si>
    <t>2018 IEEE International Conference on Intelligence and Security Informatics (ISI)</t>
  </si>
  <si>
    <t>10.1109/ISI.2018.8587361</t>
  </si>
  <si>
    <t>https://ieeexplore.ieee.org/stamp/stamp.jsp?arnumber=8587361</t>
  </si>
  <si>
    <t>Causality based generation of directed test cases</t>
  </si>
  <si>
    <t>N. Saxena; J. A. Abraham; A. Saha</t>
  </si>
  <si>
    <t>Proceedings 2000. Design Automation Conference. (IEEE Cat. No.00CH37106)</t>
  </si>
  <si>
    <t>10.1109/ASPDAC.2000.835151</t>
  </si>
  <si>
    <t>https://ieeexplore.ieee.org/stamp/stamp.jsp?arnumber=835151</t>
  </si>
  <si>
    <t>Blech, Imperative Synchronous Programming!</t>
  </si>
  <si>
    <t>F. Gretz; F. -J. Grosch</t>
  </si>
  <si>
    <t>2018 Forum on Specification &amp; Design Languages (FDL)</t>
  </si>
  <si>
    <t>10.1109/FDL.2018.8524036</t>
  </si>
  <si>
    <t>https://ieeexplore.ieee.org/stamp/stamp.jsp?arnumber=8524036</t>
  </si>
  <si>
    <t>Toward Data-Driven Digital Therapeutics Analytics: Literature Review and Research Directions</t>
  </si>
  <si>
    <t>U. Lee; G. Jung; E. -Y. Ma; J. S. Kim; H. Kim; J. Alikhanov; Y. Noh; H. Kim</t>
  </si>
  <si>
    <t>IEEE/CAA Journal of Automatica Sinica</t>
  </si>
  <si>
    <t>10.1109/JAS.2023.123015</t>
  </si>
  <si>
    <t>https://ieeexplore.ieee.org/stamp/stamp.jsp?arnumber=10007899</t>
  </si>
  <si>
    <t>D. Zhu; S. Yao</t>
  </si>
  <si>
    <t>2018 IEEE 9th International Conference on Software Engineering and Service Science (ICSESS)</t>
  </si>
  <si>
    <t>https://ieeexplore.ieee.org/stamp/stamp.jsp?arnumber=8663927</t>
  </si>
  <si>
    <t>On the Meaning and Purpose of Attack Trees</t>
  </si>
  <si>
    <t>H. Mantel; C. W. Probst</t>
  </si>
  <si>
    <t>2019 IEEE 32nd Computer Security Foundations Symposium (CSF)</t>
  </si>
  <si>
    <t>10.1109/CSF.2019.00020</t>
  </si>
  <si>
    <t>https://ieeexplore.ieee.org/stamp/stamp.jsp?arnumber=8823696</t>
  </si>
  <si>
    <t>Capturing Causal Knowledge from Authoritative Medical Ontologies</t>
  </si>
  <si>
    <t>H. Hu; L. Kerschberg</t>
  </si>
  <si>
    <t>2020 IEEE 44th Annual Computers, Software, and Applications Conference (COMPSAC)</t>
  </si>
  <si>
    <t>10.1109/COMPSAC48688.2020.00-64</t>
  </si>
  <si>
    <t>https://ieeexplore.ieee.org/stamp/stamp.jsp?arnumber=9202788</t>
  </si>
  <si>
    <t>Causality-Aware Machine Learning for Path Correction</t>
  </si>
  <si>
    <t>A. Stringer; B. Sun; L. Schley; D. F. Hougen; J. K. Antonio</t>
  </si>
  <si>
    <t>2022 IEEE/AIAA 41st Digital Avionics Systems Conference (DASC)</t>
  </si>
  <si>
    <t>10.1109/DASC55683.2022.9925875</t>
  </si>
  <si>
    <t>https://ieeexplore.ieee.org/stamp/stamp.jsp?arnumber=9925875</t>
  </si>
  <si>
    <t>Early Concept Development and Safety Analysis of Future Transportation Systems</t>
  </si>
  <si>
    <t>C. H. Fleming; N. G. Leveson</t>
  </si>
  <si>
    <t>https://ieeexplore.ieee.org/stamp/stamp.jsp?arnumber=7488999</t>
  </si>
  <si>
    <t>After-Stroke Arm Paresis Detection Using Kinematic Data</t>
  </si>
  <si>
    <t>K. Lai; M. Almekhlafi; S. Yanushkevich</t>
  </si>
  <si>
    <t>2023 IEEE Symposium Series on Computational Intelligence (SSCI)</t>
  </si>
  <si>
    <t>10.1109/SSCI52147.2023.10371828</t>
  </si>
  <si>
    <t>https://ieeexplore.ieee.org/stamp/stamp.jsp?arnumber=10371828</t>
  </si>
  <si>
    <t>/spl Delta/-causality in wide-area group communications</t>
  </si>
  <si>
    <t>T. Tachikawa; M. Takizawa</t>
  </si>
  <si>
    <t>Proceedings 1997 International Conference on Parallel and Distributed Systems</t>
  </si>
  <si>
    <t>10.1109/ICPADS.1997.652559</t>
  </si>
  <si>
    <t>https://ieeexplore.ieee.org/stamp/stamp.jsp?arnumber=652559</t>
  </si>
  <si>
    <t>Stock Market Movement Prediction using Disparate Text Features with Machine Learning</t>
  </si>
  <si>
    <t>2019 Third International Conference on Intelligent Computing in Data Sciences (ICDS)</t>
  </si>
  <si>
    <t>10.1109/ICDS47004.2019.8942303</t>
  </si>
  <si>
    <t>https://ieeexplore.ieee.org/stamp/stamp.jsp?arnumber=8942303</t>
  </si>
  <si>
    <t>Few-Shot Relation Classification Research Based on Prototypical Network and Causal Intervention</t>
  </si>
  <si>
    <t>Z. Li; F. Ouyang; C. Zhou; Y. He; L. Shen</t>
  </si>
  <si>
    <t>10.1109/ACCESS.2022.3164688</t>
  </si>
  <si>
    <t>https://ieeexplore.ieee.org/stamp/stamp.jsp?arnumber=9750943</t>
  </si>
  <si>
    <t>Two-Sided Digital Markets: Disruptive Chance Meets Chicken or Egg Causality Dilemma</t>
  </si>
  <si>
    <t>J. Wanner; C. Bauer; C. Janiesch</t>
  </si>
  <si>
    <t>2019 IEEE 21st Conference on Business Informatics (CBI)</t>
  </si>
  <si>
    <t>10.1109/CBI.2019.00045</t>
  </si>
  <si>
    <t>https://ieeexplore.ieee.org/stamp/stamp.jsp?arnumber=8808087</t>
  </si>
  <si>
    <t>Lightweight and Adaptive Service API Performance Monitoring in Highly Dynamic Cloud Environment</t>
  </si>
  <si>
    <t>J. Xu; Y. Wang; P. Chen; P. Wang</t>
  </si>
  <si>
    <t>2017 IEEE International Conference on Services Computing (SCC)</t>
  </si>
  <si>
    <t>10.1109/SCC.2017.80</t>
  </si>
  <si>
    <t>https://ieeexplore.ieee.org/stamp/stamp.jsp?arnumber=8034965</t>
  </si>
  <si>
    <t>jPredictor</t>
  </si>
  <si>
    <t>F. Chen; T. Serbanuta; G. Rosu</t>
  </si>
  <si>
    <t>2008 ACM/IEEE 30th International Conference on Software Engineering</t>
  </si>
  <si>
    <t>10.1145/1368088.1368119</t>
  </si>
  <si>
    <t>https://ieeexplore.ieee.org/stamp/stamp.jsp?arnumber=4814133</t>
  </si>
  <si>
    <t>An Information Theoretic Learning for Causal Direction Identification</t>
  </si>
  <si>
    <t>H. Wu; M. D. Wang</t>
  </si>
  <si>
    <t>10.1109/COMPSAC48688.2020.0-231</t>
  </si>
  <si>
    <t>https://ieeexplore.ieee.org/stamp/stamp.jsp?arnumber=9202433</t>
  </si>
  <si>
    <t>APICAD: Augmenting API Misuse Detection through Specifications from Code and Documents</t>
  </si>
  <si>
    <t>X. Wang; L. Zhao</t>
  </si>
  <si>
    <t>10.1109/ICSE48619.2023.00032</t>
  </si>
  <si>
    <t>https://ieeexplore.ieee.org/stamp/stamp.jsp?arnumber=10172771</t>
  </si>
  <si>
    <t>Thinking inside the Box: Differential Fault Localization for SDN Control Plane</t>
  </si>
  <si>
    <t>X. Li; Y. Yu; K. Bu; Y. Chen; J. Yang; R. Quan</t>
  </si>
  <si>
    <t>2019 IFIP/IEEE Symposium on Integrated Network and Service Management (IM)</t>
  </si>
  <si>
    <t>https://ieeexplore.ieee.org/stamp/stamp.jsp?arnumber=8717815</t>
  </si>
  <si>
    <t>I/O Causality Based In-Line Data Deduplication for Non-Volatile Memory Enabled Storage Systems</t>
  </si>
  <si>
    <t>H. Liu; X. Jin; C. Ye; X. Liao; H. Jin; Y. Zhang</t>
  </si>
  <si>
    <t>IEEE Transactions on Computers</t>
  </si>
  <si>
    <t>10.1109/TC.2024.3365961</t>
  </si>
  <si>
    <t>https://ieeexplore.ieee.org/stamp/stamp.jsp?arnumber=10436414</t>
  </si>
  <si>
    <t>Using causal reasoning to validate stochastic models</t>
  </si>
  <si>
    <t>A. Chandra; C. . -L. Wu; J. A. Abraham</t>
  </si>
  <si>
    <t>Proceedings of the Tenth Conference on Artificial Intelligence for Applications</t>
  </si>
  <si>
    <t>10.1109/CAIA.1994.323652</t>
  </si>
  <si>
    <t>https://ieeexplore.ieee.org/stamp/stamp.jsp?arnumber=323652</t>
  </si>
  <si>
    <t>On welding defect detection and causalities between welding signals</t>
  </si>
  <si>
    <t>A. A. Melakhsou; M. Batton-Hubert</t>
  </si>
  <si>
    <t>2021 IEEE 17th International Conference on Automation Science and Engineering (CASE)</t>
  </si>
  <si>
    <t>10.1109/CASE49439.2021.9551659</t>
  </si>
  <si>
    <t>https://ieeexplore.ieee.org/stamp/stamp.jsp?arnumber=9551659</t>
  </si>
  <si>
    <t>Asynchronous composition and required security conditions</t>
  </si>
  <si>
    <t>N. Boulahia-Cuppens; F. Cuppens</t>
  </si>
  <si>
    <t>Proceedings of 1994 IEEE Computer Society Symposium on Research in Security and Privacy</t>
  </si>
  <si>
    <t>10.1109/RISP.1994.296591</t>
  </si>
  <si>
    <t>https://ieeexplore.ieee.org/stamp/stamp.jsp?arnumber=296591</t>
  </si>
  <si>
    <t>Profiling Distributed Virtual Environments by Tracing Causality</t>
  </si>
  <si>
    <t>S. Friston; E. Griffith; D. Swapp; A. Marshall; A. Steed</t>
  </si>
  <si>
    <t>2018 IEEE Conference on Virtual Reality and 3D User Interfaces (VR)</t>
  </si>
  <si>
    <t>10.1109/VR.2018.8446135</t>
  </si>
  <si>
    <t>https://ieeexplore.ieee.org/stamp/stamp.jsp?arnumber=8446135</t>
  </si>
  <si>
    <t>Embedding Polychrony into Synchrony</t>
  </si>
  <si>
    <t>J. Brandt; M. Gemünde; K. Schneider; S. K. Shukla; J. -P. Talpin</t>
  </si>
  <si>
    <t>10.1109/TSE.2012.85</t>
  </si>
  <si>
    <t>https://ieeexplore.ieee.org/stamp/stamp.jsp?arnumber=6381420</t>
  </si>
  <si>
    <t>Preventing state divergence in duplex systems using causal memory</t>
  </si>
  <si>
    <t>https://ieeexplore.ieee.org/stamp/stamp.jsp?arnumber=6240652</t>
  </si>
  <si>
    <t>X. Tang; C. Zhang; R. Guo; X. Yang; X. Qian</t>
  </si>
  <si>
    <t>https://ieeexplore.ieee.org/stamp/stamp.jsp?arnumber=10177980</t>
  </si>
  <si>
    <t>Aegis: Attribution of Control Plane Change Impact across Layers and Components for Cloud Systems</t>
  </si>
  <si>
    <t>X. Yan; K. Hsieh; Y. Liyanage; M. Ma; M. Chintalapati; Q. Lin; Y. Dang; D. Zhang</t>
  </si>
  <si>
    <t>2023 IEEE/ACM 45th International Conference on Software Engineering: Software Engineering in Practice (ICSE-SEIP)</t>
  </si>
  <si>
    <t>10.1109/ICSE-SEIP58684.2023.00026</t>
  </si>
  <si>
    <t>https://ieeexplore.ieee.org/stamp/stamp.jsp?arnumber=10172642</t>
  </si>
  <si>
    <t>DARKMENTION: A Deployed System to Predict Enterprise-Targeted External Cyberattacks</t>
  </si>
  <si>
    <t>M. Almukaynizi; E. Marin; E. Nunes; P. Shakarian; G. I. Simari; D. Kapoor; T. Siedlecki</t>
  </si>
  <si>
    <t>10.1109/ISI.2018.8587334</t>
  </si>
  <si>
    <t>https://ieeexplore.ieee.org/stamp/stamp.jsp?arnumber=8587334</t>
  </si>
  <si>
    <t>Tracing Function Dependencies across Clouds</t>
  </si>
  <si>
    <t>W. -T. Lin; C. Krintz; R. Wolski</t>
  </si>
  <si>
    <t>2018 IEEE 11th International Conference on Cloud Computing (CLOUD)</t>
  </si>
  <si>
    <t>10.1109/CLOUD.2018.00039</t>
  </si>
  <si>
    <t>https://ieeexplore.ieee.org/stamp/stamp.jsp?arnumber=8457807</t>
  </si>
  <si>
    <t>J. -L. Colaço; B. Pagano; C. Pasteur; M. Pouzet</t>
  </si>
  <si>
    <t>https://ieeexplore.ieee.org/stamp/stamp.jsp?arnumber=8524052</t>
  </si>
  <si>
    <t>A Verification Technique for Hardware Designs</t>
  </si>
  <si>
    <t>F. Maruyama; T. Uehara; N. Kawato; T. Saito</t>
  </si>
  <si>
    <t>19th Design Automation Conference</t>
  </si>
  <si>
    <t>10.1109/DAC.1982.1585591</t>
  </si>
  <si>
    <t>https://ieeexplore.ieee.org/stamp/stamp.jsp?arnumber=1585591</t>
  </si>
  <si>
    <t>Hazard Analysis for Self-Adaptive Systems Using System-Theoretic Process Analysis</t>
  </si>
  <si>
    <t>S. Diemert; J. H. Weber</t>
  </si>
  <si>
    <t>2023 IEEE/ACM 18th Symposium on Software Engineering for Adaptive and Self-Managing Systems (SEAMS)</t>
  </si>
  <si>
    <t>10.1109/SEAMS59076.2023.00028</t>
  </si>
  <si>
    <t>https://ieeexplore.ieee.org/stamp/stamp.jsp?arnumber=10173978</t>
  </si>
  <si>
    <t>Compiled code dynamic worst case timing simulation tracking multiple causality</t>
  </si>
  <si>
    <t>K. K. Varma</t>
  </si>
  <si>
    <t>Proceedings of 1995 IEEE International Test Conference (ITC)</t>
  </si>
  <si>
    <t>10.1109/TEST.1995.529918</t>
  </si>
  <si>
    <t>https://ieeexplore.ieee.org/stamp/stamp.jsp?arnumber=529918</t>
  </si>
  <si>
    <t>PUS: A Fast and Highly Efficient Solver for Inclusion-based Pointer Analysis</t>
  </si>
  <si>
    <t>P. Liu; Y. Li; B. Swain; J. Huang</t>
  </si>
  <si>
    <t>10.1145/3510003.3510075</t>
  </si>
  <si>
    <t>https://ieeexplore.ieee.org/stamp/stamp.jsp?arnumber=9794135</t>
  </si>
  <si>
    <t>On the Detection of Persistent Attacks using Alert Graphs and Event Feature Embeddings</t>
  </si>
  <si>
    <t>B. Burr; S. Wang; G. Salmon; H. Soliman</t>
  </si>
  <si>
    <t>NOMS 2020 - 2020 IEEE/IFIP Network Operations and Management Symposium</t>
  </si>
  <si>
    <t>10.1109/NOMS47738.2020.9110439</t>
  </si>
  <si>
    <t>https://ieeexplore.ieee.org/stamp/stamp.jsp?arnumber=9110439</t>
  </si>
  <si>
    <t>BDL, a language of distributed reactive objects</t>
  </si>
  <si>
    <t>J. . -P. Talpin; A. Benveniste; B. Caillaud; C. Jard; Z. Bouziane; H. Canon</t>
  </si>
  <si>
    <t>Proceedings First International Symposium on Object-Oriented Real-Time Distributed Computing (ISORC '98)</t>
  </si>
  <si>
    <t>10.1109/ISORC.1998.666789</t>
  </si>
  <si>
    <t>https://ieeexplore.ieee.org/stamp/stamp.jsp?arnumber=666789</t>
  </si>
  <si>
    <t>A. Shabbir; A. Kumar; B. Mesman; H. Corporaal</t>
  </si>
  <si>
    <t>2009 International Symposium on Systems, Architectures, Modeling, and Simulation</t>
  </si>
  <si>
    <t>https://ieeexplore.ieee.org/stamp/stamp.jsp?arnumber=5289220</t>
  </si>
  <si>
    <t>On Causality in Distributed Continuum Systems</t>
  </si>
  <si>
    <t>V. C. Pujol; B. Sedlak; P. K. Donta; S. Dustdar</t>
  </si>
  <si>
    <t>IEEE Internet Computing</t>
  </si>
  <si>
    <t>10.1109/MIC.2023.3344248</t>
  </si>
  <si>
    <t>https://ieeexplore.ieee.org/stamp/stamp.jsp?arnumber=10508275</t>
  </si>
  <si>
    <t>CAPIS Model Based Software Design Method for Sharing Experts' Thought Processes</t>
  </si>
  <si>
    <t>K. Oyama; A. Takeuchi; H. Fujimoto</t>
  </si>
  <si>
    <t>30th Annual International Computer Software and Applications Conference (COMPSAC'06)</t>
  </si>
  <si>
    <t>https://ieeexplore.ieee.org/stamp/stamp.jsp?arnumber=4020091</t>
  </si>
  <si>
    <t>Aspects of the parallel program execution: work, time and the current state</t>
  </si>
  <si>
    <t>D. Zernik; L. Rudolph; M. Snir</t>
  </si>
  <si>
    <t>[1991] Proceedings the Fifth Israel Conference on Computer Systems and Software Engineering</t>
  </si>
  <si>
    <t>10.1109/ICCSSE.1991.151188</t>
  </si>
  <si>
    <t>https://ieeexplore.ieee.org/stamp/stamp.jsp?arnumber=151188</t>
  </si>
  <si>
    <t>EEG-based Emotion Recognition Using Sub-Band Time-Delay Correlations *</t>
  </si>
  <si>
    <t>F. A. Alskafi; A. H. Khandoker; F. Marzbanrad; H. F. Jelinek</t>
  </si>
  <si>
    <t>2023 45th Annual International Conference of the IEEE Engineering in Medicine &amp; Biology Society (EMBC)</t>
  </si>
  <si>
    <t>10.1109/EMBC40787.2023.10340014</t>
  </si>
  <si>
    <t>https://ieeexplore.ieee.org/stamp/stamp.jsp?arnumber=10340014</t>
  </si>
  <si>
    <t>Correctness analysis of Petri net based logic controllers</t>
  </si>
  <si>
    <t>G. Frey; L. Litz</t>
  </si>
  <si>
    <t>Proceedings of the 2000 American Control Conference. ACC (IEEE Cat. No.00CH36334)</t>
  </si>
  <si>
    <t>10.1109/ACC.2000.879148</t>
  </si>
  <si>
    <t>https://ieeexplore.ieee.org/stamp/stamp.jsp?arnumber=879148</t>
  </si>
  <si>
    <t>Accessing the Presentation of Causal Graphs and an Application of Gestalt Principles with Eye Tracking</t>
  </si>
  <si>
    <t>L. Grabinger; F. Hauser; J. Mottok</t>
  </si>
  <si>
    <t>2022 IEEE International Conference on Software Analysis, Evolution and Reengineering (SANER)</t>
  </si>
  <si>
    <t>10.1109/SANER53432.2022.00153</t>
  </si>
  <si>
    <t>https://ieeexplore.ieee.org/stamp/stamp.jsp?arnumber=9825823</t>
  </si>
  <si>
    <t>Statistical-QoS Guarantee for IoT Network Driven by Laser-Powered UAV Relay and RF Backscatter Communications</t>
  </si>
  <si>
    <t>M. Z. Hassan; M. J. Hossain; J. Cheng; V. C. M. Leung</t>
  </si>
  <si>
    <t>IEEE Transactions on Green Communications and Networking</t>
  </si>
  <si>
    <t>10.1109/TGCN.2020.3025951</t>
  </si>
  <si>
    <t>https://ieeexplore.ieee.org/stamp/stamp.jsp?arnumber=9203992</t>
  </si>
  <si>
    <t>M. Jin; A. Lv; Y. Zhu; Z. Wen; Y. Zhong; Z. Zhao; J. Wu; H. Li; H. He; F. Chen</t>
  </si>
  <si>
    <t>https://ieeexplore.ieee.org/stamp/stamp.jsp?arnumber=9293310</t>
  </si>
  <si>
    <t>Qualitative Diagnosis Based on System Structure</t>
  </si>
  <si>
    <t>X. -N. Zhang; Y. -F. Jiang; A. -X. Chen</t>
  </si>
  <si>
    <t>2007 International Conference on Machine Learning and Cybernetics</t>
  </si>
  <si>
    <t>10.1109/ICMLC.2007.4370585</t>
  </si>
  <si>
    <t>https://ieeexplore.ieee.org/stamp/stamp.jsp?arnumber=4370585</t>
  </si>
  <si>
    <t>Building reliable dynamic applications for ubiquitous computing</t>
  </si>
  <si>
    <t>J. Estublier; G. Vega</t>
  </si>
  <si>
    <t>2013 5th International Workshop on Principles of Engineering Service-Oriented Systems (PESOS)</t>
  </si>
  <si>
    <t>10.1109/PESOS.2013.6635973</t>
  </si>
  <si>
    <t>https://ieeexplore.ieee.org/stamp/stamp.jsp?arnumber=6635973</t>
  </si>
  <si>
    <t>Causality-based Prediction Method for the Diesel Engine Assembly Line System</t>
  </si>
  <si>
    <t>J. -H. Hu; Y. -N. Sun; H. -W. Xu; Z. -L. Zhang; W. Qin; X. -Y. Li</t>
  </si>
  <si>
    <t>2022 IEEE 18th International Conference on Automation Science and Engineering (CASE)</t>
  </si>
  <si>
    <t>10.1109/CASE49997.2022.9926702</t>
  </si>
  <si>
    <t>https://ieeexplore.ieee.org/stamp/stamp.jsp?arnumber=9926702</t>
  </si>
  <si>
    <t>ARTS: a system-level framework for modeling MPSoC components and analysis of their causality</t>
  </si>
  <si>
    <t>S. Mahadevan; M. Storgaard; J. Madsen; K. Virk</t>
  </si>
  <si>
    <t>13th IEEE International Symposium on Modeling, Analysis, and Simulation of Computer and Telecommunication Systems</t>
  </si>
  <si>
    <t>10.1109/MASCOTS.2005.16</t>
  </si>
  <si>
    <t>https://ieeexplore.ieee.org/stamp/stamp.jsp?arnumber=1521169</t>
  </si>
  <si>
    <t>h-Horizon Sequential Look-ahead Greedy Algorithm for VNF-FG Embedding</t>
  </si>
  <si>
    <t>A. Ebrahimzadeh; N. Promwongsa; S. N. Afrasiabi; C. Mouradian; W. Li; Á. Recse; R. Szabó; R. H. Glitho</t>
  </si>
  <si>
    <t>2021 IEEE Conference on Network Function Virtualization and Software Defined Networks (NFV-SDN)</t>
  </si>
  <si>
    <t>10.1109/NFV-SDN53031.2021.9665063</t>
  </si>
  <si>
    <t>https://ieeexplore.ieee.org/stamp/stamp.jsp?arnumber=9665063</t>
  </si>
  <si>
    <t>Realistic Evaluation of Interconnection Networks Using Synthetic Traffic</t>
  </si>
  <si>
    <t>J. Navaridas; J. Miguel-Alonso</t>
  </si>
  <si>
    <t>2009 Eighth International Symposium on Parallel and Distributed Computing</t>
  </si>
  <si>
    <t>10.1109/ISPDC.2009.20</t>
  </si>
  <si>
    <t>https://ieeexplore.ieee.org/stamp/stamp.jsp?arnumber=5284344</t>
  </si>
  <si>
    <t>D. N. Palacio; A. Velasco; N. Cooper; A. Rodriguez; K. Moran; D. Poshyvanyk</t>
  </si>
  <si>
    <t>https://ieeexplore.ieee.org/stamp/stamp.jsp?arnumber=10477672</t>
  </si>
  <si>
    <t>IEEE Early Access Articles</t>
  </si>
  <si>
    <t>Analysis of Large Market Data Using Neural Networks: A Causal Approach</t>
  </si>
  <si>
    <t>M. -A. Divernois; J. Etesami; D. Filipovic; N. Kiyavash</t>
  </si>
  <si>
    <t>IEEE Journal on Selected Areas in Information Theory</t>
  </si>
  <si>
    <t>10.1109/JSAIT.2024.3351549</t>
  </si>
  <si>
    <t>https://ieeexplore.ieee.org/stamp/stamp.jsp?arnumber=10400975</t>
  </si>
  <si>
    <t>An Approach for Authoring Mulsemedia Documents Based on Events</t>
  </si>
  <si>
    <t>D. P. d. Mattos; D. C. Muchaluat-Saade; G. Ghinea</t>
  </si>
  <si>
    <t>2020 International Conference on Computing, Networking and Communications (ICNC)</t>
  </si>
  <si>
    <t>10.1109/ICNC47757.2020.9049485</t>
  </si>
  <si>
    <t>https://ieeexplore.ieee.org/stamp/stamp.jsp?arnumber=9049485</t>
  </si>
  <si>
    <t>X. Zhu; Y. Yang</t>
  </si>
  <si>
    <t>2014 IEEE 5th International Conference on Software Engineering and Service Science</t>
  </si>
  <si>
    <t>https://ieeexplore.ieee.org/stamp/stamp.jsp?arnumber=6933572</t>
  </si>
  <si>
    <t>Granular-Causality-Based Byproduct Energy Scheduling for Energy-Intensive Enterprise</t>
  </si>
  <si>
    <t>F. Jin; L. Wang; J. Zhao; W. Wang; Q. Liu</t>
  </si>
  <si>
    <t>https://ieeexplore.ieee.org/stamp/stamp.jsp?arnumber=9013019</t>
  </si>
  <si>
    <t>An Asynchronous Distributed Data Collection Approach for Mobile Group Consumption</t>
  </si>
  <si>
    <t>W. Chen; Z. Li; Y. Liang; J. Chen; W. Zhu</t>
  </si>
  <si>
    <t>2015 International Conference on Identification, Information, and Knowledge in the Internet of Things (IIKI)</t>
  </si>
  <si>
    <t>10.1109/IIKI.2015.11</t>
  </si>
  <si>
    <t>https://ieeexplore.ieee.org/stamp/stamp.jsp?arnumber=7428315</t>
  </si>
  <si>
    <t>Automating Vector Autoregression on Electronic Patient Diary Data</t>
  </si>
  <si>
    <t>A. C. Emerencia; L. van der Krieke; E. H. Bos; P. de Jonge; N. Petkov; M. Aiello</t>
  </si>
  <si>
    <t>IEEE Journal of Biomedical and Health Informatics</t>
  </si>
  <si>
    <t>10.1109/JBHI.2015.2402280</t>
  </si>
  <si>
    <t>https://ieeexplore.ieee.org/stamp/stamp.jsp?arnumber=7038195</t>
  </si>
  <si>
    <t>Omega: a Secure Event Ordering Service for the Edge</t>
  </si>
  <si>
    <t>C. Correia; M. Correia; L. Rodrigues</t>
  </si>
  <si>
    <t>2020 50th Annual IEEE/IFIP International Conference on Dependable Systems and Networks (DSN)</t>
  </si>
  <si>
    <t>10.1109/DSN48063.2020.00062</t>
  </si>
  <si>
    <t>https://ieeexplore.ieee.org/stamp/stamp.jsp?arnumber=9153374</t>
  </si>
  <si>
    <t>Horus: Non-Intrusive Causal Analysis of Distributed Systems Logs</t>
  </si>
  <si>
    <t>F. Neves; N. Machado; R. Vilaça; J. Pereira</t>
  </si>
  <si>
    <t>2021 51st Annual IEEE/IFIP International Conference on Dependable Systems and Networks (DSN)</t>
  </si>
  <si>
    <t>10.1109/DSN48987.2021.00035</t>
  </si>
  <si>
    <t>https://ieeexplore.ieee.org/stamp/stamp.jsp?arnumber=9505126</t>
  </si>
  <si>
    <t>Quasi-Impulse Response of Frequency-Periodic Microwave Networks</t>
  </si>
  <si>
    <t>M. Stojilović; M. Rubinstein; A. R. Djordjević</t>
  </si>
  <si>
    <t>IEEE Transactions on Electromagnetic Compatibility</t>
  </si>
  <si>
    <t>10.1109/TEMC.2015.2513009</t>
  </si>
  <si>
    <t>https://ieeexplore.ieee.org/stamp/stamp.jsp?arnumber=7378978</t>
  </si>
  <si>
    <t>D$^2$2Abs: A Framework for Dynamic Dependence Analysis of Distributed Programs</t>
  </si>
  <si>
    <t>H. Cai; X. Fu</t>
  </si>
  <si>
    <t>10.1109/TSE.2021.3124795</t>
  </si>
  <si>
    <t>https://ieeexplore.ieee.org/stamp/stamp.jsp?arnumber=9618848</t>
  </si>
  <si>
    <t>Resilience Improvements for Space-Based Radio Frequency Machine Learning</t>
  </si>
  <si>
    <t>L. J. Wong; E. Altland; J. Detwiler; P. Fermin; J. M. Kuzin; N. Moeliono; A. S. Abdalla; W. C. Headley; A. J. Michaels</t>
  </si>
  <si>
    <t>2020 International Symposium on Networks, Computers and Communications (ISNCC)</t>
  </si>
  <si>
    <t>10.1109/ISNCC49221.2020.9297212</t>
  </si>
  <si>
    <t>https://ieeexplore.ieee.org/stamp/stamp.jsp?arnumber=9297212</t>
  </si>
  <si>
    <t>Synchronic Distance Based Workflow Logic Specification</t>
  </si>
  <si>
    <t>W. Zhao; Y. Huang; C. Yuan</t>
  </si>
  <si>
    <t>2008 10th IEEE International Conference on High Performance Computing and Communications</t>
  </si>
  <si>
    <t>10.1109/HPCC.2008.48</t>
  </si>
  <si>
    <t>https://ieeexplore.ieee.org/stamp/stamp.jsp?arnumber=4637786</t>
  </si>
  <si>
    <t>A Generic Specification Framework for Weakly Consistent Replicated Data Types</t>
  </si>
  <si>
    <t>X. Jiang; H. Wei; Y. Huang</t>
  </si>
  <si>
    <t>2020 International Symposium on Reliable Distributed Systems (SRDS)</t>
  </si>
  <si>
    <t>10.1109/SRDS51746.2020.00022</t>
  </si>
  <si>
    <t>https://ieeexplore.ieee.org/stamp/stamp.jsp?arnumber=9252077</t>
  </si>
  <si>
    <t>P. Pietikainen; J. Viide; J. Roning</t>
  </si>
  <si>
    <t>2008 16th IEEE Workshop on Local and Metropolitan Area Networks</t>
  </si>
  <si>
    <t>https://ieeexplore.ieee.org/stamp/stamp.jsp?arnumber=4675854</t>
  </si>
  <si>
    <t>Generalizing Graph Neural Networks on Out-of-Distribution Graphs</t>
  </si>
  <si>
    <t>S. Fan; X. Wang; C. Shi; P. Cui; B. Wang</t>
  </si>
  <si>
    <t>10.1109/TPAMI.2023.3321097</t>
  </si>
  <si>
    <t>https://ieeexplore.ieee.org/stamp/stamp.jsp?arnumber=10268633</t>
  </si>
  <si>
    <t>Robust event correlation scheme for fault identification in communications network</t>
  </si>
  <si>
    <t>Chi-Chun Lo; Shing-Hong Chen</t>
  </si>
  <si>
    <t>IEEE GLOBECOM 1998 (Cat. NO. 98CH36250)</t>
  </si>
  <si>
    <t>10.1109/GLOCOM.1998.776009</t>
  </si>
  <si>
    <t>https://ieeexplore.ieee.org/stamp/stamp.jsp?arnumber=776009</t>
  </si>
  <si>
    <t>N. Bv; J. B. Simha; S. Abhi; K. C. S</t>
  </si>
  <si>
    <t>2023 7th International Conference on I-SMAC (IoT in Social, Mobile, Analytics and Cloud) (I-SMAC)</t>
  </si>
  <si>
    <t>https://ieeexplore.ieee.org/stamp/stamp.jsp?arnumber=10290494</t>
  </si>
  <si>
    <t>Ordering Events Based on Intentionality in Cyber-Physical Systems</t>
  </si>
  <si>
    <t>W. Saab; M. Mohiuddin; S. Bliudze; J. -Y. Le Boudec</t>
  </si>
  <si>
    <t>2018 ACM/IEEE 9th International Conference on Cyber-Physical Systems (ICCPS)</t>
  </si>
  <si>
    <t>10.1109/ICCPS.2018.00019</t>
  </si>
  <si>
    <t>https://ieeexplore.ieee.org/stamp/stamp.jsp?arnumber=8443726</t>
  </si>
  <si>
    <t>Remote graphical processing for dual display of RTOS and GPOS on an embedded hypervisor</t>
  </si>
  <si>
    <t>H. Joe; D. Kang; J. -A. Shin; V. Dupre; S. -Y. Kim; T. Kim; C. Lim</t>
  </si>
  <si>
    <t>2015 IEEE 20th Conference on Emerging Technologies &amp; Factory Automation (ETFA)</t>
  </si>
  <si>
    <t>10.1109/ETFA.2015.7301581</t>
  </si>
  <si>
    <t>https://ieeexplore.ieee.org/stamp/stamp.jsp?arnumber=7301581</t>
  </si>
  <si>
    <t>On the Technology of High-Performance Parallel Simulation</t>
  </si>
  <si>
    <t>B. Liu; Y. Yao; H. Wang</t>
  </si>
  <si>
    <t>https://ieeexplore.ieee.org/stamp/stamp.jsp?arnumber=10198650</t>
  </si>
  <si>
    <t>CIE</t>
  </si>
  <si>
    <t>CIE Journals</t>
  </si>
  <si>
    <t>Finding Causally Different Tests for an Industrial Control System</t>
  </si>
  <si>
    <t>C. M. Poskitt; Y. Chen; J. Sun; Y. Jiang</t>
  </si>
  <si>
    <t>10.1109/ICSE48619.2023.00215</t>
  </si>
  <si>
    <t>https://ieeexplore.ieee.org/stamp/stamp.jsp?arnumber=10172721</t>
  </si>
  <si>
    <t>N. J. Setiadi; A. Christianto; H. Sutanto</t>
  </si>
  <si>
    <t>2022 10th International Conference on Cyber and IT Service Management (CITSM)</t>
  </si>
  <si>
    <t>https://ieeexplore.ieee.org/stamp/stamp.jsp?arnumber=9935957</t>
  </si>
  <si>
    <t>Event Structure Model for Interactive Markov Chains</t>
  </si>
  <si>
    <t>X. -Y. Zhao</t>
  </si>
  <si>
    <t>2008 International Symposium on Information Science and Engineering</t>
  </si>
  <si>
    <t>10.1109/ISISE.2008.15</t>
  </si>
  <si>
    <t>https://ieeexplore.ieee.org/stamp/stamp.jsp?arnumber=4732488</t>
  </si>
  <si>
    <t>The foundations for managing a modern enterprise: A review</t>
  </si>
  <si>
    <t>M. Farukh; N. Moalla; A. Bouras</t>
  </si>
  <si>
    <t>2011 5th International Conference on Software, Knowledge Information, Industrial Management and Applications (SKIMA) Proceedings</t>
  </si>
  <si>
    <t>10.1109/SKIMA.2011.6090006</t>
  </si>
  <si>
    <t>https://ieeexplore.ieee.org/stamp/stamp.jsp?arnumber=6090006</t>
  </si>
  <si>
    <t>Disturbance propagation analysis of complex chemical process based on directional mutual information</t>
  </si>
  <si>
    <t>K. Li; G. Chen; L. Xie; D. -y. Zhou</t>
  </si>
  <si>
    <t>Proceedings of the 32nd Chinese Control Conference</t>
  </si>
  <si>
    <t>https://ieeexplore.ieee.org/stamp/stamp.jsp?arnumber=6640545</t>
  </si>
  <si>
    <t>Exploration and Reflection on Precise Recommendation in Complex Information Environments: Boundaries, Challenges, and Future Prospects</t>
  </si>
  <si>
    <t>X. Ma; M. Li</t>
  </si>
  <si>
    <t>2023 9th International Conference on Systems and Informatics (ICSAI)</t>
  </si>
  <si>
    <t>10.1109/ICSAI61474.2023.10423324</t>
  </si>
  <si>
    <t>https://ieeexplore.ieee.org/stamp/stamp.jsp?arnumber=10423324</t>
  </si>
  <si>
    <t>Demand-Driven Weak Clock Synchronization for Distributed Applications</t>
  </si>
  <si>
    <t>X. Limei</t>
  </si>
  <si>
    <t>https://ieeexplore.ieee.org/stamp/stamp.jsp?arnumber=4722364</t>
  </si>
  <si>
    <t>Toward Human Level Machine Intelligence - Is It Achievable? The Need for a Paradigm Shift</t>
  </si>
  <si>
    <t>L. A. Zadeh</t>
  </si>
  <si>
    <t>https://ieeexplore.ieee.org/stamp/stamp.jsp?arnumber=4567185</t>
  </si>
  <si>
    <t>Automated Reconfiguration of Cyber-Physical Production Systems using Satisfiability Modulo Theories</t>
  </si>
  <si>
    <t>K. Balzereit; O. Niggemann</t>
  </si>
  <si>
    <t>2020 IEEE Conference on Industrial Cyberphysical Systems (ICPS)</t>
  </si>
  <si>
    <t>10.1109/ICPS48405.2020.9274707</t>
  </si>
  <si>
    <t>https://ieeexplore.ieee.org/stamp/stamp.jsp?arnumber=9274707</t>
  </si>
  <si>
    <t>AI and Stochastic Terrorism – Should it be done?</t>
  </si>
  <si>
    <t>B. Kemper</t>
  </si>
  <si>
    <t>2022 IEEE International Symposium on Software Reliability Engineering Workshops (ISSREW)</t>
  </si>
  <si>
    <t>10.1109/ISSREW55968.2022.00091</t>
  </si>
  <si>
    <t>https://ieeexplore.ieee.org/stamp/stamp.jsp?arnumber=9985190</t>
  </si>
  <si>
    <t>Z. M. Mitrović; A. M. Rakićević; D. č. Petrović; M. M. Mihić; J. Ð. Rakićević; E. T. Jelisić</t>
  </si>
  <si>
    <t>https://ieeexplore.ieee.org/stamp/stamp.jsp?arnumber=9268157</t>
  </si>
  <si>
    <t>Tracking Causal Order in AWS Lambda Applications</t>
  </si>
  <si>
    <t>W. -T. Lin; C. Krintz; R. Wolski; M. Zhang; X. Cai; T. Li; W. Xu</t>
  </si>
  <si>
    <t>2018 IEEE International Conference on Cloud Engineering (IC2E)</t>
  </si>
  <si>
    <t>10.1109/IC2E.2018.00027</t>
  </si>
  <si>
    <t>https://ieeexplore.ieee.org/stamp/stamp.jsp?arnumber=8360312</t>
  </si>
  <si>
    <t>Online Metro Origin-Destination Prediction via Heterogeneous Information Aggregation</t>
  </si>
  <si>
    <t>L. Liu; Y. Zhu; G. Li; Z. Wu; L. Bai; L. Lin</t>
  </si>
  <si>
    <t>10.1109/TPAMI.2022.3178184</t>
  </si>
  <si>
    <t>https://ieeexplore.ieee.org/stamp/stamp.jsp?arnumber=9785888</t>
  </si>
  <si>
    <t>VisOK: a flexible visualization system for distributed Java object application</t>
  </si>
  <si>
    <t>Dong-Woo Lee; R. S. Ramakrishna</t>
  </si>
  <si>
    <t>Proceedings 14th International Parallel and Distributed Processing Symposium. IPDPS 2000</t>
  </si>
  <si>
    <t>10.1109/IPDPS.2000.846011</t>
  </si>
  <si>
    <t>https://ieeexplore.ieee.org/stamp/stamp.jsp?arnumber=846011</t>
  </si>
  <si>
    <t>P. Terwiesch; T. Keller; E. Scheiben</t>
  </si>
  <si>
    <t>https://ieeexplore.ieee.org/stamp/stamp.jsp?arnumber=761055</t>
  </si>
  <si>
    <t>Understanding Social Causalities Behind Human Action Sequences</t>
  </si>
  <si>
    <t>R. Cai; Z. Zhang; Z. Hao; M. Winslett</t>
  </si>
  <si>
    <t>IEEE Transactions on Neural Networks and Learning Systems</t>
  </si>
  <si>
    <t>10.1109/TNNLS.2016.2556724</t>
  </si>
  <si>
    <t>https://ieeexplore.ieee.org/stamp/stamp.jsp?arnumber=7463496</t>
  </si>
  <si>
    <t>Segregating Keys from noncense: Timely Exfil of Ephemeral Keys from Embedded Systems</t>
  </si>
  <si>
    <t>H. B. Debes; T. Giannetsos</t>
  </si>
  <si>
    <t>2021 17th International Conference on Distributed Computing in Sensor Systems (DCOSS)</t>
  </si>
  <si>
    <t>10.1109/DCOSS52077.2021.00029</t>
  </si>
  <si>
    <t>https://ieeexplore.ieee.org/stamp/stamp.jsp?arnumber=9599891</t>
  </si>
  <si>
    <t>D. Liu</t>
  </si>
  <si>
    <t>2022 4th International Conference on Applied Machine Learning (ICAML)</t>
  </si>
  <si>
    <t>https://ieeexplore.ieee.org/stamp/stamp.jsp?arnumber=10056556</t>
  </si>
  <si>
    <t>Two Sides of the Same Coin: Exploiting the Impact of Identifiers in Neural Code Comprehension</t>
  </si>
  <si>
    <t>S. Gao; C. Gao; C. Wang; J. Sun; D. Lo; Y. Yu</t>
  </si>
  <si>
    <t>10.1109/ICSE48619.2023.00164</t>
  </si>
  <si>
    <t>https://ieeexplore.ieee.org/stamp/stamp.jsp?arnumber=10172869</t>
  </si>
  <si>
    <t>Distributed Simulation of RePast Models over HLA/Actors</t>
  </si>
  <si>
    <t>F. Cicirelli; A. Furfaro; A. Giordano; L. Nigro</t>
  </si>
  <si>
    <t>2009 13th IEEE/ACM International Symposium on Distributed Simulation and Real Time Applications</t>
  </si>
  <si>
    <t>https://ieeexplore.ieee.org/stamp/stamp.jsp?arnumber=5361768</t>
  </si>
  <si>
    <t>FAST AND EFFECTIVE LIVING BUSINESS MODELS WITH SYSTEM DYNAMICS: A TUTORIAL ON BUSINESS CASES</t>
  </si>
  <si>
    <t>K. Warren</t>
  </si>
  <si>
    <t>2018 Winter Simulation Conference (WSC)</t>
  </si>
  <si>
    <t>10.1109/WSC.2018.8632228</t>
  </si>
  <si>
    <t>https://ieeexplore.ieee.org/stamp/stamp.jsp?arnumber=8632228</t>
  </si>
  <si>
    <t>Model Based Interaction Hazards Analysis of Integrated Modular Avionics System</t>
  </si>
  <si>
    <t>H. Rong; H. Dong; D. Xu; Z. Chen</t>
  </si>
  <si>
    <t>2018 IEEE 18th International Conference on Communication Technology (ICCT)</t>
  </si>
  <si>
    <t>10.1109/ICCT.2018.8599946</t>
  </si>
  <si>
    <t>https://ieeexplore.ieee.org/stamp/stamp.jsp?arnumber=8599946</t>
  </si>
  <si>
    <t>Scientific Visualization and Reproducibility for "Open" Environmental Science</t>
  </si>
  <si>
    <t>J. B. Cushing; D. Lach; C. Zanocco; J. Halama</t>
  </si>
  <si>
    <t>2018 IEEE International Conference on Big Data (Big Data)</t>
  </si>
  <si>
    <t>10.1109/BigData.2018.8622039</t>
  </si>
  <si>
    <t>https://ieeexplore.ieee.org/stamp/stamp.jsp?arnumber=8622039</t>
  </si>
  <si>
    <t>Efficient training techniques for classification with vast input space</t>
  </si>
  <si>
    <t>E. W. Saad; J. J. Choi; J. L. Vian; D. C. Wunsch</t>
  </si>
  <si>
    <t>IJCNN'99. International Joint Conference on Neural Networks. Proceedings (Cat. No.99CH36339)</t>
  </si>
  <si>
    <t>10.1109/IJCNN.1999.831156</t>
  </si>
  <si>
    <t>https://ieeexplore.ieee.org/stamp/stamp.jsp?arnumber=831156</t>
  </si>
  <si>
    <t>Information Technology (IT) Value Model using Variance-Based Structural Equation Modeling: Towards IT Value Engineering</t>
  </si>
  <si>
    <t>L. Abdurrahman; Suhardi; A. Z. R. Langi</t>
  </si>
  <si>
    <t>2014 2nd International Conference on Information and Communication Technology (ICoICT)</t>
  </si>
  <si>
    <t>https://ieeexplore.ieee.org/stamp/stamp.jsp?arnumber=6914112</t>
  </si>
  <si>
    <t>Improving Predictive Navigation Through the Optimization of Counterfactual Track Evaluation</t>
  </si>
  <si>
    <t>A. Stringer; G. Dolinger; T. Sharp; D. Hogue; J. Karch; L. Borowska; J. G. Metcalf</t>
  </si>
  <si>
    <t>2023 IEEE/ION Position, Location and Navigation Symposium (PLANS)</t>
  </si>
  <si>
    <t>10.1109/PLANS53410.2023.10140127</t>
  </si>
  <si>
    <t>https://ieeexplore.ieee.org/stamp/stamp.jsp?arnumber=10140127</t>
  </si>
  <si>
    <t>Prediction of social mood on Chinese societal risk perception</t>
  </si>
  <si>
    <t>2015 International Conference on Behavioral, Economic and Socio-cultural Computing (BESC)</t>
  </si>
  <si>
    <t>10.1109/BESC.2015.7365966</t>
  </si>
  <si>
    <t>https://ieeexplore.ieee.org/stamp/stamp.jsp?arnumber=7365966</t>
  </si>
  <si>
    <t>M. Boukerdja; B. Ould-Bouamama; B. M. Dash</t>
  </si>
  <si>
    <t>2023 IEEE 11th International Conference on Systems and Control (ICSC)</t>
  </si>
  <si>
    <t>https://ieeexplore.ieee.org/stamp/stamp.jsp?arnumber=10449736</t>
  </si>
  <si>
    <t>A flexible communication toolkit for synchronous groupware</t>
  </si>
  <si>
    <t>C. Plesca; R. Grigoras; P. Queinnec; G. Padiou</t>
  </si>
  <si>
    <t>2005 Systems Communications (ICW'05, ICHSN'05, ICMCS'05, SENET'05)</t>
  </si>
  <si>
    <t>10.1109/ICW.2005.8</t>
  </si>
  <si>
    <t>https://ieeexplore.ieee.org/stamp/stamp.jsp?arnumber=1515528</t>
  </si>
  <si>
    <t>An application of VAR and Almon Polynomial Distributed Lag models to insurance stocks: Evidence from KSE</t>
  </si>
  <si>
    <t>M. A. Siddiqui</t>
  </si>
  <si>
    <t>2009 International Conference on Emerging Technologies</t>
  </si>
  <si>
    <t>10.1109/ICET.2009.5353173</t>
  </si>
  <si>
    <t>https://ieeexplore.ieee.org/stamp/stamp.jsp?arnumber=5353173</t>
  </si>
  <si>
    <t>Clique: a toolkit for group communication using IP multicast</t>
  </si>
  <si>
    <t>R. Yavatkar; J. Griffioen</t>
  </si>
  <si>
    <t>Proceedings of IEEE Workshop on Services for Distributed and Networked Environments</t>
  </si>
  <si>
    <t>10.1109/SDNE.1994.337768</t>
  </si>
  <si>
    <t>https://ieeexplore.ieee.org/stamp/stamp.jsp?arnumber=337768</t>
  </si>
  <si>
    <t>Fundamentals of distributed system observation</t>
  </si>
  <si>
    <t>C. Fidge</t>
  </si>
  <si>
    <t>10.1109/52.542297</t>
  </si>
  <si>
    <t>https://ieeexplore.ieee.org/stamp/stamp.jsp?arnumber=542297</t>
  </si>
  <si>
    <t>APPLES: Efficiently Handling Spin-lock Synchronization on Virtualized Platforms</t>
  </si>
  <si>
    <t>J. Shan; X. Ding; N. Gehani</t>
  </si>
  <si>
    <t>https://ieeexplore.ieee.org/stamp/stamp.jsp?arnumber=7736153</t>
  </si>
  <si>
    <t>Analysis and Predictions of Shanghai's Economic Growth and Energy Consumption Based on Small Sample Theory</t>
  </si>
  <si>
    <t>J. Chen; G. Wang; L. Lu</t>
  </si>
  <si>
    <t>2009 WRI World Congress on Software Engineering</t>
  </si>
  <si>
    <t>10.1109/WCSE.2009.254</t>
  </si>
  <si>
    <t>https://ieeexplore.ieee.org/stamp/stamp.jsp?arnumber=5319671</t>
  </si>
  <si>
    <t>A Control Loop-based Algorithm for Operational Transformation</t>
  </si>
  <si>
    <t>C. Gadea; B. Ionescu; D. Ionescu</t>
  </si>
  <si>
    <t>2020 IEEE 14th International Symposium on Applied Computational Intelligence and Informatics (SACI)</t>
  </si>
  <si>
    <t>10.1109/SACI49304.2020.9118822</t>
  </si>
  <si>
    <t>https://ieeexplore.ieee.org/stamp/stamp.jsp?arnumber=9118822</t>
  </si>
  <si>
    <t>Decomposing Partial Order Execution Graphs to Improve Message Race Detection</t>
  </si>
  <si>
    <t>B. Schaeli; S. Gerlach; R. D. Hersch</t>
  </si>
  <si>
    <t>2007 IEEE International Parallel and Distributed Processing Symposium</t>
  </si>
  <si>
    <t>10.1109/IPDPS.2007.370409</t>
  </si>
  <si>
    <t>https://ieeexplore.ieee.org/stamp/stamp.jsp?arnumber=4228137</t>
  </si>
  <si>
    <t>Mapping Policies to a Causal Network for Diagnosis</t>
  </si>
  <si>
    <t>M. Tighe; M. Bauer</t>
  </si>
  <si>
    <t>2010 Sixth International Conference on Autonomic and Autonomous Systems</t>
  </si>
  <si>
    <t>10.1109/ICAS.2010.10</t>
  </si>
  <si>
    <t>https://ieeexplore.ieee.org/stamp/stamp.jsp?arnumber=5442614</t>
  </si>
  <si>
    <t>Application of Lean Six Sigma to Reduce Delays in Engineering Changes</t>
  </si>
  <si>
    <t>F. R. do Nascimento; A. G. dos Santos; L. A. da Fonseca Júnior; D. M. Nunes</t>
  </si>
  <si>
    <t>10.1109/TEM.2022.3199388</t>
  </si>
  <si>
    <t>https://ieeexplore.ieee.org/stamp/stamp.jsp?arnumber=9866873</t>
  </si>
  <si>
    <t>DistIA: A cost-effective dynamic impact analysis for distributed programs</t>
  </si>
  <si>
    <t>H. Cai; D. Thain</t>
  </si>
  <si>
    <t>2016 31st IEEE/ACM International Conference on Automated Software Engineering (ASE)</t>
  </si>
  <si>
    <t>https://ieeexplore.ieee.org/stamp/stamp.jsp?arnumber=7582771</t>
  </si>
  <si>
    <t>Wall-clock based synchronization: A parallel simulation technology for cluster systems</t>
  </si>
  <si>
    <t>X. Zhu; J. Wu; G. Chen; T. Li</t>
  </si>
  <si>
    <t>2013 IEEE International Symposium on Performance Analysis of Systems and Software (ISPASS)</t>
  </si>
  <si>
    <t>10.1109/ISPASS.2013.6557166</t>
  </si>
  <si>
    <t>https://ieeexplore.ieee.org/stamp/stamp.jsp?arnumber=6557166</t>
  </si>
  <si>
    <t>G. Ungureanu; R. Jordão; I. Sander</t>
  </si>
  <si>
    <t>2020 Forum for Specification and Design Languages (FDL)</t>
  </si>
  <si>
    <t>https://ieeexplore.ieee.org/stamp/stamp.jsp?arnumber=9232931</t>
  </si>
  <si>
    <t>Storm Watch: A Tool for Visualizing Memory System Protocols</t>
  </si>
  <si>
    <t>T. M. Chilimbi; T. Ball; S. G. Eick; J. R. Larus</t>
  </si>
  <si>
    <t>Supercomputing '95:Proceedings of the 1995 ACM/IEEE Conference on Supercomputing</t>
  </si>
  <si>
    <t>https://ieeexplore.ieee.org/stamp/stamp.jsp?arnumber=1383174</t>
  </si>
  <si>
    <t>Evaluation of the Notification Oriented Paradigm Applied to Sentient Computing</t>
  </si>
  <si>
    <t>J. M. Simão; D. P. B. Renaux; R. R. Linhares; P. C. Stadzisz</t>
  </si>
  <si>
    <t>2014 IEEE 17th International Symposium on Object/Component/Service-Oriented Real-Time Distributed Computing</t>
  </si>
  <si>
    <t>10.1109/ISORC.2014.54</t>
  </si>
  <si>
    <t>https://ieeexplore.ieee.org/stamp/stamp.jsp?arnumber=6899157</t>
  </si>
  <si>
    <t>S. Almulla; Y. Iraqi; S. D. Wolthusen</t>
  </si>
  <si>
    <t>2015 IEEE Symposium on Computers and Communication (ISCC)</t>
  </si>
  <si>
    <t>https://ieeexplore.ieee.org/stamp/stamp.jsp?arnumber=7405509</t>
  </si>
  <si>
    <t>A note on time and space methods in network calculus</t>
  </si>
  <si>
    <t>J. . -Y. Le Boudec; P. Thiran</t>
  </si>
  <si>
    <t>1998 International Zurich Seminar on Broadband Communications. Accessing, Transmission, Networking. Proceedings (Cat. No.98TH8277)</t>
  </si>
  <si>
    <t>10.1109/IZSBC.1998.670275</t>
  </si>
  <si>
    <t>https://ieeexplore.ieee.org/stamp/stamp.jsp?arnumber=670275</t>
  </si>
  <si>
    <t>Causal Models Applied to the Patterns of Human Migration due to Climate Change</t>
  </si>
  <si>
    <t>K. Lai; S. Yanushkevich</t>
  </si>
  <si>
    <t>10.1109/SSCI52147.2023.10372049</t>
  </si>
  <si>
    <t>https://ieeexplore.ieee.org/stamp/stamp.jsp?arnumber=10372049</t>
  </si>
  <si>
    <t>E. Sakic; W. Kellerer</t>
  </si>
  <si>
    <t>ICC 2019 - 2019 IEEE International Conference on Communications (ICC)</t>
  </si>
  <si>
    <t>https://ieeexplore.ieee.org/stamp/stamp.jsp?arnumber=8761956</t>
  </si>
  <si>
    <t>Synchronized Shared Memory and Procedural Abstraction: Towards a Formal Semantics of Blech</t>
  </si>
  <si>
    <t>F. Gretz; F. -J. Grosch; M. Mendler; S. Scheele</t>
  </si>
  <si>
    <t>10.1109/FDL50818.2020.9232942</t>
  </si>
  <si>
    <t>https://ieeexplore.ieee.org/stamp/stamp.jsp?arnumber=9232942</t>
  </si>
  <si>
    <t>Optimal Network Beamforming in Collaborative Relay Networks With Centralized Energy Harvesting</t>
  </si>
  <si>
    <t>A. Gavili; S. ShahbazPanahi</t>
  </si>
  <si>
    <t>IEEE Transactions on Signal Processing</t>
  </si>
  <si>
    <t>10.1109/TSP.2016.2582468</t>
  </si>
  <si>
    <t>https://ieeexplore.ieee.org/stamp/stamp.jsp?arnumber=7500111</t>
  </si>
  <si>
    <t>Bayesian Network as a Decision Support System in the Company’s Risk Management System of Emergency Situations</t>
  </si>
  <si>
    <t>I. Bashynska; L. Niekrasova; Y. Malynovska</t>
  </si>
  <si>
    <t>2023 IEEE 4th KhPI Week on Advanced Technology (KhPIWeek)</t>
  </si>
  <si>
    <t>10.1109/KhPIWeek61412.2023.10312911</t>
  </si>
  <si>
    <t>https://ieeexplore.ieee.org/stamp/stamp.jsp?arnumber=10312911</t>
  </si>
  <si>
    <t>S. Y. Shah; Z. Yuan; S. Lu; P. Zerfos</t>
  </si>
  <si>
    <t>2017 IEEE International Conference on Big Data (Big Data)</t>
  </si>
  <si>
    <t>https://ieeexplore.ieee.org/stamp/stamp.jsp?arnumber=8258087</t>
  </si>
  <si>
    <t>The effect of transformative IT capability on sustainable competitive advantage</t>
  </si>
  <si>
    <t>T. Widodo</t>
  </si>
  <si>
    <t>2015 3rd International Conference on Information and Communication Technology (ICoICT)</t>
  </si>
  <si>
    <t>10.1109/ICoICT.2015.7231450</t>
  </si>
  <si>
    <t>https://ieeexplore.ieee.org/stamp/stamp.jsp?arnumber=7231450</t>
  </si>
  <si>
    <t>F. Quaglia; A. Santoro</t>
  </si>
  <si>
    <t>Proceedings ISCC 2002 Seventh International Symposium on Computers and Communications</t>
  </si>
  <si>
    <t>https://ieeexplore.ieee.org/stamp/stamp.jsp?arnumber=1021738</t>
  </si>
  <si>
    <t>Collective Memory for Detecting Nonconcurrent Clones: A Localized Approach for Global Topology and Identity Tracing in IoT Networks</t>
  </si>
  <si>
    <t>J. Xu; K. Xing; C. Zhang; S. Zhang; Z. Xu; C. Zhong; H. Zhu; Z. Yang; Y. Liu</t>
  </si>
  <si>
    <t>IEEE Internet of Things Journal</t>
  </si>
  <si>
    <t>10.1109/JIOT.2020.3032127</t>
  </si>
  <si>
    <t>https://ieeexplore.ieee.org/stamp/stamp.jsp?arnumber=9233415</t>
  </si>
  <si>
    <t>3D Trajectory Planning for Real-Time Image Acquisition in UAV-Assisted VR</t>
  </si>
  <si>
    <t>X. -W. Tang; Y. Huang; Y. Shi; X. -L. Huang; Q. Shi</t>
  </si>
  <si>
    <t>IEEE Transactions on Wireless Communications</t>
  </si>
  <si>
    <t>10.1109/TWC.2023.3274571</t>
  </si>
  <si>
    <t>https://ieeexplore.ieee.org/stamp/stamp.jsp?arnumber=10124817</t>
  </si>
  <si>
    <t>Systematic Design of Automation, Protection, and Control in Substations</t>
  </si>
  <si>
    <t>K. P. Brand; J. Kopainsky</t>
  </si>
  <si>
    <t>https://ieeexplore.ieee.org/stamp/stamp.jsp?arnumber=4112886</t>
  </si>
  <si>
    <t>Where to: Crowd-Aided Path Selection by Selective Bayesian Network</t>
  </si>
  <si>
    <t>C. Zhang; H. Zhang; W. Xie; N. Liu; K. Wu; L. Chen</t>
  </si>
  <si>
    <t>IEEE Transactions on Knowledge and Data Engineering</t>
  </si>
  <si>
    <t>10.1109/TKDE.2021.3078833</t>
  </si>
  <si>
    <t>https://ieeexplore.ieee.org/stamp/stamp.jsp?arnumber=9428574</t>
  </si>
  <si>
    <t>Uplink Throughput Maximization for Low Latency in Wireless Powered Communication Networks</t>
  </si>
  <si>
    <t>M. S. Syam; Y. L. Che; S. Luo; K. Wu</t>
  </si>
  <si>
    <t>2019 IEEE 19th International Conference on Communication Technology (ICCT)</t>
  </si>
  <si>
    <t>10.1109/ICCT46805.2019.8947043</t>
  </si>
  <si>
    <t>https://ieeexplore.ieee.org/stamp/stamp.jsp?arnumber=8947043</t>
  </si>
  <si>
    <t>Á. Recse; N. Promwongsa; A. Ebrahimzadeh; S. N. Afrasiabi; C. Mouradian; W. Li; R. Szabó; R. H. Glitho</t>
  </si>
  <si>
    <t>https://ieeexplore.ieee.org/stamp/stamp.jsp?arnumber=10040616</t>
  </si>
  <si>
    <t>A. Brown; G. Kar; A. Keller</t>
  </si>
  <si>
    <t>2001 IEEE/IFIP International Symposium on Integrated Network Management Proceedings. Integrated Network Management VII. Integrated Management Strategies for the New Millennium (Cat. No.01EX470)</t>
  </si>
  <si>
    <t>https://ieeexplore.ieee.org/stamp/stamp.jsp?arnumber=918054</t>
  </si>
  <si>
    <t>Target-Driven Visual Navigation by Using Causal Intervention</t>
  </si>
  <si>
    <t>X. Zhao; T. Wang; Y. Li; B. Zhang; K. Liu; D. Liu; C. Wang; H. Snoussi</t>
  </si>
  <si>
    <t>IEEE Transactions on Intelligent Vehicles</t>
  </si>
  <si>
    <t>10.1109/TIV.2023.3288810</t>
  </si>
  <si>
    <t>https://ieeexplore.ieee.org/stamp/stamp.jsp?arnumber=10159547</t>
  </si>
  <si>
    <t>MOIPC-MAAC: Communication-Assisted Multi-Objective MARL for Trajectory Planning and Task Offloading in Multi-UAV Assisted MEC</t>
  </si>
  <si>
    <t>Z. Gao; J. Fu; Z. Jing; Y. Dai; L. Yang</t>
  </si>
  <si>
    <t>10.1109/JIOT.2024.3362988</t>
  </si>
  <si>
    <t>https://ieeexplore.ieee.org/stamp/stamp.jsp?arnumber=10423377</t>
  </si>
  <si>
    <t>I. Georgievski; F. Nizamic; A. Lazovik; M. Aiello</t>
  </si>
  <si>
    <t>2017 IEEE 10th Conference on Service-Oriented Computing and Applications (SOCA)</t>
  </si>
  <si>
    <t>https://ieeexplore.ieee.org/stamp/stamp.jsp?arnumber=8241528</t>
  </si>
  <si>
    <t>X. Shi; H. Gu; B. Yao</t>
  </si>
  <si>
    <t>https://ieeexplore.ieee.org/stamp/stamp.jsp?arnumber=10413336</t>
  </si>
  <si>
    <t>Y. Nitta; H. Takase</t>
  </si>
  <si>
    <t>2020 International Conference on Field-Programmable Technology (ICFPT)</t>
  </si>
  <si>
    <t>https://ieeexplore.ieee.org/stamp/stamp.jsp?arnumber=9415575</t>
  </si>
  <si>
    <t>V. Vyatkin; C. Pang; S. Tripakis</t>
  </si>
  <si>
    <t>https://ieeexplore.ieee.org/stamp/stamp.jsp?arnumber=7392389</t>
  </si>
  <si>
    <t>An effective, simple tempo estimation method based on self-similarity and regularity</t>
  </si>
  <si>
    <t>G. Tzanetakis; G. Percival</t>
  </si>
  <si>
    <t>2013 IEEE International Conference on Acoustics, Speech and Signal Processing</t>
  </si>
  <si>
    <t>10.1109/ICASSP.2013.6637645</t>
  </si>
  <si>
    <t>https://ieeexplore.ieee.org/stamp/stamp.jsp?arnumber=6637645</t>
  </si>
  <si>
    <t>A causal modelling for desertion and graduation prediction using Bayesian networks: a Chilean case</t>
  </si>
  <si>
    <t>B. Peralta; J. Salazar; M. Levano; O. Nicolis</t>
  </si>
  <si>
    <t>2021 IEEE International Conference on Automation/XXIV Congress of the Chilean Association of Automatic Control (ICA-ACCA)</t>
  </si>
  <si>
    <t>10.1109/ICAACCA51523.2021.9465333</t>
  </si>
  <si>
    <t>https://ieeexplore.ieee.org/stamp/stamp.jsp?arnumber=9465333</t>
  </si>
  <si>
    <t>A Bayesian network based trust model for improving collaboration in mobile ad hoc networks</t>
  </si>
  <si>
    <t>C. T. Nguyen; O. Camp; S. Loiseau</t>
  </si>
  <si>
    <t>2007 IEEE International Conference on Research, Innovation and Vision for the Future</t>
  </si>
  <si>
    <t>10.1109/RIVF.2007.369149</t>
  </si>
  <si>
    <t>https://ieeexplore.ieee.org/stamp/stamp.jsp?arnumber=4223066</t>
  </si>
  <si>
    <t>Towards refinement types for time-dependent data-flow networks</t>
  </si>
  <si>
    <t>J. -P. Talpin; P. Jouvelot; S. K. Shukla</t>
  </si>
  <si>
    <t>2015 ACM/IEEE International Conference on Formal Methods and Models for Codesign (MEMOCODE)</t>
  </si>
  <si>
    <t>10.1109/MEMCOD.2015.7340465</t>
  </si>
  <si>
    <t>https://ieeexplore.ieee.org/stamp/stamp.jsp?arnumber=7340465</t>
  </si>
  <si>
    <t>Data Mining-Driven Analysis and Decomposition in Agent Supply Chain Management Networks</t>
  </si>
  <si>
    <t>K. C. Chatzidimitriou; A. L. Symeonidis; P. A. Mitkas</t>
  </si>
  <si>
    <t>2008 IEEE/WIC/ACM International Conference on Web Intelligence and Intelligent Agent Technology</t>
  </si>
  <si>
    <t>10.1109/WIIAT.2008.395</t>
  </si>
  <si>
    <t>https://ieeexplore.ieee.org/stamp/stamp.jsp?arnumber=4740842</t>
  </si>
  <si>
    <t>GPredict: Generic Predictive Concurrency Analysis</t>
  </si>
  <si>
    <t>J. Huang; Q. Luo; G. Rosu</t>
  </si>
  <si>
    <t>https://ieeexplore.ieee.org/stamp/stamp.jsp?arnumber=7194631</t>
  </si>
  <si>
    <t>Joint Resource Optimization for UAV-Enabled Multichannel Internet of Things Based on Intelligent Fog Computing</t>
  </si>
  <si>
    <t>X. Liu; B. Lai; L. Gou; C. Lin; M. Zhou</t>
  </si>
  <si>
    <t>IEEE Transactions on Network Science and Engineering</t>
  </si>
  <si>
    <t>10.1109/TNSE.2020.3027098</t>
  </si>
  <si>
    <t>https://ieeexplore.ieee.org/stamp/stamp.jsp?arnumber=9207868</t>
  </si>
  <si>
    <t>S. Pissanetzky</t>
  </si>
  <si>
    <t>https://ieeexplore.ieee.org/stamp/stamp.jsp?arnumber=7397819</t>
  </si>
  <si>
    <t>Bayesian Models for Node-Based Inference Techniques</t>
  </si>
  <si>
    <t>N. Sharmin; S. Roy; A. Laszka; J. Acosta; C. Kiekintveld</t>
  </si>
  <si>
    <t>2023 IEEE International Systems Conference (SysCon)</t>
  </si>
  <si>
    <t>10.1109/SysCon53073.2023.10131168</t>
  </si>
  <si>
    <t>https://ieeexplore.ieee.org/stamp/stamp.jsp?arnumber=10131168</t>
  </si>
  <si>
    <t>Study of the Relationship Between Electricity and National Economy Growth in China from the Angle of Production</t>
  </si>
  <si>
    <t>Y. -X. He; J. -J. Wei; D. -Z. Li; L. -Q. Wu</t>
  </si>
  <si>
    <t>2007 International Conference on Wireless Communications, Networking and Mobile Computing</t>
  </si>
  <si>
    <t>10.1109/WICOM.2007.1239</t>
  </si>
  <si>
    <t>https://ieeexplore.ieee.org/stamp/stamp.jsp?arnumber=4341014</t>
  </si>
  <si>
    <t>Capacity augmentation in energy-efficient vehicular roadside infrastructure</t>
  </si>
  <si>
    <t>N. Nikookaran; T. D. Todd; G. Karakostas</t>
  </si>
  <si>
    <t>2017 IEEE 8th Annual Ubiquitous Computing, Electronics and Mobile Communication Conference (UEMCON)</t>
  </si>
  <si>
    <t>10.1109/UEMCON.2017.8249032</t>
  </si>
  <si>
    <t>https://ieeexplore.ieee.org/stamp/stamp.jsp?arnumber=8249032</t>
  </si>
  <si>
    <t>A Petri-Net-Based Correctness Analysis of Internet Stock Trading Systems</t>
  </si>
  <si>
    <t>Y. Du; C. Jiang; M. Zhou</t>
  </si>
  <si>
    <t>IEEE Transactions on Systems, Man, and Cybernetics, Part C (Applications and Reviews)</t>
  </si>
  <si>
    <t>10.1109/TSMCC.2007.896995</t>
  </si>
  <si>
    <t>https://ieeexplore.ieee.org/stamp/stamp.jsp?arnumber=4359284</t>
  </si>
  <si>
    <t>3-D Trajectory Optimization and Communication Resources Allocation in UAV-Assisted IoT Networks for Sustainable Industry 5.0</t>
  </si>
  <si>
    <t>P. Du; Y. Shi; H. Cao; S. Garg; G. Kaddoum; M. Alrashoud</t>
  </si>
  <si>
    <t>IEEE Transactions on Consumer Electronics</t>
  </si>
  <si>
    <t>10.1109/TCE.2023.3325131</t>
  </si>
  <si>
    <t>https://ieeexplore.ieee.org/stamp/stamp.jsp?arnumber=10290923</t>
  </si>
  <si>
    <t>M. R. Ahmed; B. Nadimi; H. Zheng</t>
  </si>
  <si>
    <t>https://ieeexplore.ieee.org/stamp/stamp.jsp?arnumber=10422744</t>
  </si>
  <si>
    <t>Passive parametric macromodeling from sampled frequency data</t>
  </si>
  <si>
    <t>P. Triverio; M. S. Nakhla; S. Grivet-Talocia</t>
  </si>
  <si>
    <t>2010 IEEE 14th Workshop on Signal Propagation on Interconnects</t>
  </si>
  <si>
    <t>10.1109/SPI.2010.5483554</t>
  </si>
  <si>
    <t>https://ieeexplore.ieee.org/stamp/stamp.jsp?arnumber=5483554</t>
  </si>
  <si>
    <t>An Operational Approach to Happens-Before Memory Model</t>
  </si>
  <si>
    <t>Y. Zhang; X. Feng</t>
  </si>
  <si>
    <t>2013 International Symposium on Theoretical Aspects of Software Engineering</t>
  </si>
  <si>
    <t>https://ieeexplore.ieee.org/stamp/stamp.jsp?arnumber=6597886</t>
  </si>
  <si>
    <t>Morphological color quantization</t>
  </si>
  <si>
    <t>S. Gibson; R. Harvey</t>
  </si>
  <si>
    <t>Proceedings of the 2001 IEEE Computer Society Conference on Computer Vision and Pattern Recognition. CVPR 2001</t>
  </si>
  <si>
    <t>10.1109/CVPR.2001.991007</t>
  </si>
  <si>
    <t>https://ieeexplore.ieee.org/stamp/stamp.jsp?arnumber=991007</t>
  </si>
  <si>
    <t>Statistical Association Mapping of Population-Structured Genetic Data</t>
  </si>
  <si>
    <t>A. Najafi; S. Janghorbani; S. A. Motahari; E. Fatemizadeh</t>
  </si>
  <si>
    <t>IEEE/ACM Transactions on Computational Biology and Bioinformatics</t>
  </si>
  <si>
    <t>10.1109/TCBB.2017.2786239</t>
  </si>
  <si>
    <t>https://ieeexplore.ieee.org/stamp/stamp.jsp?arnumber=8234632</t>
  </si>
  <si>
    <t>J. Huang; J. Huan; A. Tropsha; J. Dang; H. Zhang; M. Xiong</t>
  </si>
  <si>
    <t>2013 IEEE International Conference on Bioinformatics and Biomedicine</t>
  </si>
  <si>
    <t>https://ieeexplore.ieee.org/stamp/stamp.jsp?arnumber=6732567</t>
  </si>
  <si>
    <t>Logic synthesis for asynchronous circuits based on Petri net unfoldings and incremental SAT</t>
  </si>
  <si>
    <t>V. Khomenko; M. Koutny; A. Yakovlev</t>
  </si>
  <si>
    <t>Proceedings. Fourth International Conference on Application of Concurrency to System Design, 2004. ACSD 2004.</t>
  </si>
  <si>
    <t>10.1109/CSD.2004.1309112</t>
  </si>
  <si>
    <t>https://ieeexplore.ieee.org/stamp/stamp.jsp?arnumber=1309112</t>
  </si>
  <si>
    <t>A multiscale morphological method for human posture recognition</t>
  </si>
  <si>
    <t>Yi Li; Songde Ma; Hanqing Lu</t>
  </si>
  <si>
    <t>Proceedings Third IEEE International Conference on Automatic Face and Gesture Recognition</t>
  </si>
  <si>
    <t>10.1109/AFGR.1998.670925</t>
  </si>
  <si>
    <t>https://ieeexplore.ieee.org/stamp/stamp.jsp?arnumber=670925</t>
  </si>
  <si>
    <t>Y. Lei; Y. Zhou; Y. Lin; M. Xu; Y. Wang</t>
  </si>
  <si>
    <t>2021 IEEE 29th International Conference on Network Protocols (ICNP)</t>
  </si>
  <si>
    <t>https://ieeexplore.ieee.org/stamp/stamp.jsp?arnumber=9651986</t>
  </si>
  <si>
    <t>R. Hoettger; B. Igel; E. Kamsties</t>
  </si>
  <si>
    <t>2013 IEEE 7th International Conference on Intelligent Data Acquisition and Advanced Computing Systems (IDAACS)</t>
  </si>
  <si>
    <t>https://ieeexplore.ieee.org/stamp/stamp.jsp?arnumber=6663010</t>
  </si>
  <si>
    <t>Inference of the Genetic Network Regulating Lateral Root Initiation in Arabidopsis thaliana</t>
  </si>
  <si>
    <t>D. Muraro; U. Voβ; M. Wilson; M. Bennett; H. Byrne; I. De Smet; C. Hodgman; J. King</t>
  </si>
  <si>
    <t>10.1109/TCBB.2013.3</t>
  </si>
  <si>
    <t>https://ieeexplore.ieee.org/stamp/stamp.jsp?arnumber=6412664</t>
  </si>
  <si>
    <t>Reasoning under Uncertainty for Overlay Fault Diagnosis</t>
  </si>
  <si>
    <t>Y. Tang; E. Al-Shaer; K. Joshi</t>
  </si>
  <si>
    <t>10.1109/TNSM.2011.010312.110126</t>
  </si>
  <si>
    <t>https://ieeexplore.ieee.org/stamp/stamp.jsp?arnumber=6122518</t>
  </si>
  <si>
    <t>Information Theoretic Learning-Enhanced Dual-Generative Adversarial Networks With Causal Representation for Robust OOD Generalization</t>
  </si>
  <si>
    <t>X. Zhou; X. Zheng; T. Shu; W. Liang; K. I. -K. Wang; L. Qi; S. Shimizu; Q. Jin</t>
  </si>
  <si>
    <t>10.1109/TNNLS.2023.3330864</t>
  </si>
  <si>
    <t>https://ieeexplore.ieee.org/stamp/stamp.jsp?arnumber=10321729</t>
  </si>
  <si>
    <t>Detection of Behavioral Contextual Properties in Asynchronous Pervasive Computing Environments</t>
  </si>
  <si>
    <t>Y. Huang; J. Yu; J. Cao; X. Tao</t>
  </si>
  <si>
    <t>2010 IEEE 16th International Conference on Parallel and Distributed Systems</t>
  </si>
  <si>
    <t>10.1109/ICPADS.2010.24</t>
  </si>
  <si>
    <t>https://ieeexplore.ieee.org/stamp/stamp.jsp?arnumber=5695588</t>
  </si>
  <si>
    <t>A Programming Model for Time-Synchronized Distributed Real-Time Systems</t>
  </si>
  <si>
    <t>Y. Zhao; J. Liu; E. A. Lee</t>
  </si>
  <si>
    <t>13th IEEE Real Time and Embedded Technology and Applications Symposium (RTAS'07)</t>
  </si>
  <si>
    <t>10.1109/RTAS.2007.5</t>
  </si>
  <si>
    <t>https://ieeexplore.ieee.org/stamp/stamp.jsp?arnumber=4155328</t>
  </si>
  <si>
    <t>Improvement Of Gravity Light Generation Modeling Using Bond Graph Method</t>
  </si>
  <si>
    <t>S. M. Bammami; E. N. C. Okafor; S. U. Hussein; M. I. Bammami; S. Thomas; O. Oshiga</t>
  </si>
  <si>
    <t>2019 15th International Conference on Electronics, Computer and Computation (ICECCO)</t>
  </si>
  <si>
    <t>https://ieeexplore.ieee.org/stamp/stamp.jsp?arnumber=9043217</t>
  </si>
  <si>
    <t>Securing Time in Untrusted Operating Systems with TimeSeal</t>
  </si>
  <si>
    <t>F. M. Anwar; L. Garcia; X. Han; M. Srivastava</t>
  </si>
  <si>
    <t>2019 IEEE Real-Time Systems Symposium (RTSS)</t>
  </si>
  <si>
    <t>https://ieeexplore.ieee.org/stamp/stamp.jsp?arnumber=9052115</t>
  </si>
  <si>
    <t>J. Brandt; K. Schneider</t>
  </si>
  <si>
    <t>2009 7th IEEE/ACM International Conference on Formal Methods and Models for Co-Design</t>
  </si>
  <si>
    <t>https://ieeexplore.ieee.org/stamp/stamp.jsp?arnumber=5185392</t>
  </si>
  <si>
    <t>M. Kudlugi; R. Tessier</t>
  </si>
  <si>
    <t>https://ieeexplore.ieee.org/stamp/stamp.jsp?arnumber=1047046</t>
  </si>
  <si>
    <t>Toward Formal-Methods Oecumenism?</t>
  </si>
  <si>
    <t>F. Kordon; L. Petrucci</t>
  </si>
  <si>
    <t>IEEE Distributed Systems Online</t>
  </si>
  <si>
    <t>10.1109/MDSO.2006.47</t>
  </si>
  <si>
    <t>https://ieeexplore.ieee.org/stamp/stamp.jsp?arnumber=1673350</t>
  </si>
  <si>
    <t>[Front cover]</t>
  </si>
  <si>
    <t>2008 Annual Reliability and Maintainability Symposium</t>
  </si>
  <si>
    <t>10.1109/RAMS.2008.4925745</t>
  </si>
  <si>
    <t>https://ieeexplore.ieee.org/stamp/stamp.jsp?arnumber=4925745</t>
  </si>
  <si>
    <t>Publication year</t>
  </si>
  <si>
    <t>Proceedings title</t>
  </si>
  <si>
    <t>URLs</t>
  </si>
  <si>
    <t>Citations</t>
  </si>
  <si>
    <t>Item type</t>
  </si>
  <si>
    <t>Baah GK,Podgurski A,Harrold MJ</t>
  </si>
  <si>
    <t>Proceedings of the 19th International Symposium on Software Testing and Analysis</t>
  </si>
  <si>
    <t>https://doi.org/10.1145/1831708.1831717;http://dx.doi.org/10.1145/1831708.1831717</t>
  </si>
  <si>
    <t>N/A</t>
  </si>
  <si>
    <t>Association for Computing Machinery</t>
  </si>
  <si>
    <t>Conference Paper</t>
  </si>
  <si>
    <t>Küçük Y,Henderson TA,Podgurski A</t>
  </si>
  <si>
    <t>Proceedings of the 43rd International Conference on Software Engineering</t>
  </si>
  <si>
    <t>https://doi.org/10.1109/ICSE43902.2021.00066;http://dx.doi.org/10.1109/ICSE43902.2021.00066</t>
  </si>
  <si>
    <t>IEEE Press</t>
  </si>
  <si>
    <t>Artifact for improving fault localization by integrating value and predicate based causal inference techniques</t>
  </si>
  <si>
    <t>Proceedings of the 43rd International Conference on Software Engineering: Companion Proceedings</t>
  </si>
  <si>
    <t>https://doi.org/10.1109/ICSE-Companion52605.2021.00078;http://dx.doi.org/10.1109/ICSE-Companion52605.2021.00078</t>
  </si>
  <si>
    <t>Clark AG,Foster M,Prifling B,Walkinshaw N,Hierons RM,Schmidt V,Turner RD</t>
  </si>
  <si>
    <t>ACM Trans. Softw. Eng. Methodol.</t>
  </si>
  <si>
    <t>https://doi.org/10.1145/3607184;http://dx.doi.org/10.1145/3607184</t>
  </si>
  <si>
    <t>Journal Article</t>
  </si>
  <si>
    <t>Proceedings of the 19th ACM SIGSOFT Symposium and the 13th European Conference on Foundations of Software Engineering</t>
  </si>
  <si>
    <t>https://doi.org/10.1145/2025113.2025136;http://dx.doi.org/10.1145/2025113.2025136</t>
  </si>
  <si>
    <t>Giamattei L,Pietrantuono R,Russo S</t>
  </si>
  <si>
    <t>Proceedings of the 45th International Conference on Software Engineering: New Ideas and Emerging Results</t>
  </si>
  <si>
    <t>https://doi.org/10.1109/ICSE-NIER58687.2023.00018;http://dx.doi.org/10.1109/ICSE-NIER58687.2023.00018</t>
  </si>
  <si>
    <t>Causal fault localisation in dataflow systems</t>
  </si>
  <si>
    <t>Paleyes A,Lawrence ND</t>
  </si>
  <si>
    <t>Proceedings of the 3rd Workshop on Machine Learning and Systems</t>
  </si>
  <si>
    <t>10.1145/3578356.3592593</t>
  </si>
  <si>
    <t>https://doi.org/10.1145/3578356.3592593;http://dx.doi.org/10.1145/3578356.3592593</t>
  </si>
  <si>
    <t>Causality-driven Testing of Autonomous Driving Systems</t>
  </si>
  <si>
    <t>Giamattei L,Guerriero A,Pietrantuono R,Russo S</t>
  </si>
  <si>
    <t>10.1145/3635709</t>
  </si>
  <si>
    <t>https://doi.org/10.1145/3635709;http://dx.doi.org/10.1145/3635709</t>
  </si>
  <si>
    <t>DRACA: decision support for root cause analysis and change impact analysis for CMDBs</t>
  </si>
  <si>
    <t>Nadi S,Holt R,Davis I,Mankovskii S</t>
  </si>
  <si>
    <t>Proceedings of the 2009 Conference of the Center for Advanced Studies on Collaborative Research</t>
  </si>
  <si>
    <t>https://doi.org/10.1145/1723028.1723030;http://dx.doi.org/10.1145/1723028.1723030</t>
  </si>
  <si>
    <t>IBM Corp.</t>
  </si>
  <si>
    <t>Diamantopoulos N,Wong J,Mattos DI,Gerostathopoulos I,Wardrop M,Mao T,McFarland C</t>
  </si>
  <si>
    <t>Proceedings of the ACM/IEEE 42nd International Conference on Software Engineering: Software Engineering in Practice</t>
  </si>
  <si>
    <t>https://doi.org/10.1145/3377813.3381349;http://dx.doi.org/10.1145/3377813.3381349</t>
  </si>
  <si>
    <t>Ma P,Ji Z,Yao P,Wang S,Ren K</t>
  </si>
  <si>
    <t>Proceedings of the IEEE/ACM 46th International Conference on Software Engineering</t>
  </si>
  <si>
    <t>https://doi.org/10.1145/3597503.3623348;http://dx.doi.org/10.1145/3597503.3623348</t>
  </si>
  <si>
    <t>Heterogeneous Effects of Software Patches in a Multiplayer Online Battle Arena Game</t>
  </si>
  <si>
    <t>He Y,Tran C,Jiang J,Burghardt K,Ferrara E,Zheleva E,Lerman K</t>
  </si>
  <si>
    <t>Proceedings of the 16th International Conference on the Foundations of Digital Games</t>
  </si>
  <si>
    <t>https://doi.org/10.1145/3472538.3472550;http://dx.doi.org/10.1145/3472538.3472550</t>
  </si>
  <si>
    <t>Demarne MB,Gramling J,Verona T,Cilimdzic M</t>
  </si>
  <si>
    <t>Proceedings of the 2020 ACM SIGMOD International Conference on Management of Data</t>
  </si>
  <si>
    <t>https://doi.org/10.1145/3318464.3386130;http://dx.doi.org/10.1145/3318464.3386130</t>
  </si>
  <si>
    <t>Do developers discover new tools on the toilet?</t>
  </si>
  <si>
    <t>Murphy-Hill E,Smith EK,Sadowski C,Jaspan C,Winter C,Jorde M,Knight A,Trenk A,Gross S</t>
  </si>
  <si>
    <t>Proceedings of the 41st International Conference on Software Engineering</t>
  </si>
  <si>
    <t>https://doi.org/10.1109/ICSE.2019.00059;http://dx.doi.org/10.1109/ICSE.2019.00059</t>
  </si>
  <si>
    <t>Unicorn: reasoning about configurable system performance through the lens of causality</t>
  </si>
  <si>
    <t>Iqbal MS,Krishna R,Javidian MA,Ray B,Jamshidi P</t>
  </si>
  <si>
    <t>Proceedings of the Seventeenth European Conference on Computer Systems</t>
  </si>
  <si>
    <t>https://doi.org/10.1145/3492321.3519575;http://dx.doi.org/10.1145/3492321.3519575</t>
  </si>
  <si>
    <t>Galhotra S,Fariha A,Lourenço R,Freire J,Meliou A,Srivastava D</t>
  </si>
  <si>
    <t>Proceedings of the 2022 International Conference on Management of Data</t>
  </si>
  <si>
    <t>https://doi.org/10.1145/3514221.3517864;http://dx.doi.org/10.1145/3514221.3517864</t>
  </si>
  <si>
    <t>Causal testing: understanding defects' root causes</t>
  </si>
  <si>
    <t>Johnson B,Brun Y,Meliou A</t>
  </si>
  <si>
    <t>Proceedings of the ACM/IEEE 42nd International Conference on Software Engineering</t>
  </si>
  <si>
    <t>https://doi.org/10.1145/3377811.3380377;http://dx.doi.org/10.1145/3377811.3380377</t>
  </si>
  <si>
    <t>Liu Z,Chen K,Sullivan D,Arias O,Dutta R,Jin Y,Guo X</t>
  </si>
  <si>
    <t>Proceedings of the 29th Asia and South Pacific Design Automation Conference</t>
  </si>
  <si>
    <t>https://doi.org/10.1109/ASP-DAC58780.2024.10473793;http://dx.doi.org/10.1109/ASP-DAC58780.2024.10473793</t>
  </si>
  <si>
    <t>AutoLog: facing log redundancy and insufficiency</t>
  </si>
  <si>
    <t>Zhang C,Guo Z,Wu M,Lu L,Fan Y,Zhao J,Zhang Z</t>
  </si>
  <si>
    <t>Proceedings of the Second Asia-Pacific Workshop on Systems</t>
  </si>
  <si>
    <t>https://doi.org/10.1145/2103799.2103811;http://dx.doi.org/10.1145/2103799.2103811</t>
  </si>
  <si>
    <t>BONSEYES: Platform for Open Development of Systems of Artificial Intelligence: Invited paper</t>
  </si>
  <si>
    <t>Llewellynn T,Fernández-Carrobles MM,Deniz O,Fricker S,Storkey A,Pazos N,Velikic G,Leufgen K,Dahyot R,Koller S,Goumas G,Leitner P,Dasika G,Wang L,Tutschku K</t>
  </si>
  <si>
    <t>Proceedings of the Computing Frontiers Conference</t>
  </si>
  <si>
    <t>https://doi.org/10.1145/3075564.3076259;http://dx.doi.org/10.1145/3075564.3076259</t>
  </si>
  <si>
    <t>Silvis-Cividjian N,Hager F</t>
  </si>
  <si>
    <t>Proceedings of the 45th International Conference on Software Engineering: Software Engineering Education and Training</t>
  </si>
  <si>
    <t>https://doi.org/10.1109/ICSE-SEET58685.2023.00013;http://dx.doi.org/10.1109/ICSE-SEET58685.2023.00013</t>
  </si>
  <si>
    <t>Jayaram KR,Eugster P</t>
  </si>
  <si>
    <t>Proceedings of the 5th ACM International Conference on Distributed Event-Based System</t>
  </si>
  <si>
    <t>https://doi.org/10.1145/2002259.2002278;http://dx.doi.org/10.1145/2002259.2002278</t>
  </si>
  <si>
    <t>Intelligent Agent-Based Stimulation for Testing Robotic Software in Human-Robot Interactions</t>
  </si>
  <si>
    <t>Araiza-Illan D,Pipe AG,Eder K</t>
  </si>
  <si>
    <t>Proceedings of the 3rd Workshop on Model-Driven Robot Software Engineering</t>
  </si>
  <si>
    <t>https://doi.org/10.1145/3022099.3022101;http://dx.doi.org/10.1145/3022099.3022101</t>
  </si>
  <si>
    <t>Safety of embedded software</t>
  </si>
  <si>
    <t>Leveson N,Fleming CH,Thomas J</t>
  </si>
  <si>
    <t>Proceedings of the 2012 ACM Conference on High Integrity Language Technology</t>
  </si>
  <si>
    <t>10.1145/2402676.2402681</t>
  </si>
  <si>
    <t>https://doi.org/10.1145/2402676.2402681;http://dx.doi.org/10.1145/2402676.2402681</t>
  </si>
  <si>
    <t>Ada Lett.</t>
  </si>
  <si>
    <t>10.1145/2402709.2402681</t>
  </si>
  <si>
    <t>https://doi.org/10.1145/2402709.2402681;http://dx.doi.org/10.1145/2402709.2402681</t>
  </si>
  <si>
    <t>Liu J,Gao J</t>
  </si>
  <si>
    <t>Proceedings of the 3rd International Conference on Vision, Image and Signal Processing</t>
  </si>
  <si>
    <t>https://doi.org/10.1145/3387168.3387208;http://dx.doi.org/10.1145/3387168.3387208</t>
  </si>
  <si>
    <t>Fairness testing: testing software for discrimination</t>
  </si>
  <si>
    <t>Galhotra S,Brun Y,Meliou A</t>
  </si>
  <si>
    <t>Proceedings of the 2017 11th Joint Meeting on Foundations of Software Engineering</t>
  </si>
  <si>
    <t>https://doi.org/10.1145/3106237.3106277;http://dx.doi.org/10.1145/3106237.3106277</t>
  </si>
  <si>
    <t>Brandt J,Schneider K</t>
  </si>
  <si>
    <t>Proceedings of the 7th IEEE/ACM International Conference on Formal Methods and Models for Codesign</t>
  </si>
  <si>
    <t>Methodological Issues in Observational Studies</t>
  </si>
  <si>
    <t>Saarimäki N</t>
  </si>
  <si>
    <t>SIGSOFT Softw. Eng. Notes</t>
  </si>
  <si>
    <t>10.1145/3356773.3356799</t>
  </si>
  <si>
    <t>https://doi.org/10.1145/3356773.3356799;http://dx.doi.org/10.1145/3356773.3356799</t>
  </si>
  <si>
    <t>Striking gold in software repositories? an econometric study of cryptocurrencies on GitHub</t>
  </si>
  <si>
    <t>Trockman A,van Tonder R,Vasilescu B</t>
  </si>
  <si>
    <t>Proceedings of the 16th International Conference on Mining Software Repositories</t>
  </si>
  <si>
    <t>https://doi.org/10.1109/MSR.2019.00036;http://dx.doi.org/10.1109/MSR.2019.00036</t>
  </si>
  <si>
    <t>Assessing textual source code comparison: split or unified?</t>
  </si>
  <si>
    <t>Chavalier AC,Alcocer JP,Bergel A</t>
  </si>
  <si>
    <t>Companion Proceedings of the 4th International Conference on Art, Science, and Engineering of Programming</t>
  </si>
  <si>
    <t>https://doi.org/10.1145/3397537.3398471;http://dx.doi.org/10.1145/3397537.3398471</t>
  </si>
  <si>
    <t>Zhang S,Liu Y,Pei D,Chen Y,Qu X,Tao S,Zang Z</t>
  </si>
  <si>
    <t>Proceedings of the 11th ACM Conference on Emerging Networking Experiments and Technologies</t>
  </si>
  <si>
    <t>https://doi.org/10.1145/2716281.2836087;http://dx.doi.org/10.1145/2716281.2836087</t>
  </si>
  <si>
    <t>Instrumentation for distributed computing systems</t>
  </si>
  <si>
    <t>Krumme D,Cybenko G,Couch A</t>
  </si>
  <si>
    <t>Proceedings of the 1987 Fall Joint Computer Conference on Exploring Technology: Today and Tomorrow</t>
  </si>
  <si>
    <t>IEEE Computer Society Press</t>
  </si>
  <si>
    <t>Colaço JL,Mendler M,Pauget B,Pouzet M</t>
  </si>
  <si>
    <t>ACM Trans. Embed. Comput. Syst.</t>
  </si>
  <si>
    <t>https://doi.org/10.1145/3609131;http://dx.doi.org/10.1145/3609131</t>
  </si>
  <si>
    <t>Mani N,Petriu DC,Woodside M</t>
  </si>
  <si>
    <t>Proceedings of the 4th ACM/SPEC International Conference on Performance Engineering</t>
  </si>
  <si>
    <t>https://doi.org/10.1145/2479871.2479887;http://dx.doi.org/10.1145/2479871.2479887</t>
  </si>
  <si>
    <t>Demonstration of generating explanations for black-box algorithms using Lewis</t>
  </si>
  <si>
    <t>Wang PY,Galhotra S,Pradhan R,Salimi B</t>
  </si>
  <si>
    <t>Proc. VLDB Endow.</t>
  </si>
  <si>
    <t>https://doi.org/10.14778/3476311.3476345;http://dx.doi.org/10.14778/3476311.3476345</t>
  </si>
  <si>
    <t>VLDB Endowment</t>
  </si>
  <si>
    <t>An overview of Scade, a synchronous language for safety-critical software (keynote)</t>
  </si>
  <si>
    <t>Colaço JL</t>
  </si>
  <si>
    <t>Proceedings of the 7th ACM SIGPLAN International Workshop on Reactive and Event-Based Languages and Systems</t>
  </si>
  <si>
    <t>10.1145/3427763.3432350</t>
  </si>
  <si>
    <t>https://doi.org/10.1145/3427763.3432350;http://dx.doi.org/10.1145/3427763.3432350</t>
  </si>
  <si>
    <t>The Index of Pupillary Activity: Measuring Cognitive Load vis-à-vis Task Difficulty with Pupil Oscillation</t>
  </si>
  <si>
    <t>Duchowski AT,Krejtz K,Krejtz I,Biele C,Niedzielska A,Kiefer P,Raubal M,Giannopoulos I</t>
  </si>
  <si>
    <t>Proceedings of the 2018 CHI Conference on Human Factors in Computing Systems</t>
  </si>
  <si>
    <t>https://doi.org/10.1145/3173574.3173856;http://dx.doi.org/10.1145/3173574.3173856</t>
  </si>
  <si>
    <t>Muraro D,Vob U,Wilson M,Bennett M,Byrne H,De Smet I,Hodgman C,King J</t>
  </si>
  <si>
    <t>IEEE/ACM Trans. Comput. Biol. Bioinformatics</t>
  </si>
  <si>
    <t>https://doi.org/10.1109/TCBB.2013.3;http://dx.doi.org/10.1109/TCBB.2013.3</t>
  </si>
  <si>
    <t>Aguilera MK,Mogul JC,Wiener JL,Reynolds P,Muthitacharoen A</t>
  </si>
  <si>
    <t>Proceedings of the Nineteenth ACM Symposium on Operating Systems Principles</t>
  </si>
  <si>
    <t>10.1145/945445.945454</t>
  </si>
  <si>
    <t>https://doi.org/10.1145/945445.945454;http://dx.doi.org/10.1145/945445.945454</t>
  </si>
  <si>
    <t>SIGOPS Oper. Syst. Rev.</t>
  </si>
  <si>
    <t>https://doi.org/10.1145/1165389.945454;http://dx.doi.org/10.1145/1165389.945454</t>
  </si>
  <si>
    <t>WHYNET: a framework for in-situ evaluation of heterogeneous mobile wireless systems</t>
  </si>
  <si>
    <t>Varshney M,Xu Z,Mohan S,Yang Y,Xu D,Bagrodia R</t>
  </si>
  <si>
    <t>Proceedings of the Second ACM International Workshop on Wireless Network Testbeds, Experimental Evaluation and Characterization</t>
  </si>
  <si>
    <t>https://doi.org/10.1145/1287767.1287775;http://dx.doi.org/10.1145/1287767.1287775</t>
  </si>
  <si>
    <t>Building a hybrid systems modeler from synchronous language principles</t>
  </si>
  <si>
    <t>Pouzet M</t>
  </si>
  <si>
    <t>Proceedings of the 12th International Conference on Embedded Software</t>
  </si>
  <si>
    <t>Transparently Mixing Undo Logs and Software Reversibility for State Recovery in Optimistic PDES</t>
  </si>
  <si>
    <t>Cingolani D,Pellegrini A,Quaglia F</t>
  </si>
  <si>
    <t>ACM Trans. Model. Comput. Simul.</t>
  </si>
  <si>
    <t>https://doi.org/10.1145/3077583;http://dx.doi.org/10.1145/3077583</t>
  </si>
  <si>
    <t>Towards Causal Deep Learning for Vulnerability Detection</t>
  </si>
  <si>
    <t>Rahman MM,Ceka I,Mao C,Chakraborty S,Ray B,Le W</t>
  </si>
  <si>
    <t>10.1145/3597503.3639170</t>
  </si>
  <si>
    <t>https://doi.org/10.1145/3597503.3639170;http://dx.doi.org/10.1145/3597503.3639170</t>
  </si>
  <si>
    <t>Publication Type</t>
  </si>
  <si>
    <t>Book Authors</t>
  </si>
  <si>
    <t>Book Editors</t>
  </si>
  <si>
    <t>Book Group Authors</t>
  </si>
  <si>
    <t>Author Full Names</t>
  </si>
  <si>
    <t>Book Author Full Names</t>
  </si>
  <si>
    <t>Group Authors</t>
  </si>
  <si>
    <t>Article Title</t>
  </si>
  <si>
    <t>Source Title</t>
  </si>
  <si>
    <t>Book Series Title</t>
  </si>
  <si>
    <t>Book Series Subtitle</t>
  </si>
  <si>
    <t>Language</t>
  </si>
  <si>
    <t>Conference Title</t>
  </si>
  <si>
    <t>Conference Date</t>
  </si>
  <si>
    <t>Conference Location</t>
  </si>
  <si>
    <t>Conference Sponsor</t>
  </si>
  <si>
    <t>Conference Host</t>
  </si>
  <si>
    <t>Author Keywords</t>
  </si>
  <si>
    <t>Keywords Plus</t>
  </si>
  <si>
    <t>Abstract</t>
  </si>
  <si>
    <t>Addresses</t>
  </si>
  <si>
    <t>Affiliations</t>
  </si>
  <si>
    <t>Reprint Addresses</t>
  </si>
  <si>
    <t>Email Addresses</t>
  </si>
  <si>
    <t>Researcher Ids</t>
  </si>
  <si>
    <t>ORCIDs</t>
  </si>
  <si>
    <t>Funding Orgs</t>
  </si>
  <si>
    <t>Funding Name Preferred</t>
  </si>
  <si>
    <t>Funding Text</t>
  </si>
  <si>
    <t>Cited References</t>
  </si>
  <si>
    <t>Cited Reference Count</t>
  </si>
  <si>
    <t>Times Cited, WoS Core</t>
  </si>
  <si>
    <t>Times Cited, All Databases</t>
  </si>
  <si>
    <t>180 Day Usage Count</t>
  </si>
  <si>
    <t>Since 2013 Usage Count</t>
  </si>
  <si>
    <t>Publisher City</t>
  </si>
  <si>
    <t>Publisher Address</t>
  </si>
  <si>
    <t>ISSN</t>
  </si>
  <si>
    <t>eISSN</t>
  </si>
  <si>
    <t>ISBN</t>
  </si>
  <si>
    <t>Journal Abbreviation</t>
  </si>
  <si>
    <t>Journal ISO Abbreviation</t>
  </si>
  <si>
    <t>Publication Date</t>
  </si>
  <si>
    <t>Volume</t>
  </si>
  <si>
    <t>Issue</t>
  </si>
  <si>
    <t>Part Number</t>
  </si>
  <si>
    <t>Supplement</t>
  </si>
  <si>
    <t>Special Issue</t>
  </si>
  <si>
    <t>Meeting Abstract</t>
  </si>
  <si>
    <t>Start Page</t>
  </si>
  <si>
    <t>End Page</t>
  </si>
  <si>
    <t>Article Number</t>
  </si>
  <si>
    <t>DOI Link</t>
  </si>
  <si>
    <t>Book DOI</t>
  </si>
  <si>
    <t>Early Access Date</t>
  </si>
  <si>
    <t>Number of Pages</t>
  </si>
  <si>
    <t>WoS Categories</t>
  </si>
  <si>
    <t>Web of Science Index</t>
  </si>
  <si>
    <t>Research Areas</t>
  </si>
  <si>
    <t>IDS Number</t>
  </si>
  <si>
    <t>Pubmed Id</t>
  </si>
  <si>
    <t>Open Access Designations</t>
  </si>
  <si>
    <t>Highly Cited Status</t>
  </si>
  <si>
    <t>Hot Paper Status</t>
  </si>
  <si>
    <t>Date of Export</t>
  </si>
  <si>
    <t>UT (Unique WOS ID)</t>
  </si>
  <si>
    <t>Web of Science Record</t>
  </si>
  <si>
    <t>J</t>
  </si>
  <si>
    <t>Clark, AG; Foster, M; Prifling, B; Walkinshaw, N; Hierons, RM; Schmidt, V; Turner, RD</t>
  </si>
  <si>
    <t/>
  </si>
  <si>
    <t>Clark, Andrew G.; Foster, Michael; Prifling, Benedikt; Walkinshaw, Neil; Hierons, Robert M.; Schmidt, Volker; Turner, Robert D.</t>
  </si>
  <si>
    <t>ACM TRANSACTIONS ON SOFTWARE ENGINEERING AND METHODOLOGY</t>
  </si>
  <si>
    <t>English</t>
  </si>
  <si>
    <t>Software testing; causal inference; causal testing</t>
  </si>
  <si>
    <t>RANDOMIZED CONTROLLED-TRIALS; SENSITIVITY-ANALYSIS; INFERENCE; STATISTICS; DIAGRAMS; DESIGN</t>
  </si>
  <si>
    <t>From simulating galaxy formation to viral transmission in a pandemic, scientific models play a pivotal role in developing scientific theories and supporting government policy decisions that affect us all. Given these critical applications, a poor modelling assumption or bug could have far-reaching consequences. However, scientific models possess several properties that make them notoriously difficult to test, including a complex input space, long execution times, and non-determinism, rendering existing testing techniques impractical. In fields such as epidemiology, where researchers seek answers to challenging causal questions, a statistical methodology known as Causal inference has addressed similar problems, enabling the inference of causal conclusions from noisy, biased, and sparse data instead of costly experiments. This article introduces the causal testing framework: a framework that uses causal inference techniques to establish causal effects from existing data, enabling users to conduct software testing activities concerning the effect of a change, such as metamorphic testing, a posteriori. We present three case studies covering real-world scientific models, demonstrating how the causal testing framework can infer metamorphic test outcomes from reused, confounded test data to provide an efficient solution for testing scientific modelling software.</t>
  </si>
  <si>
    <t>[Clark, Andrew G.; Foster, Michael; Walkinshaw, Neil; Hierons, Robert M.; Turner, Robert D.] Univ Sheffield, Dept Comp Sci, Regent Court,211 Portobello, Sheffield S1 4DP, S Yorkshire, England; [Prifling, Benedikt; Schmidt, Volker] Ulm Univ, Inst Stochast, Helmholtzstr 18, D-89081 Ulm, Germany</t>
  </si>
  <si>
    <t>University of Sheffield; Ulm University</t>
  </si>
  <si>
    <t>Clark, AG (corresponding author), Univ Sheffield, Dept Comp Sci, Regent Court,211 Portobello, Sheffield S1 4DP, S Yorkshire, England.</t>
  </si>
  <si>
    <t>agclark2@sheffield.ac.uk; m.foster@sheffield.ac.uk; benedikt.prifling@uni-ulm.de; n.walkinshaw@sheffield.ac.uk; r.hierons@sheffield.ac.uk; volker.schmidt@uni-ulm.de; r.d.turner@sheffield.ac.uk</t>
  </si>
  <si>
    <t>Walkinshaw, Neil/0000-0003-2134-6548; Foster, Michael/0000-0001-8233-9873; Hierons, Robert/0000-0002-4771-1446; Prifling, Benedikt/0000-0002-2952-0208</t>
  </si>
  <si>
    <t>EPSRC CITCoM grant [EP/T030526/1]</t>
  </si>
  <si>
    <t>EPSRC CITCoM grant(UK Research &amp; Innovation (UKRI)Engineering &amp; Physical Sciences Research Council (EPSRC))</t>
  </si>
  <si>
    <t>M. Foster, N. Walkinshaw, and R. M. Hierons were funded by EPSRC CITCoM grant EP/T030526/1.</t>
  </si>
  <si>
    <t>ASSOC COMPUTING MACHINERY</t>
  </si>
  <si>
    <t>NEW YORK</t>
  </si>
  <si>
    <t>1601 Broadway, 10th Floor, NEW YORK, NY USA</t>
  </si>
  <si>
    <t>1049-331X</t>
  </si>
  <si>
    <t>1557-7392</t>
  </si>
  <si>
    <t>ACM T SOFTW ENG METH</t>
  </si>
  <si>
    <t>JAN</t>
  </si>
  <si>
    <t>Computer Science, Software Engineering</t>
  </si>
  <si>
    <t>Science Citation Index Expanded (SCI-EXPANDED)</t>
  </si>
  <si>
    <t>Computer Science</t>
  </si>
  <si>
    <t>IT4R5</t>
  </si>
  <si>
    <t>Green Submitted, Green Accepted</t>
  </si>
  <si>
    <t>2024-06-21</t>
  </si>
  <si>
    <t>WOS:001168576700011</t>
  </si>
  <si>
    <t>C</t>
  </si>
  <si>
    <t>Giamattei, L; Pietrantuono, R; Russo, S</t>
  </si>
  <si>
    <t>Giamattei, Luca; Pietrantuono, Roberto; Russo, Stefano</t>
  </si>
  <si>
    <t>2023 IEEE/ACM 45TH INTERNATIONAL CONFERENCE ON SOFTWARE ENGINEERING-NEW IDEAS AND EMERGING RESULTS, ICSE-NIER</t>
  </si>
  <si>
    <t>International Conference on Software Engineering-New Ideas and Emerging Technologies Results Track</t>
  </si>
  <si>
    <t>Proceedings Paper</t>
  </si>
  <si>
    <t>IEEE/ACM 45th International Conference on Software Engineering - New Ideas and Emerging Results (ICSE-NIER)</t>
  </si>
  <si>
    <t>MAY 14-20, 2023</t>
  </si>
  <si>
    <t>Melbourne, AUSTRALIA</t>
  </si>
  <si>
    <t>IEEE,Assoc Comp Machinery,IEEE Comp Soc,IEEE Tech Council Software Engn,ACM Special Interest Grp Software Engn,Melbourne Convent Bur,State Govt Victoria,CSIRO,Huawei,Monash Univ,Meta,Google,AWS,Monash Univ,Dragon Testing Technol,IBM,Univ Melbourne,RMIT Univ</t>
  </si>
  <si>
    <t>Causal reasoning; Software Testing</t>
  </si>
  <si>
    <t>With software systems becoming increasingly pervasive and autonomous, our ability to test for their quality is severely challenged. Many systems are called to operate in uncertain and highly-changing environment, not rarely required to make intelligent decisions by themselves. This easily results in an intractable state space to explore at testing time. The state-of-the-art techniques try to keep the pace, e.g., by augmenting the tester's intuition with some form of (explicit or implicit) learning from observations to search this space efficiently. For instance, they exploit historical data to drive the search (e.g., ML-driven testing) or the tests execution data itself (e.g., adaptive or search-based testing). Despite the indubitable advances, the need for smartening the search in such a huge space keeps to be pressing. We introduce Reasoning-Based Software Testing (RBST), a new way of thinking at the testing problem as a causal reasoning task. Compared to mere intuition-based or state-of-the-art learning-based strategies, we claim that causal reasoning more naturally emulates the process that a human would do to smartly search the space. RBST aims to mimic and amplify, with the power of computation, this ability. The conceptual leap can pave the ground to a new trend of techniques, which can be variously instantiated from the proposed framework, by exploiting the numerous tools for causal discovery and inference. Preliminary results reported in this paper are promising.</t>
  </si>
  <si>
    <t>[Giamattei, Luca; Pietrantuono, Roberto; Russo, Stefano] Univ Napoli Federico II, DIETI, Via Claudio 21, I-80125 Naples, Italy</t>
  </si>
  <si>
    <t>University of Naples Federico II</t>
  </si>
  <si>
    <t>Giamattei, L (corresponding author), Univ Napoli Federico II, DIETI, Via Claudio 21, I-80125 Naples, Italy.</t>
  </si>
  <si>
    <t>luca.giamattei@unina.it; roberto.pietrantuono@unina.it; stefano.russo@unina.it</t>
  </si>
  <si>
    <t>Russo, Stefano/H-7723-2013</t>
  </si>
  <si>
    <t>Russo, Stefano/0000-0002-8747-3446</t>
  </si>
  <si>
    <t>European Union [871342]; DIETI COSMIC project</t>
  </si>
  <si>
    <t>European Union(European Union (EU)); DIETI COSMIC project</t>
  </si>
  <si>
    <t>This project has received funding from the European Union's Horizon 2020 research and innovation programme under the Marie Sklodowska-Curie grant agreement No 871342. It is also supported by the DIETI COSMIC project.</t>
  </si>
  <si>
    <t>IEEE COMPUTER SOC</t>
  </si>
  <si>
    <t>LOS ALAMITOS</t>
  </si>
  <si>
    <t>10662 LOS VAQUEROS CIRCLE, PO BOX 3014, LOS ALAMITOS, CA 90720-1264 USA</t>
  </si>
  <si>
    <t>2832-7624</t>
  </si>
  <si>
    <t>979-8-3503-0039-0</t>
  </si>
  <si>
    <t>New Ideas and Emergi</t>
  </si>
  <si>
    <t>Computer Science, Software Engineering; Computer Science, Theory &amp; Methods</t>
  </si>
  <si>
    <t>Conference Proceedings Citation Index - Science (CPCI-S)</t>
  </si>
  <si>
    <t>BV4JY</t>
  </si>
  <si>
    <t>Green Submitted</t>
  </si>
  <si>
    <t>WOS:001032816400012</t>
  </si>
  <si>
    <t>Bai, ZF; Shu, G; Podgurski, A</t>
  </si>
  <si>
    <t>Bai, Zhuofu; Shu, Gang; Podgurski, Andy</t>
  </si>
  <si>
    <t>SOFTWARE TESTING VERIFICATION &amp; RELIABILITY</t>
  </si>
  <si>
    <t>value-based statistical fault localization; causal inference; confounding bias; generalized propensity score; covariate-balancing propensity score; failure-causing effect estimation</t>
  </si>
  <si>
    <t>PROGRAM</t>
  </si>
  <si>
    <t>This paper presents NUMFL, a value-based causal inference technique for localizing faults in numerical software. NUMFL combines causal and statistical analyses to characterize the causal effects of individual numerical expressions on output errors. Given value-profiles for an expression's variables, NUMFL uses generalized propensity scores or covariate balancing propensity scores to reduce confounding bias caused by evaluation of other, faulty expressions. It estimates the average failure-causing effect of an expression using statistical regression models fit within generalized propensity score or covariate balancing propensity score subclasses (strata). This paper also reports on an empirical evaluation of NUMFL involving components from four Java numerical libraries, in which it was compared with five alternative statistical fault localization metrics. The results indicate that NUMFL is more effective than competitive statistical fault localization techniques. The results also indicate NUMFL that works surprisingly well with data from failing runs alone. Copyright (C) 2016 John Wiley &amp; Sons, Ltd.</t>
  </si>
  <si>
    <t>[Bai, Zhuofu; Shu, Gang; Podgurski, Andy] Case Western Reserve Univ, Dept Elect Engn &amp; Comp Sci, Cleveland, OH 44106 USA</t>
  </si>
  <si>
    <t>University System of Ohio; Case Western Reserve University</t>
  </si>
  <si>
    <t>Podgurski, A (corresponding author), Case Western Reserve Univ, Dept Elect Engn &amp; Comp Sci, Cleveland, OH 44106 USA.</t>
  </si>
  <si>
    <t>podgurski@case.edu</t>
  </si>
  <si>
    <t>NSF [CNS-1035602, CCF-1525178]; Division of Computing and Communication Foundations; Direct For Computer &amp; Info Scie &amp; Enginr [1525178] Funding Source: National Science Foundation</t>
  </si>
  <si>
    <t>NSF(National Science Foundation (NSF)); Division of Computing and Communication Foundations; Direct For Computer &amp; Info Scie &amp; Enginr(National Science Foundation (NSF)NSF - Directorate for Computer &amp; Information Science &amp; Engineering (CISE))</t>
  </si>
  <si>
    <t>This research was supported by NSF awards CNS-1035602 and CCF-1525178.</t>
  </si>
  <si>
    <t>WILEY</t>
  </si>
  <si>
    <t>HOBOKEN</t>
  </si>
  <si>
    <t>111 RIVER ST, HOBOKEN 07030-5774, NJ USA</t>
  </si>
  <si>
    <t>0960-0833</t>
  </si>
  <si>
    <t>1099-1689</t>
  </si>
  <si>
    <t>SOFTW TEST VERIF REL</t>
  </si>
  <si>
    <t>Softw. Test. Verif. Reliab.</t>
  </si>
  <si>
    <t>SEP</t>
  </si>
  <si>
    <t>SI</t>
  </si>
  <si>
    <t>e1613</t>
  </si>
  <si>
    <t>FF3NR</t>
  </si>
  <si>
    <t>WOS:000408810900001</t>
  </si>
  <si>
    <t>Ji, ZL; Ma, PC; Wang, S</t>
  </si>
  <si>
    <t>Ji, Zhenlan; Ma, Pingchuan; Wang, Shuai</t>
  </si>
  <si>
    <t>PERFCE: Performance Debugging on Databases with Chaos Engineering-Enhanced Causality Analysis</t>
  </si>
  <si>
    <t>2023 38TH IEEE/ACM INTERNATIONAL CONFERENCE ON AUTOMATED SOFTWARE ENGINEERING, ASE</t>
  </si>
  <si>
    <t>IEEE ACM International Conference on Automated Software Engineering</t>
  </si>
  <si>
    <t>38th IEEE/ACM International Conference on Automated Software Engineering (ASE)</t>
  </si>
  <si>
    <t>SEP 11-15, 2023</t>
  </si>
  <si>
    <t>Echternach, LUXEMBOURG</t>
  </si>
  <si>
    <t>IEEE,Assoc Comp Machinery,IEEE Comp Soc</t>
  </si>
  <si>
    <t>Debugging performance anomalies in databases is challenging. Causal inference techniques enable qualitative and quantitative root cause analysis of performance downgrades. Nevertheless, causality analysis is challenging in practice, particularly due to limited observability. Recently, chaos engineering (CE) has been applied to test complex software systems. CE frameworks mutate chaos variables to inject catastrophic events (e.g., network slowdowns) to stress-test these software systems. The systems under chaos stress are then tested (e.g., via differential testing) to check if they retain normal functionality, such as returning correct SQL query outputs even under stress. To date, CE is mainly employed to aid software testing. This paper identifies the novel usage of CE in diagnosing performance anomalies in databases. Our framework, PERFCE, has two phases - offline and online. The offline phase learns statistical models of a database using both passive observations and proactive chaos experiments. The online phase diagnoses the root cause of performance anomalies from both qualitative and quantitative aspects on-the-fly. In evaluation, PERFCE outperformed previous works on synthetic datasets and is highly accurate and moderately expensive when analyzing real-world (distributed) databases like MySQL and TiDB.</t>
  </si>
  <si>
    <t>[Ji, Zhenlan; Ma, Pingchuan; Wang, Shuai] Hong Kong Univ Sci &amp; Technol, Hong Kong, Peoples R China</t>
  </si>
  <si>
    <t>Hong Kong University of Science &amp; Technology</t>
  </si>
  <si>
    <t>Ma, PC (corresponding author), Hong Kong Univ Sci &amp; Technol, Hong Kong, Peoples R China.</t>
  </si>
  <si>
    <t>zjiae@cse.ust.hk; pmaab@cse.ust.hk; shuaiw@cse.ust.hk</t>
  </si>
  <si>
    <t>Ma, Pingchuan/AFR-0634-2022</t>
  </si>
  <si>
    <t>Ma, Pingchuan/0000-0003-3752-0803; Ji, Zhenlan/0000-0003-3167-0480</t>
  </si>
  <si>
    <t>1527-1366</t>
  </si>
  <si>
    <t>979-8-3503-2996-4</t>
  </si>
  <si>
    <t>IEEE INT CONF AUTOM</t>
  </si>
  <si>
    <t>Automation &amp; Control Systems; Computer Science, Software Engineering</t>
  </si>
  <si>
    <t>Automation &amp; Control Systems; Computer Science</t>
  </si>
  <si>
    <t>BW1BK</t>
  </si>
  <si>
    <t>WOS:001103357200116</t>
  </si>
  <si>
    <t>Liu, ZX; Chen, KJ; Sullivan, D; Arias, O; Dutta, R; Jin, Y; Guo, XL</t>
  </si>
  <si>
    <t>Liu, Zhaoxiang; Chen, Kejun; Sullivan, Dean; Arias, Orlando; Dutta, Raj; Jin, Yier; Guo, Xiaolong</t>
  </si>
  <si>
    <t>29TH ASIA AND SOUTH PACIFIC DESIGN AUTOMATION CONFERENCE, ASP-DAC 2024</t>
  </si>
  <si>
    <t>Asia and South Pacific Design Automation Conference Proceedings</t>
  </si>
  <si>
    <t>29th Asia and South Pacific Design Automation Conference (ASP-DAC)</t>
  </si>
  <si>
    <t>JAN 22-25, 2024</t>
  </si>
  <si>
    <t>BrainKorea Four 21, Incheon, SOUTH KOREA</t>
  </si>
  <si>
    <t>ACM Special Interest Grp Design Automat,IEEE Circuits &amp; Syst Soc,IEEE Council Elect Design Automat,EIC,Incheon Tourism Org,Korea Tourism Org,Cadence Design Syst Inc</t>
  </si>
  <si>
    <t>BrainKorea Four 21</t>
  </si>
  <si>
    <t>Causality Inference; Hardware Security; Hardware and Software Co-Verification</t>
  </si>
  <si>
    <t>The increasing complexity of System-on-Chip (SoC) designs and the rise of third-party vendors in the semiconductor industry have led to unprecedented security concerns. Traditional formal methods struggle to address software-exploited hardware bugs, and existing solutions for hardware-software co-verification often fall short. This paper presents Microscope, a novel framework for inferring software instruction patterns that can trigger hardware vulnerabilities in SoC designs. Microscope enhances the Structural Causal Model (SCM) with hardware features, creating a scalable Hardware Structural Causal Model (HW-SCM). A domain-specific language (DSL) in SMT-LIB represents the HW-SCM and predefined security properties, with incremental SMT solving deducing possible instructions. Microscope identifies causality to determine whether a hardware threat could result from any software events, providing a valuable resource for patching hardware bugs and generating test input. Extensive experimentation demonstrates Microscope's capability to infer the causality of a wide range of vulnerabilities and bugs located in SoC-level benchmarks.</t>
  </si>
  <si>
    <t>[Liu, Zhaoxiang; Chen, Kejun; Guo, Xiaolong] Kansas State Univ, Manhattan, KS 66506 USA; [Sullivan, Dean] Univ New Hampshire, Durham, NH USA; [Arias, Orlando] Univ Massachusetts, Amherst, MA USA; [Dutta, Raj] Silicon Assurance, Gainesville, FL USA; [Jin, Yier] Univ Sci &amp; Technol China, Hefei, Peoples R China</t>
  </si>
  <si>
    <t>Kansas State University; University System Of New Hampshire; University of New Hampshire; University of Massachusetts System; University of Massachusetts Amherst; Chinese Academy of Sciences; University of Science &amp; Technology of China, CAS</t>
  </si>
  <si>
    <t>Liu, ZX (corresponding author), Kansas State Univ, Manhattan, KS 66506 USA.</t>
  </si>
  <si>
    <t>zxliu@ksu.edu; kejun@ksu.edu; dean.sullivan@unh.edu; orlandoarias@uml.edu; rajgautamdutta@siliconassurance.com; jinyier@ustc.edu.cn; guoxiaolong@ksu.edu</t>
  </si>
  <si>
    <t>National Science Foundation [CCF-2019310, OAC-2312982]</t>
  </si>
  <si>
    <t>National Science Foundation(National Science Foundation (NSF))</t>
  </si>
  <si>
    <t>Portions of this work were supported by the National Science Foundation (CCF-2019310, OAC-2312982).</t>
  </si>
  <si>
    <t>345 E 47TH ST, NEW YORK, NY 10017 USA</t>
  </si>
  <si>
    <t>2153-6961</t>
  </si>
  <si>
    <t>979-8-3503-9354-5</t>
  </si>
  <si>
    <t>ASIA S PACIF DES AUT</t>
  </si>
  <si>
    <t>Automation &amp; Control Systems; Computer Science, Software Engineering; Computer Science, Theory &amp; Methods; Engineering, Electrical &amp; Electronic</t>
  </si>
  <si>
    <t>Automation &amp; Control Systems; Computer Science; Engineering</t>
  </si>
  <si>
    <t>BW7ST</t>
  </si>
  <si>
    <t>WOS:001196002900150</t>
  </si>
  <si>
    <t>Hossen, MA; Kharade, S; Schmerl, B; Camara, J; O'Kane, JM; Czaplinski, EC; Dzurilla, KA; Garlan, D; Jamshidi, P</t>
  </si>
  <si>
    <t>Hossen, Md Abir; Kharade, Sonam; Schmerl, Bradley; Camara, Javier; O'Kane, Jason M.; Czaplinski, Ellen C.; Dzurilla, Katherine A.; Garlan, David; Jamshidi, Pooyan</t>
  </si>
  <si>
    <t>IEEE ROBOTICS AND AUTOMATION LETTERS</t>
  </si>
  <si>
    <t>Robot sensing systems; Debugging; Costs; Software; Hardware; Data models; Computer bugs; Robotics and autonomous systems; causal inference; robotics testing</t>
  </si>
  <si>
    <t>Robotic systems have subsystems with a combinatorially large configuration space and hundreds or thousands of possible software and hardware configuration options interacting non-trivially. The configurable parameters are set to target specific objectives, but they can cause functional faults when incorrectly configured. Finding the root cause of such faults is challenging due to the exponentially large configuration space and the dependencies between the robot's configuration settings and performance. This paper proposes CaRE-a method for diagnosing the root cause of functional faults through the lens of causality. CaRE abstracts the causal relationships between various configuration options and the robot's performance objectives by learning a causal structure and estimating the causal effects of options on robot performance indicators. We demonstrate CaRE's efficacy by finding the root cause of the observed functional faults and validating the diagnosed root cause by conducting experiments in both physical robots (Husky and Turtlebot 3) and in simulation (Gazebo). Furthermore, we demonstrate that the causal models learned from robots in simulation (e.g., Husky in Gazebo) are transferable to physical robots across different platforms (e.g., Husky and Turtlebot 3).</t>
  </si>
  <si>
    <t>[Hossen, Md Abir; Kharade, Sonam; Jamshidi, Pooyan] Univ South Carolina, Coll Engn &amp; Comp, Columbia, SC 29208 USA; [Schmerl, Bradley; Garlan, David] Carnegie Mellon Univ, Sch Comp Sci, Pittsburgh, PA 15213 USA; [Camara, Javier] Univ Malaga, ITIS Software, Malaga 29016, Spain; [O'Kane, Jason M.] Texas A&amp;M Univ, Dept Comp Sci &amp; Engn, College Stn, TX 77843 USA; [Czaplinski, Ellen C.; Dzurilla, Katherine A.] CALTECH, Jet Prop Lab, Pasadena, CA 91125 USA</t>
  </si>
  <si>
    <t>University of South Carolina System; University of South Carolina Columbia; Carnegie Mellon University; Universidad de Malaga; Texas A&amp;M University System; Texas A&amp;M University College Station; National Aeronautics &amp; Space Administration (NASA); NASA Jet Propulsion Laboratory (JPL); California Institute of Technology</t>
  </si>
  <si>
    <t>Hossen, MA (corresponding author), Univ South Carolina, Coll Engn &amp; Comp, Columbia, SC 29208 USA.</t>
  </si>
  <si>
    <t>abir.hossen786@gmail.com; skharade@mailbox.sc.edu; schmerl@cs.cmu.edu; jcamara@uma.es; jokane@tamu.edu; Ellen.C.Czaplinski@jpl.nasa.gov; Katherine.A.Dzurilla@jpl.nasa.gov; garlan@cs.cmu.edu; pjamshid@cse.sc.edu</t>
  </si>
  <si>
    <t>Hossen, Abir/AAC-8470-2019</t>
  </si>
  <si>
    <t>Garlan, David/0000-0002-6735-8301; Czaplinski, Ellen/0000-0002-2046-1416</t>
  </si>
  <si>
    <t>National Aeronautics and Space Administration [80NSSC20K1720]; National Science Foundation [2107463]; Chorus49National Science Foundation [2233873, 2007202]; Spanish Government (FEDER/MICINN-AEI) [TED2021-130523B-I00, PID2021-125527NB-I00]; Jet Propulsion Laboratory, California Institute of Technology, under a contract with the National Aeronautics and Space Administration [80NM0018D0004]</t>
  </si>
  <si>
    <t>National Aeronautics and Space Administration(National Aeronautics &amp; Space Administration (NASA)); National Science Foundation(National Science Foundation (NSF)); Chorus49National Science Foundation; Spanish Government (FEDER/MICINN-AEI); Jet Propulsion Laboratory, California Institute of Technology, under a contract with the National Aeronautics and Space Administration</t>
  </si>
  <si>
    <t>This work was supported in part by the National Aeronautics and Space Administration under Grant 80NSSC20K1720, in part by the National Science Foundation under Grant 2107463, in part by Chorus49National Science Foundation under Grants 2233873, 2007202, and 2107463, and in part by the Spanish Government (FEDER/MICINN-AEI) under projects TED2021-130523B-I00 and PID2021-125527NB-I00. Part of this research was carried out at the Jet Propulsion Laboratory, California Institute of Technology, under a contract with the National Aeronautics and Space Administration under Grant 80NM0018D0004.</t>
  </si>
  <si>
    <t>IEEE-INST ELECTRICAL ELECTRONICS ENGINEERS INC</t>
  </si>
  <si>
    <t>PISCATAWAY</t>
  </si>
  <si>
    <t>445 HOES LANE, PISCATAWAY, NJ 08855-4141 USA</t>
  </si>
  <si>
    <t>2377-3766</t>
  </si>
  <si>
    <t>IEEE ROBOT AUTOM LET</t>
  </si>
  <si>
    <t>IEEE Robot. Autom. Lett.</t>
  </si>
  <si>
    <t>JUL</t>
  </si>
  <si>
    <t>Robotics</t>
  </si>
  <si>
    <t>I7BI3</t>
  </si>
  <si>
    <t>WOS:001004297800008</t>
  </si>
  <si>
    <t>Yu, YB; Li, X; Bu, K; Chen, Y; Yang, JF</t>
  </si>
  <si>
    <t>Yu, Yinbo; Li, Xing; Bu, Kai; Chen, Yan; Yang, Jianfeng</t>
  </si>
  <si>
    <t>FALCON: Differential fault localization for SDN control plane</t>
  </si>
  <si>
    <t>COMPUTER NETWORKS</t>
  </si>
  <si>
    <t>Software-defined networking; Control plane; Fault localization; Network reliability</t>
  </si>
  <si>
    <t>The control plane of Software-Defined Networking (SDN) is the key component for overseeing and managing networks. As a software entity, the control plane is inevitable to involve design or logic flaws in its policy enforcement and network control, which can cause it to behave incorrectly and induce network anomalies. Existing approaches mainly focus on policy verification or fault troubleshooting, which have little fault localization capabilities for locating these flaws in production environments. In this paper, we present FALCON, the first Fault Localization tool for the SDN coNtrol plane. We design a novel causal inference mechanism based on differential checking, which symmetrically compares two system behaviors with similar processes and identifies the causality in related code execution paths with concrete contexts to explain why a fault happened in the SDN network. Our main contributions include (1) a lightweight rule-based hybrid tracing mechanism for recording system behaviors of the SDN control plane, (2) a context-aware modeling mechanism for modeling these behaviors, and (3) a differential checking mechanism for diagnosing controller faults according to formulated symptoms. Our evaluation shows that FALCON is capable of diagnosing faults in the SDN control plane with low overhead on performance. (C) 2019 Published by Elsevier B.V.</t>
  </si>
  <si>
    <t>[Yu, Yinbo; Yang, Jianfeng] Wuhan Univ, Sch Elect Informat, Wuhan 430072, Hubei, Peoples R China; [Li, Xing; Bu, Kai; Chen, Yan] Zhejiang Univ, Inst Cyberspace Res, Hangzhou 310058, Zhejiang, Peoples R China; [Chen, Yan] Northwestern Univ, Dept Elect Engn &amp; Comp Sci, Evanston, IL 60208 USA</t>
  </si>
  <si>
    <t>Wuhan University; Zhejiang University; Northwestern University</t>
  </si>
  <si>
    <t>Yang, JF (corresponding author), Wuhan Univ, Sch Elect Informat, Wuhan 430072, Hubei, Peoples R China.</t>
  </si>
  <si>
    <t>yyb@whu.edu.cn; xing_li@zju.edu.cn; kaibu@zju.edu.cn; ychen@northwestern.edu; yjf@whu.edu.cn</t>
  </si>
  <si>
    <t>National Key R&amp;D Program of China [2017YFB0801703]; Key Research and Development Program of Zhejiang Province [2018C01088]</t>
  </si>
  <si>
    <t>National Key R&amp;D Program of China; Key Research and Development Program of Zhejiang Province</t>
  </si>
  <si>
    <t>This work is supported by National Key R&amp;D Program of China (2017YFB0801703) and the Key Research and Development Program of Zhejiang Province (2018C01088). We thank IM 2019 Chairs and Reviewers for their helpful feedback.</t>
  </si>
  <si>
    <t>ELSEVIER</t>
  </si>
  <si>
    <t>AMSTERDAM</t>
  </si>
  <si>
    <t>RADARWEG 29, 1043 NX AMSTERDAM, NETHERLANDS</t>
  </si>
  <si>
    <t>1389-1286</t>
  </si>
  <si>
    <t>1872-7069</t>
  </si>
  <si>
    <t>COMPUT NETW</t>
  </si>
  <si>
    <t>Comput. Netw.</t>
  </si>
  <si>
    <t>OCT 24</t>
  </si>
  <si>
    <t>Computer Science, Hardware &amp; Architecture; Computer Science, Information Systems; Engineering, Electrical &amp; Electronic; Telecommunications</t>
  </si>
  <si>
    <t>Computer Science; Engineering; Telecommunications</t>
  </si>
  <si>
    <t>JF9DZ</t>
  </si>
  <si>
    <t>WOS:000491684300006</t>
  </si>
  <si>
    <t>Li, X; Yu, YB; Bu, K; Chen, Y; Yang, JF; Quan, RJ</t>
  </si>
  <si>
    <t>Li, Xing; Yu, Yinbo; Bu, Kai; Chen, Yan; Yang, Jianfeng; Quan, Ruijie</t>
  </si>
  <si>
    <t>2019 IFIP/IEEE SYMPOSIUM ON INTEGRATED NETWORK AND SERVICE MANAGEMENT (IM)</t>
  </si>
  <si>
    <t>IFIP/IEEE Symposium on Integrated Network and Service Management (IM)</t>
  </si>
  <si>
    <t>APR 08-12, 2019</t>
  </si>
  <si>
    <t>Arlington, VA</t>
  </si>
  <si>
    <t>IFIP,IEEE</t>
  </si>
  <si>
    <t>The control plane of Software-Defined Networking (SDN) is the key component that oversees and manages networks. However, involving design or logic flaws in its policy enforcement and network control is inevitable, which can cause it to behave incorrectly and induce network anomalies. Unfortunately, existing approaches mainly focus on policy verification or fault troubleshooting with little fault localization capability for repairing these flaws in production environments. In this paper, we present FALCON, the first FAult Localization tool for SDN CONtrol plane. We design a novel causal inference mechanism based on differential checking, which symmetrically compares two system behaviors with similar processes and identifies the causality in related code execution paths with concrete contexts to explain why a fault happened in the SDN network. Our main contributions include 1) a lightweight rule-based dynamic tracing mechanism for recording system behaviors of the SDN control plane, 2) a context-aware modeling mechanism for modeling these behaviors, and 3) a differential checking mechanism for localizing controller faults according to formulated symptoms. Our evaluation shows that FALCON is capable of localizing faults in SDN control plane with low overhead on performance.</t>
  </si>
  <si>
    <t>[Li, Xing; Bu, Kai; Chen, Yan; Quan, Ruijie] Zhejiang Univ, Inst Cyberspace Res, Hangzhou, Zhejiang, Peoples R China; [Yu, Yinbo; Yang, Jianfeng] Wuhan Univ, Sch Elect Informat, Wuhan, Hubei, Peoples R China; [Chen, Yan] Northwestern Univ, Dept Elect Engn &amp; Comp Sci, Evanston, IL USA</t>
  </si>
  <si>
    <t>Zhejiang University; Wuhan University; Northwestern University</t>
  </si>
  <si>
    <t>Yang, JF (corresponding author), Wuhan Univ, Sch Elect Informat, Wuhan, Hubei, Peoples R China.</t>
  </si>
  <si>
    <t>xing_li@zju.edu.cn; yyb@whu.edu.cn; kaibu@zju.edu.cn; ychen@northwestern.edu; yjf@whu.edu.cn; quanruij@gmail.com</t>
  </si>
  <si>
    <t>This work is supported by National Key R&amp;D Program of China (2017YFB0801703) and the Key Research and Development Program of Zhejiang Province (2018C01088).</t>
  </si>
  <si>
    <t>978-3-903176-15-7</t>
  </si>
  <si>
    <t>Computer Science, Information Systems; Computer Science, Theory &amp; Methods</t>
  </si>
  <si>
    <t>BM8RG</t>
  </si>
  <si>
    <t>WOS:000469937200068</t>
  </si>
  <si>
    <t>Küçük, Y; Henderson, TAD; Podgurski, A</t>
  </si>
  <si>
    <t>IEEE Comp Soc</t>
  </si>
  <si>
    <t>Kucuk, Yigit; Henderson, Tim A. D.; Podgurski, Andy</t>
  </si>
  <si>
    <t>2021 IEEE/ACM 43RD INTERNATIONAL CONFERENCE ON SOFTWARE ENGINEERING: COMPANION PROCEEDINGS (ICSE-COMPANION 2021)</t>
  </si>
  <si>
    <t>Proceedings of the IEEE-ACM International Conference on Software Engineering Companion</t>
  </si>
  <si>
    <t>IEEE/ACM 43rd International Conference on Software Engineering (ICSE)</t>
  </si>
  <si>
    <t>MAY 25-28, 2021</t>
  </si>
  <si>
    <t>ELECTR NETWORK</t>
  </si>
  <si>
    <t>IEEE,ACM,IEEE Comp Soc</t>
  </si>
  <si>
    <t>This work presents an overview of the artifact for the paper titled Improving Fault Localization by Integrating Value and Predicate Based Causal Inference Techniques. The artifact was implemented in a virtual machine and includes the scripts for the UniVal algorithm for fault localization employing the Defects4J test suite. Technical information about the individual components for the artifact's repository as well as guidance on the necessary documentation for utilizing the software are provided.</t>
  </si>
  <si>
    <t>[Kucuk, Yigit; Podgurski, Andy] Case Western Reserve Univ, Dept Comp &amp; Data Sci, Cleveland, OH 44106 USA; [Henderson, Tim A. D.] Google Inc, Mountain View, CA USA</t>
  </si>
  <si>
    <t>University System of Ohio; Case Western Reserve University; Google Incorporated</t>
  </si>
  <si>
    <t>Küçük, Y (corresponding author), Case Western Reserve Univ, Dept Comp &amp; Data Sci, Cleveland, OH 44106 USA.</t>
  </si>
  <si>
    <t>yxk368@case.edu; tadh@google.com; podgurski@case.edu</t>
  </si>
  <si>
    <t>NSF [CCF-1525178]</t>
  </si>
  <si>
    <t>NSF(National Science Foundation (NSF))</t>
  </si>
  <si>
    <t>This work was partially supported by NSF award CCF-1525178 to Case Western Reserve University. The authors would also like to thank Zhoufu Bai for providing scripts we used for including NUMFL into our evaluation.</t>
  </si>
  <si>
    <t>2574-1926</t>
  </si>
  <si>
    <t>978-1-6654-1219-3</t>
  </si>
  <si>
    <t>PROC IEEE ACM INT C</t>
  </si>
  <si>
    <t>BS2QS</t>
  </si>
  <si>
    <t>WOS:000706450400058</t>
  </si>
  <si>
    <t>Li, JH; Cui, XH; Wang, YC; Xie, F</t>
  </si>
  <si>
    <t>Li, Jiahao; Cui, Xinhao; Wang, Yichen; Xie, Feng</t>
  </si>
  <si>
    <t>An Empirical Study of Software Testing Quality Based on Natural Experiments</t>
  </si>
  <si>
    <t>2022 IEEE 22ND INTERNATIONAL CONFERENCE ON SOFTWARE QUALITY, RELIABILITY, AND SECURITY COMPANION, QRS-C</t>
  </si>
  <si>
    <t>IEEE International Conference on Software Quality, Reliability and Security Companion</t>
  </si>
  <si>
    <t>22nd IEEE International Conference on Software Quality, Reliability and Security (QRS)</t>
  </si>
  <si>
    <t>DEC 05-09, 2022</t>
  </si>
  <si>
    <t>Guangzhou, PEOPLES R CHINA</t>
  </si>
  <si>
    <t>IEEE,IEEE Comp Soc</t>
  </si>
  <si>
    <t>Software testing; Software testing quality; Natural experiments; Causal inference</t>
  </si>
  <si>
    <t>Software testing is an indispensable part of the software life cycle, and the quality of software testing largely affects the quality of software delivered to users. However, in the current stage of software testing quality research, the focus on testing quality influencing factors is still limited to theoretical analysis and model application, and there is a lack of empirical research based on real data and samples. To address this problem, this paper proposes the idea of using natural experiments to conduct empirical research in the field of software testing quality for the first time, and analyzes the feasibility of the research proposal through literature research. In this paper, the empirical study was conducted using real data provided by enterprises, through the research of cooperative enterprise project data and event records, selected the CNAS expansion of the on-site review and audit training as an exogenous event, team capacity as the explanatory variable to build a natural experimental model of test quality. After completing the empirical model, we analyze the results, which show that the exogenous events have a significant disposition effect on test quality, and the empirical results pass the four commonly used robustness tests, indicating that the experimental results have a high 95% confidence level. In addition, this paper also analyzes the control variables in the empirical model and finds that test team size can have an impact on test quality by affecting test diversity, which provides ideas for subsequent research. Finally, based on the experimental ideas and empirical results of this study,this paper summarizes the methodological paradigm of applying the natural experiment method to empirically study and analyze the factors affecting test quality, which provides an important reference example for future empirical studies by introducing the natural experiment method in the study of software quality and test quality, and greatly expands the research horizon of related fields.</t>
  </si>
  <si>
    <t>[Li, Jiahao; Cui, Xinhao; Wang, Yichen] Beihang Univ, Beijing, Peoples R China; [Xie, Feng] Beijing Sai Ruo Technol Co Ltd, Beijing, Peoples R China</t>
  </si>
  <si>
    <t>Beihang University</t>
  </si>
  <si>
    <t>Li, JH (corresponding author), Beihang Univ, Beijing, Peoples R China.</t>
  </si>
  <si>
    <t>sy2114212@buaa.edu.cn; zy2214107@buaa.edu.cn; wangyichen@buaa.edu.cn; xiefeng@antares-testing.com</t>
  </si>
  <si>
    <t>Cui, Xinhao/HSI-2096-2023</t>
  </si>
  <si>
    <t>Cui, Xinhao/0009-0006-3297-213X</t>
  </si>
  <si>
    <t>2693-938X</t>
  </si>
  <si>
    <t>2693-9371</t>
  </si>
  <si>
    <t>979-8-3503-1991-0</t>
  </si>
  <si>
    <t>IEEE I C SQRS-C</t>
  </si>
  <si>
    <t>BV0ZI</t>
  </si>
  <si>
    <t>WOS:000981939100070</t>
  </si>
  <si>
    <t>Demarne, MB; Gramling, J; Verona, T; Cilimdzic, M</t>
  </si>
  <si>
    <t>Assoc Comp Machinery</t>
  </si>
  <si>
    <t>Demarne, Mathieu B.; Gramling, Jim; Verona, Tomer; Cilimdzic, Miso</t>
  </si>
  <si>
    <t>SIGMOD'20: PROCEEDINGS OF THE 2020 ACM SIGMOD INTERNATIONAL CONFERENCE ON MANAGEMENT OF DATA</t>
  </si>
  <si>
    <t>ACM SIGMOD International Conference on Management of Data (SIGMOD)</t>
  </si>
  <si>
    <t>JUN 14-19, 2020</t>
  </si>
  <si>
    <t>Assoc Comp Machinery,ACM SIGMOD</t>
  </si>
  <si>
    <t>Telemetry Analysis; Distributed Databases; Reliability Analysis; Azure SQL Data Warehouse; Azure Synapse Analytics</t>
  </si>
  <si>
    <t>We present RADD, an innovative analytic pipeline used to measure reliability and availability for cloud-based distributed databases by leveraging the vast amount of telemetry present in the cloud. RADD can perform root cause analysis (RCA) to provide a minute-by-minute summary of the availability of a database close to real-time. On top of this data, RADD can raise alerts, analyze the stability of new versions during their deployment, and provide Key Performance Indicators (KPIs) that allow us to understand the stability of our system across all deployed databases. RADD implements an event correlation framework that puts the emphasis on data compliance and uses information entropy to measure causality and reduce noisy signals. It also uses statistical modelling to analyze new versions of the product and detect potential regressions early in our software development lifecycle. We demonstrate the application of RADD on top of Azure Synapse Analytics, where the system has helped us identify top-hitting and new issues and support on-call teams regarding every aspect of database health.</t>
  </si>
  <si>
    <t>[Demarne, Mathieu B.; Gramling, Jim; Verona, Tomer; Cilimdzic, Miso] Microsoft Corp, One Microsoft Way, Redmond, WA 98052 USA</t>
  </si>
  <si>
    <t>Microsoft</t>
  </si>
  <si>
    <t>Demarne, MB (corresponding author), Microsoft Corp, One Microsoft Way, Redmond, WA 98052 USA.</t>
  </si>
  <si>
    <t>mdemarne@microsoft.com; jigramli@microsoft.com; tomerv@microsoft.com; misoc@microsoft.com</t>
  </si>
  <si>
    <t>1515 BROADWAY, NEW YORK, NY 10036-9998 USA</t>
  </si>
  <si>
    <t>978-1-4503-6735-6</t>
  </si>
  <si>
    <t>Computer Science, Information Systems</t>
  </si>
  <si>
    <t>BR3BZ</t>
  </si>
  <si>
    <t>WOS:000644433700098</t>
  </si>
  <si>
    <t>Millstein, J; Chen, GK; Breton, CV</t>
  </si>
  <si>
    <t>Millstein, Joshua; Chen, Gary K.; Breton, Carrie V.</t>
  </si>
  <si>
    <t>cit: hypothesis testing software for mediation analysis in genomic applications</t>
  </si>
  <si>
    <t>BIOINFORMATICS</t>
  </si>
  <si>
    <t>WIDE ASSOCIATION; LOCI</t>
  </si>
  <si>
    <t>Motivation: The challenges of successfully applying causal inference methods include: (i) satisfying underlying assumptions, (ii) limitations in data/models accommodated by the software and (iii) low power of common multiple testing approaches. Results: The causal inference test (CIT) is based on hypothesis testing rather than estimation, allowing the testable assumptions to be evaluated in the determination of statistical significance. A user-friendly software package provides P-values and optionally permutation-based FDR estimates (q-values) for potential mediators. It can handle single and multiple binary and continuous instrumental variables, binary or continuous outcome variables and adjustment covariates. Also, the permutation-based FDR option provides a non-parametric implementation. Conclusion: Simulation studies demonstrate the validity of the cit package and show a substantial advantage of permutation-based FDR over other common multiple testing strategies. Availability and implementation: The cit open-source R package is freely available from the CRAN website (https://cran.r-project.org/web/packages/cit/index.html) with embedded C__code that utilizes the GNU Scientific Library, also freely available (http://www.gnu.org/software/gsl/).</t>
  </si>
  <si>
    <t>[Millstein, Joshua; Chen, Gary K.; Breton, Carrie V.] Univ Southern Calif, Keck Sch Med, Dept Prevent Med, Los Angeles, CA 90032 USA</t>
  </si>
  <si>
    <t>University of Southern California</t>
  </si>
  <si>
    <t>Millstein, J (corresponding author), Univ Southern Calif, Keck Sch Med, Dept Prevent Med, Los Angeles, CA 90032 USA.</t>
  </si>
  <si>
    <t>joshua.millstein@usc.edu</t>
  </si>
  <si>
    <t>Millstein, Joshua/AFU-6153-2022</t>
  </si>
  <si>
    <t>Millstein, Joshua/0000-0001-7961-8943</t>
  </si>
  <si>
    <t>National Institutes of Health [R01ES022216]</t>
  </si>
  <si>
    <t>National Institutes of Health(United States Department of Health &amp; Human ServicesNational Institutes of Health (NIH) - USA)</t>
  </si>
  <si>
    <t>This work was supported by the National Institutes of Health [grant number R01ES022216].</t>
  </si>
  <si>
    <t>OXFORD UNIV PRESS</t>
  </si>
  <si>
    <t>OXFORD</t>
  </si>
  <si>
    <t>GREAT CLARENDON ST, OXFORD OX2 6DP, ENGLAND</t>
  </si>
  <si>
    <t>1367-4803</t>
  </si>
  <si>
    <t>1460-2059</t>
  </si>
  <si>
    <t>AUG 1</t>
  </si>
  <si>
    <t>Biochemical Research Methods; Biotechnology &amp; Applied Microbiology; Computer Science, Interdisciplinary Applications; Mathematical &amp; Computational Biology; Statistics &amp; Probability</t>
  </si>
  <si>
    <t>Biochemistry &amp; Molecular Biology; Biotechnology &amp; Applied Microbiology; Computer Science; Mathematical &amp; Computational Biology; Mathematics</t>
  </si>
  <si>
    <t>DV8JY</t>
  </si>
  <si>
    <t>Green Published, Bronze</t>
  </si>
  <si>
    <t>WOS:000383184500018</t>
  </si>
  <si>
    <t>Musco, V; Monperrus, M; Preux, P</t>
  </si>
  <si>
    <t>Musco, Vincenzo; Monperrus, Martin; Preux, Philippe</t>
  </si>
  <si>
    <t>2016 IEEE 16TH INTERNATIONAL WORKING CONFERENCE ON SOURCE CODE ANALYSIS AND MANIPULATION (SCAM)</t>
  </si>
  <si>
    <t>IEEE International Working Conference on Source Code Analysis and Manipulation</t>
  </si>
  <si>
    <t>16th IEEE International Working Conference on Source Code Analysis and Manipulation (SCAM)</t>
  </si>
  <si>
    <t>OCT 02-03, 2016</t>
  </si>
  <si>
    <t>Raleigh, NC</t>
  </si>
  <si>
    <t>IEEE,IEEE Comp Soc,IEEE Comp Soc Tech Council Software Engn,ABB</t>
  </si>
  <si>
    <t>We present a new fault localization algorithm, called Vautrin, built on an approximation of causality based on call graphs. The approximation of causality is done using software mutants. The key idea is that if a mutant is killed by a test, certain call graph edges within a path between the mutation point and the failing test are likely causal. We evaluate our approach on the fault localization benchmark by Steimann et al. totaling 5,836 faults. The causal graphs are extracted from 88,732 nodes connected by 119,531 edges. Vautrin improves the fault localization effectiveness for all subjects of the benchmark. Considering the wasted effort at the method level, a classical fault localization evaluation metric, the improvement ranges from 3% to 55%, with an average improvement of 14%.</t>
  </si>
  <si>
    <t>[Musco, Vincenzo] Univ Lille, CRIStAL, Villeneuve Dascq, France; INRIA, Rocquencourt, France</t>
  </si>
  <si>
    <t>Universite de Lille; Centrale Lille; Inria</t>
  </si>
  <si>
    <t>Musco, V (corresponding author), Univ Lille, CRIStAL, Villeneuve Dascq, France.</t>
  </si>
  <si>
    <t>vincenzo.musco@inria.fr; martin.monperrus@univ-lille1.fr; philippe.preux@univ-lille3.fr</t>
  </si>
  <si>
    <t>Preux, Pierre-Marie/N-3538-2019; Monperrus, Martin/I-3640-2012</t>
  </si>
  <si>
    <t>Preux, Pierre-Marie/0000-0002-2171-2977; Monperrus, Martin/0000-0003-3505-3383</t>
  </si>
  <si>
    <t>1942-5430</t>
  </si>
  <si>
    <t>978-1-5090-3849-7</t>
  </si>
  <si>
    <t>IEEE INT WORK C SO</t>
  </si>
  <si>
    <t>Computer Science, Software Engineering; Engineering, Electrical &amp; Electronic</t>
  </si>
  <si>
    <t>Computer Science; Engineering</t>
  </si>
  <si>
    <t>BG7CF</t>
  </si>
  <si>
    <t>WOS:000391207000013</t>
  </si>
  <si>
    <t>Zeller, A</t>
  </si>
  <si>
    <t>COMPUTER</t>
  </si>
  <si>
    <t>Although software engineers have enjoyed tremendous productivity increases as more of their tasks have become automated, debugging remains as labor-intensive and painful as it was 50 years ago. An engineer or programmer must still set up hypotheses to use in identifying and correcting a failure's root cause. The author describes a new algorithm that promises to relieve programmers of the hit-or-miss approach to debugging. Delta Debugging uses the results of automated testing to systematically narrow the set of failure-inducing circumstances. Programmers supply,a test function for each bug and hardcode it into any imperative language. The test function checks a set of changes to determine if the failure is present or if the outcome is unresolved, then feeds that information to the Delta Debugging code. As we discover more about the structure of these circumstances and. the resulting causality chain, we come closer to passing much of the boredom and monotony of debugging onto machines. Debugging can be just as disciplined, systematic, and quantifiable as any other area of software engineering-which means that we should eventually be able to automate at least part of it. Ultimately, debugging may become as automated as testing-not only detecting failures, but also revealing how they came to be.</t>
  </si>
  <si>
    <t>Zeller, Andreas/0000-0003-4719-8803</t>
  </si>
  <si>
    <t>10662 LOS VAQUEROS CIRCLE, PO BOX 3014, LOS ALAMITOS, CA 90720-1314 USA</t>
  </si>
  <si>
    <t>0018-9162</t>
  </si>
  <si>
    <t>NOV</t>
  </si>
  <si>
    <t>+</t>
  </si>
  <si>
    <t>Computer Science, Hardware &amp; Architecture; Computer Science, Software Engineering</t>
  </si>
  <si>
    <t>487QJ</t>
  </si>
  <si>
    <t>WOS:000171886500017</t>
  </si>
  <si>
    <t>Guarro, SB; Yau, MK</t>
  </si>
  <si>
    <t>Dynamic modeling and verification of safe-set architectures .3. Dynamic flowgraph methodology (DFM) for safety verification and analysis of critical control software</t>
  </si>
  <si>
    <t>WESCON - 96, CONFERENCE PROCEEDINGS</t>
  </si>
  <si>
    <t>Wescon 96 Conference</t>
  </si>
  <si>
    <t>OCT 22-24, 1996</t>
  </si>
  <si>
    <t>ANAHEIM, CA</t>
  </si>
  <si>
    <t>IEEE, Los Angeles Bay Area Council,IEEE, San Francisco Bay Area Council,ERA, So Calif Chapter,ERA, No Calif Chapter</t>
  </si>
  <si>
    <t>This paper discusses the use of the Dynamic Flowgraph Methodology (DFM) technique as a means of modeling, analyzing and verifying the design and the causality-driven behavior of software-controlled real-time systems. An example is used to illustrate the basic DFM concept and its application in the dependability and safety analysis of software-based control systems. Other completed and ongoing applications, relative to NASA space systems and to nuclear power plant systems, are also presented and briefly discussed. The paper also introduces the principal features of the workstation software tool developed to implement DFM.</t>
  </si>
  <si>
    <t>Guarro, SB (corresponding author), ASCA INC,704 SILVER SPUR RD,SUITE 203,ROLLING HILLS ESTATES,CA 90274, USA.</t>
  </si>
  <si>
    <t>I E E E</t>
  </si>
  <si>
    <t>345 E 47TH ST, NEW YORK, NY 10017</t>
  </si>
  <si>
    <t>0-7803-3275-X</t>
  </si>
  <si>
    <t>Engineering, Electrical &amp; Electronic</t>
  </si>
  <si>
    <t>Engineering</t>
  </si>
  <si>
    <t>BG78Y</t>
  </si>
  <si>
    <t>WOS:A1996BG78Y00089</t>
  </si>
  <si>
    <t>Hacker, S; Hatemi-J, A</t>
  </si>
  <si>
    <t>Hacker, Scott; Hatemi-J, Abdulnasser</t>
  </si>
  <si>
    <t>A bootstrap test for causality with endogenous lag length choice: theory and application in finance</t>
  </si>
  <si>
    <t>JOURNAL OF ECONOMIC STUDIES</t>
  </si>
  <si>
    <t>Causality; VAR model; Stability; Endogenous lag; ARCH; Leverages; Bootstrap; Economic stability; Finance</t>
  </si>
  <si>
    <t>Purpose - In all existing theoretical papers on causality it is assumed that the lag length is known a priori. However, in applied research the lag length has to be selected before testing for causality. The purpose of this paper is to suggest that in investigating the effectiveness of various Granger causality testing methodologies, including those using bootstrapping, the lag length choice should be endogenized, by which we mean the data-driven preselection of lag length should be taken into account. Design/methodology/approach - The size and power of a bootstrap test with endogenized lag-length choice are investigated by simulation methods. A statistical software component is produced to implement the test, which is available online. Findings - The simulation results show that this test performs well. An application of the test provides empirical support for the hypothesis that the UAE financial market is integrated with the US market. Social implications - The empirical results based on this test are expected to be more precise. Originality/value - This paper considers a bootstrap test for causality with endogenous lag order. This test has superior properties compared to existing causality tests in terms of size, with similar if not better power and it is robust to ARCH effects that usually characterize financial data. Practitioners interested in causal inference based on time series data might find the test valuable.</t>
  </si>
  <si>
    <t>[Hacker, Scott] Jonkoping Univ, Dept Econ, Jonkoping, Sweden; [Hatemi-J, Abdulnasser] UAE Univ, Dept Econ &amp; Finance, Al Ain, U Arab Emirates</t>
  </si>
  <si>
    <t>Jonkoping University; United Arab Emirates University</t>
  </si>
  <si>
    <t>Hacker, S (corresponding author), Jonkoping Univ, Dept Econ, Jonkoping, Sweden.</t>
  </si>
  <si>
    <t>scott.hacker@jibs.hj.se</t>
  </si>
  <si>
    <t>Hatemi-J, Abdulnasser/AAC-3942-2019</t>
  </si>
  <si>
    <t>Hatemi-J, Abdulnasser/0000-0002-6212-1292</t>
  </si>
  <si>
    <t>EMERALD GROUP PUBLISHING LTD</t>
  </si>
  <si>
    <t>BINGLEY</t>
  </si>
  <si>
    <t>HOWARD HOUSE, WAGON LANE, BINGLEY BD16 1WA, W YORKSHIRE, ENGLAND</t>
  </si>
  <si>
    <t>0144-3585</t>
  </si>
  <si>
    <t>J ECON STUD</t>
  </si>
  <si>
    <t>10.1108/01443581211222635</t>
  </si>
  <si>
    <t>Economics</t>
  </si>
  <si>
    <t>Emerging Sources Citation Index (ESCI)</t>
  </si>
  <si>
    <t>Business &amp; Economics</t>
  </si>
  <si>
    <t>V91UM</t>
  </si>
  <si>
    <t>WOS:000212951100002</t>
  </si>
  <si>
    <t>Shu, G; Sun, B; Podgurski, A; Cao, F</t>
  </si>
  <si>
    <t>Shu, Gang; Sun, Boya; Podgurski, Andy; Cao, Feng</t>
  </si>
  <si>
    <t>2013 IEEE SIXTH INTERNATIONAL CONFERENCE ON SOFTWARE TESTING, VERIFICATION AND VALIDATION (ICST 2013)</t>
  </si>
  <si>
    <t>6th IEEE International Conference on Software Testing, Verification and Validation (ICST)</t>
  </si>
  <si>
    <t>MAR 18-22, 2013</t>
  </si>
  <si>
    <t>Luxembourg, LUXEMBOURG</t>
  </si>
  <si>
    <t>IEEE,P&amp;T Luxembourg,IEE,SES,Fonds Natl Rech Luxembourg,Luxinnovation,Secur &amp; Trust,Univ Luxembourg, Comp Sci &amp; Commun Res Unit,Lab Adv Software Syst,IEEE Comp Soc</t>
  </si>
  <si>
    <t>statistical fault localization; statistical debugging; causal inference; causal graph; confounding bias; confounder selection; positivity; dynamic call graph; dynamic data dependences</t>
  </si>
  <si>
    <t>POSITIVITY</t>
  </si>
  <si>
    <t>Recent studies have shown that use of causal inference techniques for reducing confounding bias improves the effectiveness of statistical fault localization (SFL) at the level of program statements. However, with very large programs and test suites, the overhead of statement-level causal SFL may be excessive. Moreover cost evaluations of statement-level SFL techniques generally are based on a questionable assumption-that software developers can consistently recognize faults when examining statements in isolation. To address these issues, we propose and evaluate a novel method-level SFL technique called MFL, which is based on causal inference methodology. In addition to reframing SFL at the method level, our technique incorporates a new algorithm for selecting covariates to use in adjusting for confounding bias. This algorithm attempts to ensure that such covariates satisfy the conditional exchangeability and positivity properties required for identifying causal effects with observational data. We present empirical results indicating that our approach is more effective than four method-level versions of well-known SFL techniques and that our confounder selection algorithm is superior to two alternatives.</t>
  </si>
  <si>
    <t>[Shu, Gang; Sun, Boya; Podgurski, Andy; Cao, Feng] Case Western Reserve Univ, Dept EECS, Cleveland, OH 44106 USA</t>
  </si>
  <si>
    <t>Shu, G (corresponding author), Case Western Reserve Univ, Dept EECS, Cleveland, OH 44106 USA.</t>
  </si>
  <si>
    <t>gang.shu@case.edu; boya.sun@case.edu; podgurski@case.edu; feng.cao@case.edu</t>
  </si>
  <si>
    <t>Division Of Computer and Network Systems; Direct For Computer &amp; Info Scie &amp; Enginr [1035602] Funding Source: National Science Foundation</t>
  </si>
  <si>
    <t>Division Of Computer and Network Systems; Direct For Computer &amp; Info Scie &amp; Enginr(National Science Foundation (NSF)NSF - Directorate for Computer &amp; Information Science &amp; Engineering (CISE))</t>
  </si>
  <si>
    <t>978-0-7695-4968-2</t>
  </si>
  <si>
    <t>BA1GB</t>
  </si>
  <si>
    <t>WOS:000332473300015</t>
  </si>
  <si>
    <t>2015 IEEE 8TH INTERNATIONAL CONFERENCE ON SOFTWARE TESTING, VERIFICATION AND VALIDATION (ICST)</t>
  </si>
  <si>
    <t>IEEE International Conference on Software Testing Verification and Validation Workshops</t>
  </si>
  <si>
    <t>8th IEEE International Conference on Software Testing, Verification and Validation Workshops (ICSTW)</t>
  </si>
  <si>
    <t>APR 13-17, 2015</t>
  </si>
  <si>
    <t>Graz, AUSTRIA</t>
  </si>
  <si>
    <t>IEEE,IEEE Comp Soc,Graz Univ Technol</t>
  </si>
  <si>
    <t>value-based statistical fault localization; causal inference; confounding bias; generalized propensity score; failure-causing effect estimation</t>
  </si>
  <si>
    <t>We present NUMFL, a value-based causal inference model for localizing faults in numerical software. NUMFL combines causal and statistical analyses to characterize the causal effects of individual numerical expressions on failures. Given value-profiles for an expression's variables, NUMFL uses generalized propensity scores (GPSs) to reduce confounding bias caused by evaluation of other, faulty expressions. It estimates the average failure-causing effect of an expression using quadratic regression models fit within GPS subclasses. We report on an evaluation of NUMFL with components from four Java numerical libraries, in which it was compared to five alternative statistical fault localization metrics. The results indicate that NUMFL is the most effective technique overall.</t>
  </si>
  <si>
    <t>Bai, ZF (corresponding author), Case Western Reserve Univ, Dept Elect Engn &amp; Comp Sci, Cleveland, OH 44106 USA.</t>
  </si>
  <si>
    <t>zhuofu.bai@case.edu; gang.shu@case.edu; podgurski@case.edu</t>
  </si>
  <si>
    <t>2159-4848</t>
  </si>
  <si>
    <t>978-1-4799-7125-1</t>
  </si>
  <si>
    <t>IEEE ICST WORKSHOP</t>
  </si>
  <si>
    <t>Computer Science, Software Engineering; Computer Science, Theory &amp; Methods; Engineering, Electrical &amp; Electronic</t>
  </si>
  <si>
    <t>BF4HA</t>
  </si>
  <si>
    <t>WOS:000380913300019</t>
  </si>
  <si>
    <t>Rodriguez, S; Gaunt, TR; Day, INM</t>
  </si>
  <si>
    <t>Rodriguez, Santiago; Gaunt, Tom R.; Day, Ian N. M.</t>
  </si>
  <si>
    <t>Hardy-Weinberg Equilibrium Testing of Biological Ascertainment for Mendelian Randomization Studies</t>
  </si>
  <si>
    <t>AMERICAN JOURNAL OF EPIDEMIOLOGY</t>
  </si>
  <si>
    <t>epidemiologic methods; genetics; Hardy-Weinberg equilibrium; random allocation; research design</t>
  </si>
  <si>
    <t>GENOME-WIDE ASSOCIATION</t>
  </si>
  <si>
    <t>Mendelian randomization (MR) permits causal inference between exposures and a disease. It can be compared with randomized controlled trials. Whereas in a randomized controlled trial the randomization occurs at entry into the trial, in MR the randomization occurs during gamete formation and conception. Several factors, including time since conception and sampling variation, are relevant to the interpretation of an MR test. Particularly important is consideration of the missingness of genotypes that can be originated by chance, genotyping errors, or clinical ascertainment. Testing for Hardy-Weinberg equilibrium (HWE) is a genetic approach that permits evaluation of missingness. In this paper, the authors demonstrate evidence of nonconformity with HWE in real data. They also perform simulations to characterize the sensitivity of HWE tests to missingness. Unresolved missingness could lead to a false rejection of causality in an MR investigation of trait-disease association. These results indicate that large-scale studies, very high quality genotyping data, and detailed knowledge of the life-course genetics of the alleles/genotypes studied will largely mitigate this risk. The authors also present a Web program (http://www.oege.org/software/hwe-mr-calc.shtml http://www.w3.org/1999/http://www.oege.org/software/hwe-mr-calc.shtm) for estimating possible missingness and an approach to evaluating missingness under different genetic models.</t>
  </si>
  <si>
    <t>[Day, Ian N. M.] Univ Bristol, MRC Ctr Causal Analyses Translat Epidemiol, Dept Social Med, Bristol BS8 2BN, Avon, England; Univ Bristol, Bristol Genet Epidemiol Labs, Bristol BS8 2BN, Avon, England</t>
  </si>
  <si>
    <t>University of Bristol; University of Bristol</t>
  </si>
  <si>
    <t>Day, INM (corresponding author), Univ Bristol, MRC Ctr Causal Analyses Translat Epidemiol, Dept Social Med, Oakfield House,Oakfield Grove, Bristol BS8 2BN, Avon, England.</t>
  </si>
  <si>
    <t>ian.day@bristol.ac.uk</t>
  </si>
  <si>
    <t>Gaunt, Tom/O-3918-2014</t>
  </si>
  <si>
    <t>Gaunt, Tom/0000-0003-0924-3247; Rodriguez, Santiago/0000-0001-6551-932X</t>
  </si>
  <si>
    <t>British Heart Foundation [FS/05/065/19497]; Medical Research Council [G0600705] Funding Source: researchfish; MRC [G0600705] Funding Source: UKRI</t>
  </si>
  <si>
    <t>British Heart Foundation(British Heart Foundation); Medical Research Council(UK Research &amp; Innovation (UKRI)Medical Research Council UK (MRC)); MRC(UK Research &amp; Innovation (UKRI)Medical Research Council UK (MRC))</t>
  </si>
  <si>
    <t>T. R. G. is the recipient of an Intermediate Fellowship (grant FS/05/065/19497) from the British Heart Foundation.</t>
  </si>
  <si>
    <t>OXFORD UNIV PRESS INC</t>
  </si>
  <si>
    <t>CARY</t>
  </si>
  <si>
    <t>JOURNALS DEPT, 2001 EVANS RD, CARY, NC 27513 USA</t>
  </si>
  <si>
    <t>0002-9262</t>
  </si>
  <si>
    <t>1476-6256</t>
  </si>
  <si>
    <t>AM J EPIDEMIOL</t>
  </si>
  <si>
    <t>Am. J. Epidemiol.</t>
  </si>
  <si>
    <t>FEB 15</t>
  </si>
  <si>
    <t>10.1093/aje/kwn359</t>
  </si>
  <si>
    <t>Public, Environmental &amp; Occupational Health</t>
  </si>
  <si>
    <t>407ZR</t>
  </si>
  <si>
    <t>Green Published, Green Submitted, hybrid</t>
  </si>
  <si>
    <t>WOS:000263403300015</t>
  </si>
  <si>
    <t>Zhao, J; Ming, JS; Hu, XH; Chen, G; Liu, J; Yang, C</t>
  </si>
  <si>
    <t>Zhao, Jia; Ming, Jingsi; Hu, Xianghong; Chen, Gang; Liu, Jin; Yang, Can</t>
  </si>
  <si>
    <t>INSTRUMENTS</t>
  </si>
  <si>
    <t>Motivation: The results from Genome-Wide Association Studies (GWAS) on thousands of phenotypes provide an unprecedented opportunity to infer the causal effect of one phenotype (exposure) on another (outcome). Mendelian randomization (MR), an instrumental variable (IV) method, has been introduced for causal inference using GWAS data. Due to the polygenic architecture of complex traits/diseases and the ubiquity of pleiotropy, however, MR has many unique challenges compared to conventional IV methods. Results: We propose a Bayesian weighted Mendelian randomization (BWMR) for causal inference to address these challenges. In our BWMR model, the uncertainty of weak effects owing to polygenicity has been taken into account and the violation of IV assumption due to pleiotropy has been addressed through outlier detection by Bayesian weighting. To make the causal inference based on BWMR computationally stable and efficient, we developed a variational expectation-maximization (VEM) algorithm. Moreover, we have also derived an exact closed-form formula to correct the posterior covariance which is often underestimated in variational inference. Through comprehensive simulation studies, we evaluated the performance of BWMR, demonstrating the advantage of BWMR over its competitors. Then we applied BWMR to make causal inference between 130 metabolites and 93 complex human traits, uncovering novel causal relationship between exposure and outcome traits. Availability and implementation: The BWMR software is available at https://github.com/jiazhao97/BWMR.</t>
  </si>
  <si>
    <t>[Zhao, Jia; Ming, Jingsi; Yang, Can] Hong Kong Univ Sci &amp; Technol, Dept Math, Hong Kong 999077, Peoples R China; [Zhao, Jia] Beijing Normal Univ, Sch Math Sci, Beijing 100875, Peoples R China; [Hu, Xianghong] Hong Kong Baptist Univ, Dept Math, Hong Kong 999077, Peoples R China; [Hu, Xianghong] Southern Univ Sci &amp; Technol, Dept Math, Shenzhen 518055, Peoples R China; [Chen, Gang] WeGene Co, Shenzhen 518042, Peoples R China; [Liu, Jin] Duke NUS Med Sch, Ctr Quantitat Med, Singapore 169857, Singapore</t>
  </si>
  <si>
    <t>Hong Kong University of Science &amp; Technology; Beijing Normal University; Hong Kong Baptist University; Southern University of Science &amp; Technology; National University of Singapore</t>
  </si>
  <si>
    <t>Yang, C (corresponding author), Hong Kong Univ Sci &amp; Technol, Dept Math, Hong Kong 999077, Peoples R China.</t>
  </si>
  <si>
    <t>macyang@ust.hk</t>
  </si>
  <si>
    <t>Liu, Jianjun/AAK-4989-2020</t>
  </si>
  <si>
    <t>Liu, Jianjun/0000-0002-3255-3019; Zhao, Jia/0000-0002-9107-8852; Liu, Jin/0000-0002-5707-2078</t>
  </si>
  <si>
    <t>National Science Funding of China [61501389]; Hong Kong Research Grant Council [12316116, 12301417, 16307818]; Hong Kong University of Science and Technology [R9405, IGN17SC02]; Hong Kong University of Science and Technology [Big Data Bio-Intelligence (BDBI) Lab]; Duke-NUS Medical School 546 WBS [R-913-200-098-263]; Ministry of Education, Singapore. AcRF Tier 2 [MOE2016-T2-2-547 029, MOE2018-T2-1-046, MOE2018-T2-2-006]</t>
  </si>
  <si>
    <t>National Science Funding of China; Hong Kong Research Grant Council(Hong Kong Research Grants Council); Hong Kong University of Science and Technology; Hong Kong University of Science and Technology [Big Data Bio-Intelligence (BDBI) Lab]; Duke-NUS Medical School 546 WBS; Ministry of Education, Singapore. AcRF Tier 2(Ministry of Education, Singapore)</t>
  </si>
  <si>
    <t>This work was supported in part by the National Science Funding of China [61501389]; the Hong Kong Research Grant Council [12316116, 12301417 and 16307818]; The Hong Kong University of Science and Technology [startup grant R9405, IGN17SC02, and Big Data Bio-Intelligence (BDBI) Lab]; Duke-NUS Medical School 546 WBS [R-913-200-098-263]; Ministry of Education, Singapore. AcRF Tier 2 [MOE2016-T2-2-547 029, MOE2018-T2-1-046 and MOE2018-T2-2-006].</t>
  </si>
  <si>
    <t>1367-4811</t>
  </si>
  <si>
    <t>MAR 1</t>
  </si>
  <si>
    <t>LR4HC</t>
  </si>
  <si>
    <t>Bronze, Green Submitted</t>
  </si>
  <si>
    <t>WOS:000535656600024</t>
  </si>
  <si>
    <t>Kücük, Y; Henderson, TAD; Podgurski, A</t>
  </si>
  <si>
    <t>2021 IEEE/ACM 43RD INTERNATIONAL CONFERENCE ON SOFTWARE ENGINEERING (ICSE 2021)</t>
  </si>
  <si>
    <t>International Conference on Software Engineering</t>
  </si>
  <si>
    <t>43rd IEEE/ACM International Conference on Software Engineering - Software Engineering in Practice (ICSE-SEIP) / 43rd ACM/IEEE International Conference on Software Engineering - New Ideas and Emerging Results (ICSE-NIER)</t>
  </si>
  <si>
    <t>IEEE,Assoc Comp Machinery,IEEE Comp Soc,IEEE Tech Council Software Engn,ACM SIGSOFT</t>
  </si>
  <si>
    <t>Statistical fault localization (SFL) techniques use execution profiles and success/failure information from software executions, in conjunction with statistical inference, to automatically score program elements based on how likely they are to be faulty. SFL techniques typically employ one type of profile data: either coverage data, predicate outcomes, or variable values. Most SFL techniques actually measure correlation, not causation, between profile values and success/failure, and so they are subject to confounding bias that distorts the scores they produce. This paper presents a new SFL technique, named UniVal, that uses causal inference techniques and machine learning to integrate information about both predicate outcomes and variable values to more accurately estimate the true failure-causing effect of program statements. UniVal was empirically compared to several coverage-based, predicate-based, and value-based SFL techniques on 800 program versions with real faults.</t>
  </si>
  <si>
    <t>NSF [CCF1525178]</t>
  </si>
  <si>
    <t>This work was partially supported by NSF award CCF1525178 to Case Western Reserve University. The authors would also like to thank Zhoufu Bai for providing scripts we used for including NUMFL into our evaluation.</t>
  </si>
  <si>
    <t>0270-5257</t>
  </si>
  <si>
    <t>978-0-7381-1319-7</t>
  </si>
  <si>
    <t>PROC INT CONF SOFTW</t>
  </si>
  <si>
    <t>BS0WB</t>
  </si>
  <si>
    <t>WOS:000684601800053</t>
  </si>
  <si>
    <t>He, YH; Xiao, GY; Zhu, J; Zou, T; Liang, Y</t>
  </si>
  <si>
    <t>He, Yuanhao; Xiao, Geyang; Zhu, Jun; Zou, Tao; Liang, Yuan</t>
  </si>
  <si>
    <t>Reinforcement learning-based SDN routing scheme empowered by causality detection and GNN</t>
  </si>
  <si>
    <t>FRONTIERS IN COMPUTATIONAL NEUROSCIENCE</t>
  </si>
  <si>
    <t>reinforcement learning; causal inference; graph neural network; SDN routing; quality-of-service</t>
  </si>
  <si>
    <t>In recent years, with the rapid development of network applications and the increasing demand for high-quality network service, quality-of-service (QoS) routing has emerged as a critical network technology. The application of machine learning techniques, particularly reinforcement learning and graph neural network, has garnered significant attention in addressing this problem. However, existing reinforcement learning methods lack research on the causal impact of agent actions on the interactive environment, and graph neural network fail to effectively represent link features, which are pivotal for routing optimization. Therefore, this study quantifies the causal influence between the intelligent agent and the interactive environment based on causal inference techniques, aiming to guide the intelligent agent in improving the efficiency of exploring the action space. Simultaneously, graph neural network is employed to embed node and link features, and a reward function is designed that comprehensively considers network performance metrics and causality relevance. A centralized reinforcement learning method is proposed to effectively achieve QoS-aware routing in Software-Defined Networking (SDN). Finally, experiments are conducted in a network simulation environment, and metrics such as packet loss, delay, and throughput all outperform the baseline.</t>
  </si>
  <si>
    <t>[He, Yuanhao; Xiao, Geyang; Zhu, Jun; Zou, Tao; Liang, Yuan] Intelligent Mfg Comp Res Ctr, Zhejiang Lab, Hangzhou, Peoples R China</t>
  </si>
  <si>
    <t>Zhejiang Laboratory</t>
  </si>
  <si>
    <t>Xiao, GY (corresponding author), Intelligent Mfg Comp Res Ctr, Zhejiang Lab, Hangzhou, Peoples R China.</t>
  </si>
  <si>
    <t>xgyalan@outlook.com</t>
  </si>
  <si>
    <t>National Natural Science Foundation of China [U22A2005, 62203403]</t>
  </si>
  <si>
    <t>National Natural Science Foundation of China(National Natural Science Foundation of China (NSFC))</t>
  </si>
  <si>
    <t>The author(s) declare financial support was received for the research, authorship, and/or publication of this article. This study was supported in part by the National Natural Science Foundation of China under Grant U22A2005 and Grant 62203403.</t>
  </si>
  <si>
    <t>FRONTIERS MEDIA SA</t>
  </si>
  <si>
    <t>LAUSANNE</t>
  </si>
  <si>
    <t>AVENUE DU TRIBUNAL FEDERAL 34, LAUSANNE, CH-1015, SWITZERLAND</t>
  </si>
  <si>
    <t>1662-5188</t>
  </si>
  <si>
    <t>FRONT COMPUT NEUROSC</t>
  </si>
  <si>
    <t>Front. Comput. Neurosci.</t>
  </si>
  <si>
    <t>APR 29</t>
  </si>
  <si>
    <t>10.3389/fncom.2024.1393025</t>
  </si>
  <si>
    <t>Mathematical &amp; Computational Biology; Neurosciences</t>
  </si>
  <si>
    <t>Mathematical &amp; Computational Biology; Neurosciences &amp; Neurology</t>
  </si>
  <si>
    <t>QF8Q6</t>
  </si>
  <si>
    <t>gold</t>
  </si>
  <si>
    <t>WOS:001219559700001</t>
  </si>
  <si>
    <t>Iqbal, MS; Krishna, R; Javidian, MA; Ray, B; Jamshidi, P</t>
  </si>
  <si>
    <t>ACM</t>
  </si>
  <si>
    <t>Iqbal, Md Shahriar; Krishna, Rahul; Javidian, Mohammad Ali; Ray, Baishakhi; Jamshidi, Pooyan</t>
  </si>
  <si>
    <t>UNICORN: Reasoning about Configurable System Performance through the Lens of Causality</t>
  </si>
  <si>
    <t>PROCEEDINGS OF THE SEVENTEENTH EUROPEAN CONFERENCE ON COMPUTER SYSTEMS (EUROSYS '22)</t>
  </si>
  <si>
    <t>17th European Conference on Computer Systems (EuroSys)</t>
  </si>
  <si>
    <t>APR 05-08, 2022</t>
  </si>
  <si>
    <t>Rennes, FRANCE</t>
  </si>
  <si>
    <t>Assoc Comp Machinery,ACM SIGOPS,USENIX,Huawei,Stormshield,Microsoft,Protocol Labs Res,Red Hat,Amazon,Meta,Google,Intel,Cisco</t>
  </si>
  <si>
    <t>Configurable Systems; Performance Modeling; Performance Debugging; Performance Optimization; Causal Inference; Counterfactual Reasoning</t>
  </si>
  <si>
    <t>Modern computer systems are highly configurable, with the total variability space sometimes larger than the number of atoms in the universe. Understanding and reasoning about the performance behavior of highly configurable systems, over a vast and variable space, is challenging. State-of-the-art methods for performance modeling and analyses rely on predictive machine learning models, therefore, they become (i) unreliable in unseen environments (e.g., different hardware, workloads), and (ii) may produce incorrect explanations. To tackle this, we propose a new method, called Unicorn, which (i) captures intricate interactions between configuration options across the software-hardware stack and (ii) describes how such interactions can impact performance variations via causal inference. We evaluated Unicorn on six highly configurable systems, including three on-device machine learning systems, a video encoder, a database management system, and a data analytics pipeline. The experimental results indicate that Unicorn outperforms state-of-the-art performance debugging and optimization methods in finding effective repairs for performance faults and finding configurations with near-optimal performance. Further, unlike the existing methods, the learned causal performance models reliably predict performance for new environments.</t>
  </si>
  <si>
    <t>[Iqbal, Md Shahriar; Jamshidi, Pooyan] Univ South Carolina, Columbia, SC 29208 USA; [Krishna, Rahul] IBM Res, Yorktown Hts, NY USA; [Javidian, Mohammad Ali] Purdue Univ, W Lafayette, IN 47907 USA; [Ray, Baishakhi] Columbia Univ, New York, NY 10027 USA</t>
  </si>
  <si>
    <t>University of South Carolina System; University of South Carolina Columbia; International Business Machines (IBM); Purdue University System; Purdue University; Columbia University</t>
  </si>
  <si>
    <t>Iqbal, MS (corresponding author), Univ South Carolina, Columbia, SC 29208 USA.</t>
  </si>
  <si>
    <t>miqbal@email.sc.edu; rkrsn@ibm.com; mjavidia@purdue.edu; rayb@cs.columbia.edu; pjamshid@cse.sc.edu</t>
  </si>
  <si>
    <t>Krishna, Rahul/HJG-7915-2022; Jamshidi, Pooyan/K-2848-2014</t>
  </si>
  <si>
    <t>Jamshidi, Pooyan/0000-0002-9342-0703</t>
  </si>
  <si>
    <t>NASA [80NSSC20K1720, 521418-SC]; NSF [2007202, 2107463, 2038080]; Google; Chameleon Cloud; Direct For Mathematical &amp; Physical Scien; Division Of Mathematical Sciences [2038080] Funding Source: National Science Foundation; Division Of Computer and Network Systems; Direct For Computer &amp; Info Scie &amp; Enginr [2007202] Funding Source: National Science Foundation; Division of Computing and Communication Foundations; Direct For Computer &amp; Info Scie &amp; Enginr [2107463] Funding Source: National Science Foundation</t>
  </si>
  <si>
    <t>NASA(National Aeronautics &amp; Space Administration (NASA)); NSF(National Science Foundation (NSF)); Google(Google Incorporated); Chameleon Cloud; Direct For Mathematical &amp; Physical Scien; Division Of Mathematical Sciences(National Science Foundation (NSF)NSF - Directorate for Mathematical &amp; Physical Sciences (MPS)); Division Of Computer and Network Systems; Direct For Computer &amp; Info Scie &amp; Enginr(National Science Foundation (NSF)NSF - Directorate for Computer &amp; Information Science &amp; Engineering (CISE)); Division of Computing and Communication Foundations; Direct For Computer &amp; Info Scie &amp; Enginr(National Science Foundation (NSF)NSF - Directorate for Computer &amp; Information Science &amp; Engineering (CISE))</t>
  </si>
  <si>
    <t>This work has been supported in part by NASA (Awards 80NSSC20K1720 and 521418-SC) and NSF (Awards 2007202, 2107463, and 2038080), Google, and Chameleon Cloud. We are grateful to all who provided feedback on this work, including Christian Kastner, Sven Apel, Yuriy Brun, Emery Berger, Tianyin Xu, Vivek Nair, Jianhai Su, Miguel Velez, Tobius Durschmid, and the anonymous EuroSys'22 (as well as EuroSys'21 and FSE'21) reviewers.</t>
  </si>
  <si>
    <t>1601 Broadway, 10th Floor, NEW YORK, NY, UNITED STATES</t>
  </si>
  <si>
    <t>978-1-4503-9162-7</t>
  </si>
  <si>
    <t>Computer Science, Hardware &amp; Architecture; Computer Science, Information Systems; Computer Science, Software Engineering; Computer Science, Theory &amp; Methods</t>
  </si>
  <si>
    <t>BU6NX</t>
  </si>
  <si>
    <t>Bronze</t>
  </si>
  <si>
    <t>WOS:000926506800013</t>
  </si>
  <si>
    <t>Sanyal, S; Shah, V; Bhattacharya, S</t>
  </si>
  <si>
    <t>IEEE COMP SOC</t>
  </si>
  <si>
    <t>1997 HIGH-ASSURANCE ENGINEERING WORKSHOP - PROCEEDINGS</t>
  </si>
  <si>
    <t>1997 High-Assurance Engineering Workshop</t>
  </si>
  <si>
    <t>AUG 11-12, 1997</t>
  </si>
  <si>
    <t>WASHINGTON, D.C.</t>
  </si>
  <si>
    <t>The usage of commercical off the shelf (COTS) software modules in a large, complex software development project has well-known advantages (e.g., reduced development time, reduced cost). However, many such designs remain ill-understood in terms of end-to-end? overall reliability and assurance of the software system. Since, the COTS components may not have been designed with assurance attributes in objective, a COTS module integrated system may fail to provide end-to-end high-assurance. In applications that require timing, reliability and security guarantees, the usage of COTS software components can therefore mandate an analysis of the assurance attributes. The users of such systems may desire to predict the effect of the occurrence of an event on the reliability of other events in the system, and in general carry out an end-to-end analysis of the software system assurance. In this paper: we evaluate the causality, reliability and the overall performance aspects of large softwares using reverse engineering approach. The proposed code analysis approach can evaluate whether the COTS software meets the user specified individual/group reliability constraints or not. In the case of reliability violation, our proposed approach can identify the modules of the software that may require re-design. The underlying idea is to merge event probabilities, event. dependencies and fault propagation to calculate the occurrence probabilities of every event in the system.</t>
  </si>
  <si>
    <t>Arizona State Univ, Dept Comp Sci &amp; Engn, Tempe, AZ 85287 USA</t>
  </si>
  <si>
    <t>Arizona State University; Arizona State University-Tempe</t>
  </si>
  <si>
    <t>Sanyal, S (corresponding author), Arizona State Univ, Dept Comp Sci &amp; Engn, Tempe, AZ 85287 USA.</t>
  </si>
  <si>
    <t>0-8186-7971-9</t>
  </si>
  <si>
    <t>Computer Science, Hardware &amp; Architecture; Computer Science, Software Engineering; Computer Science, Theory &amp; Methods</t>
  </si>
  <si>
    <t>BK48Z</t>
  </si>
  <si>
    <t>WOS:000072316800018</t>
  </si>
  <si>
    <t>Garapati, SE; Giral, E; Antonijevic, S</t>
  </si>
  <si>
    <t>Zirpins, C; Ortiz, G; Nochta, Z; Waldhorst, O; Soldani, J; Villari, M; Tamburri, D</t>
  </si>
  <si>
    <t>Garapati, Sai Eswar; Giral, Erhan; Antonijevic, Smiljana</t>
  </si>
  <si>
    <t>ADVANCES IN SERVICE-ORIENTED AND CLOUD COMPUTING, ESOCC 2022</t>
  </si>
  <si>
    <t>European Conference on Service-Oriented and Cloud Computing (ESOCC)</t>
  </si>
  <si>
    <t>MAR 22-24, 2022</t>
  </si>
  <si>
    <t>Wittenberg, GERMANY</t>
  </si>
  <si>
    <t>AIOPs; Enterprise-wide observability; Service-centric noise reduction; Incremental differential clustering for causality; Root cause analysis</t>
  </si>
  <si>
    <t>This paper presents the experiences, insights, and solutions resulting from the development of BMC AIOps, a SaaS solution from BMC Software, Inc. (BMC) that applies machine learning and predictive capabilities across IT operations and DevOps environments for real-time, enterprise-wide observability, insights, and automated remediation. We first briefly chronicle the evolution of this product, and then focus on our service-centric perspective on noise reduction and root cause analysis based on incremental differential clustering for causality, and a novel clustering algorithm that BMC built to tackle service models that have thousands of services andmillions of devices, and where root cause analysis needs to be performed in near real time.</t>
  </si>
  <si>
    <t>[Garapati, Sai Eswar; Giral, Erhan; Antonijevic, Smiljana] BMC Software, Santa Clara, CA 95054 USA; [Garapati, Sai Eswar; Giral, Erhan; Antonijevic, Smiljana] BMC Software, 2103 CityWest Blvd, Houston, TX 77042 USA</t>
  </si>
  <si>
    <t>BMC Software</t>
  </si>
  <si>
    <t>Antonijevic, S (corresponding author), BMC Software, Santa Clara, CA 95054 USA.;Antonijevic, S (corresponding author), BMC Software, 2103 CityWest Blvd, Houston, TX 77042 USA.</t>
  </si>
  <si>
    <t>smiljana_antonijevic@bmc.com</t>
  </si>
  <si>
    <t>SPRINGER INTERNATIONAL PUBLISHING AG</t>
  </si>
  <si>
    <t>CHAM</t>
  </si>
  <si>
    <t>GEWERBESTRASSE 11, CHAM, CH-6330, SWITZERLAND</t>
  </si>
  <si>
    <t>1865-0929</t>
  </si>
  <si>
    <t>1865-0937</t>
  </si>
  <si>
    <t>978-3-031-23297-8; 978-3-031-23298-5</t>
  </si>
  <si>
    <t>COMM COM INF SC</t>
  </si>
  <si>
    <t>Computer Science, Artificial Intelligence; Computer Science, Theory &amp; Methods</t>
  </si>
  <si>
    <t>BV0RH</t>
  </si>
  <si>
    <t>WOS:000976729700009</t>
  </si>
  <si>
    <t>Wang, HJ; Lin, Y; Yang, ZJ; Sun, J; Liu, Y; Dong, JS; Zheng, QH; Liu, T</t>
  </si>
  <si>
    <t>Wang, Haijun; Lin, Yun; Yang, Zijiang; Sun, Jun; Liu, Yang; Dong, Jinsong; Zheng, Qinghua; Liu, Ting</t>
  </si>
  <si>
    <t>IEEE TRANSACTIONS ON SOFTWARE ENGINEERING</t>
  </si>
  <si>
    <t>Computer bugs; Semantics; Debugging; Java; Software; Runtime; Task analysis; Regression bug; trace alignment; alignment slicing and mending; fault localization</t>
  </si>
  <si>
    <t>IMPACT ANALYSIS</t>
  </si>
  <si>
    <t>Regression faults, which make working code stop functioning, are often introduced when developers make changes to the software. Many regression fault localization techniques have been proposed. However, issues like inaccuracy and lack of explanation are still obstacles for their practical application. In this work, we propose a trace-based approach to identifying not only where the root cause of a regression bug lies, but also how the defect is propagated to its manifestation as the explanation. In our approach, we keep the trace of original correct version as reference and infer the faulty steps on the trace of regression version so that we can build a causality graph of how the defect is propagated. To this end, we overcomes two technical challenges. First, we align two traces derived from two program versions by extending state-of-the-art trace alignment technique for regression fault with novel relaxation technique. Second, we construct causality graph (i.e., explanation) by adopting a technique called alignment slicing and mending to isolate the failure-inducing changes and explain the failure. Our comparative experiment with the state-of-the-art techniques including dynamic slicing, delta-debugging, and symbolic execution on 24 real-world regressions shows that (1) our approach is more accurate on isolating the failure-inducing changes, (2) the generated explanation requires acceptable manual effort to inspect, and (3) our approach requires lower runtime overhead. In addition, we also conduct an applicability experiment based on Defects4J bug repository, showing the potential limitations of our trace-based approach and providing guidance for its practical use.</t>
  </si>
  <si>
    <t>[Wang, Haijun] Ant Financial Serv Grp, Hangzhou, Peoples R China; [Lin, Yun] Natl Univ Singapore, Sch Comp, Singapore 119077, Singapore; [Yang, Zijiang] Western Michigan Univ, Comp Sci, Kalamazoo, MI 49008 USA; [Sun, Jun] Singapore Management Univ, Sch Informat Syst, Singapore 188065, Singapore; [Liu, Yang] Nanyang Technol Univ, Sch Comp Engn, Singapore 639798, Singapore; [Dong, Jinsong] Natl Univ Singapore, Dept Comp Sci, Singapore, Singapore; [Zheng, Qinghua] Xi An Jiao Tong Univ, Dept Comp Sci &amp; Technol, Xian 710049, Shaanxi, Peoples R China; [Liu, Ting] Syst Engn Inst, Dept Control, Xian 710049, Shaanxi, Peoples R China</t>
  </si>
  <si>
    <t>National University of Singapore; Western Michigan University; Singapore Management University; Nanyang Technological University; National University of Singapore; Xi'an Jiaotong University</t>
  </si>
  <si>
    <t>Lin, Y (corresponding author), Natl Univ Singapore, Sch Comp, Singapore 119077, Singapore.</t>
  </si>
  <si>
    <t>haijun.wang@ntu.edu.sg; llmhyy@gmail.com; zijiang.yang@wmich.edu; sunjun@sutd.edu.sg; yangliu@ntu.edu.sg; dongjs@comp.nus.edu.sg; qhzheng@mail.xjtu.edu.cn; tingliu@mail.xjtu.edu.cn</t>
  </si>
  <si>
    <t>yang, liu/GVU-8760-2022; liu, yang/HQY-7531-2023; liu, yang/HIU-0559-2022; Liu, Chenyu/KBQ-8899-2024; Zhao, Chunxia/KBB-4190-2024; liu, yang/HHY-8583-2022; yang, liu/HTN-9175-2023; Liu, Yang/D-2306-2013; Liu, Yang/HNJ-6693-2023; LIU, YANG/HWQ-4615-2023; li, jing/KHY-5337-2024</t>
  </si>
  <si>
    <t>Liu, Yang/0000-0001-7300-9215; Liu, Ting/0000-0002-7600-0934</t>
  </si>
  <si>
    <t>Ant Financial Services Group through Ant Financial Research Program; US National Research Foundation, Prime Ministers Office, Singapore, under its Corporate Laboratory@University Scheme, National University of Singapore; Singapore Telecommunications Ltd.; Singapore Ministry of Education (MOE) Academic Research Fund (AcRF) Tier 2 Grant; National Cybersecurity RD Directorate; National Natural Science Foundation of China [61632015, 61721002, U1766215, 61833015]; National Satellite of Excellence in Trustworthy Software Systems - NRF Singapore under National Cybersecurity R&amp;D (NCR) programme; National Key R&amp;D Program of China [2016YFB1000903]; US National Research Foundation, Prime Ministers Office, Singapore, under its National Cybersecurity RD Program [NRF2014NCR-NCR001-30]</t>
  </si>
  <si>
    <t>Ant Financial Services Group through Ant Financial Research Program; US National Research Foundation, Prime Ministers Office, Singapore, under its Corporate Laboratory@University Scheme, National University of Singapore; Singapore Telecommunications Ltd.; Singapore Ministry of Education (MOE) Academic Research Fund (AcRF) Tier 2 Grant(Ministry of Education, Singapore); National Cybersecurity RD Directorate; National Natural Science Foundation of China(National Natural Science Foundation of China (NSFC)); National Satellite of Excellence in Trustworthy Software Systems - NRF Singapore under National Cybersecurity R&amp;D (NCR) programme; National Key R&amp;D Program of China; US National Research Foundation, Prime Ministers Office, Singapore, under its National Cybersecurity RD Program</t>
  </si>
  <si>
    <t>We would like to thank anonymous reviewers for improving this manuscript. This research has been partially supported by Ant Financial Services Group through Ant Financial Research Program, the US National Research Foundation, Prime Ministers Office, Singapore, under its Corporate Laboratory@University Scheme, National University of Singapore and under its National Cybersecurity R&amp;D Program (Award No. NRF2014NCR-NCR001-30), Singapore Telecommunications Ltd., the Singapore Ministry of Education (MOE) Academic Research Fund (AcRF) Tier 2 Grant, the National Cybersecurity R&amp;D Directorate, the National Satellite of Excellence in Trustworthy Software Systems funded by NRF Singapore under National Cybersecurity R&amp;D (NCR) programme, National Key R&amp;D Program of China under Grant No (2016YFB1000903), and National Natural Science Foundation of China under Grants (61632015, 61721002, U1766215, 61833015). Yun Lin has equal contribution with the first author to this work.</t>
  </si>
  <si>
    <t>0098-5589</t>
  </si>
  <si>
    <t>1939-3520</t>
  </si>
  <si>
    <t>IEEE T SOFTWARE ENG</t>
  </si>
  <si>
    <t>IEEE Trans. Softw. Eng.</t>
  </si>
  <si>
    <t>NOV 1</t>
  </si>
  <si>
    <t>WW2QE</t>
  </si>
  <si>
    <t>Green Accepted</t>
  </si>
  <si>
    <t>WOS:000717767100007</t>
  </si>
  <si>
    <t>Kaas-Hansen, BS; Granholm, A; Anthon, CT; Kjær, MBN; Sivapalan, P; Maagaard, M; Schjorring, OL; Fagerberg, SK; Ellekjær, KL; Molgaard, J; Ekstrom, CT; Moller, MH; Perner, A</t>
  </si>
  <si>
    <t>Kaas-Hansen, Benjamin Skov; Granholm, Anders; Anthon, Carl Thomas; Kjaer, Maj-Brit Norregaard; Sivapalan, Praleene; Maagaard, Mathias; Schjorring, Olav Lilleholt; Fagerberg, Steen Kare; Ellekjaer, Karen Louise; Molgaard, Jesper; Ekstrom, Claus Thorn; Moller, Morten Hylander; Perner, Anders</t>
  </si>
  <si>
    <t>Causal inference for planning randomised critical care trials: Protocol for a scoping review</t>
  </si>
  <si>
    <t>ACTA ANAESTHESIOLOGICA SCANDINAVICA</t>
  </si>
  <si>
    <t>Review</t>
  </si>
  <si>
    <t>Background Randomised clinical trials in critical care are prone to inconclusiveness owing, in part, to undue optimism about effect sizes and suboptimal accounting for heterogeneous treatment effects. Planned predictive enrichment based on secondary critical care data (often very rich with respect to both data types and temporal granularity) and causal inference methods may help overcome these challenges, but no overview exists about their use to this end. Methods We will conduct a scoping review to assess the extent and nature of the use of causal inference from secondary data for planned predictive enrichment of randomised clinical trials in critical care. We will systematically search 10 general and specialty journals for reports published on or after 1 January 2018, of randomised clinical trials enrolling adult critically ill patients. We will collect trial metadata (e.g., recruitment period and phase) and, when available, information pertaining to the focus of the review (predictive enrichment based on causal inference estimates from secondary data): causal inference methods, estimation techniques and software used; types of patient populations; data provenance, types and models; and the availability of the data (public or not). The results will be reported in a descriptive manner. Discussion The outlined scoping review aims to assess the use of causal inference methods and secondary data for planned predictive enrichment in randomised critical care trials. This will help guide methodological improvements to increase the utility, and facilitate the use, of causal inference estimates when planning such trials in the future.</t>
  </si>
  <si>
    <t>[Kaas-Hansen, Benjamin Skov; Granholm, Anders; Anthon, Carl Thomas; Kjaer, Maj-Brit Norregaard; Sivapalan, Praleene; Ellekjaer, Karen Louise; Moller, Morten Hylander; Perner, Anders] Copenhagen Univ Hosp, Dept Intens Care, Copenhagen, Denmark; [Kaas-Hansen, Benjamin Skov; Ekstrom, Claus Thorn] Univ Copenhagen, Sect Biostat, Dept Publ Hlth, Copenhagen, Denmark; [Maagaard, Mathias] Zealand Univ Hosp Koge, Dept Anaesthesiol, Ctr Anaesthesiol Res, Koge, Denmark; [Schjorring, Olav Lilleholt; Fagerberg, Steen Kare] Aalborg Univ Hosp, Dept Anaesthesia &amp; Intens Care, Aalborg, Denmark; [Schjorring, Olav Lilleholt] Aalborg Univ, Dept Clin Med, Aalborg, Denmark; [Molgaard, Jesper] Copenhagen Univ Hosp, Dept Anesthesiol, Ctr Canc &amp; Organ Dysfunct, Copenhagen, Denmark</t>
  </si>
  <si>
    <t>University of Copenhagen; University of Copenhagen; Aalborg University; Aalborg University Hospital; Aalborg University; University of Copenhagen</t>
  </si>
  <si>
    <t>Kaas-Hansen, BS (corresponding author), Copenhagen Univ Hosp, Rigshosp, Dept Intens Care, Blegdamsvej 9, DK-2100 Copenhagen E, Denmark.</t>
  </si>
  <si>
    <t>bkaa0011@regionh.dk</t>
  </si>
  <si>
    <t>Mølgaard, Jesper/IYJ-2722-2023; Kaas-Hansen, Benjamin Skov/HKE-5717-2023; Ekstrøm, Claus Thorn/AGK-2967-2022; Møller, Morten Hylander/AAQ-6891-2020; Granholm, Anders/AAW-7623-2020</t>
  </si>
  <si>
    <t>Mølgaard, Jesper/0000-0003-2062-9570; Kaas-Hansen, Benjamin Skov/0000-0003-1023-0371; Ekstrøm, Claus Thorn/0000-0003-1191-373X; Møller, Morten Hylander/0000-0002-6378-9673; Granholm, Anders/0000-0001-5799-7655; Schjorring, Olav Lilleholt/0000-0002-7749-6003; Maagaard, Mathias/0000-0002-9037-7295; Perner, Anders/0000-0002-4668-0123; Anthon, Carl Thomas/0000-0001-7740-700X; Kjaer, Maj-Brit/0000-0002-6536-0504; Sivapalan, Praleene/0000-0002-0442-0032</t>
  </si>
  <si>
    <t>Dagmar Marshalls Fond; Grosserer Jakob Ehrenreich og Hustru Grete Ehrenreichs Fond</t>
  </si>
  <si>
    <t>Dagmar Marshalls Fond; Grosserer Jakob Ehrenreich og Hustru Grete Ehrenreichs Fond; Sygeforsikringen danmark</t>
  </si>
  <si>
    <t>0001-5172</t>
  </si>
  <si>
    <t>1399-6576</t>
  </si>
  <si>
    <t>ACTA ANAESTH SCAND</t>
  </si>
  <si>
    <t>Acta Anaesthesiol. Scand.</t>
  </si>
  <si>
    <t>10.1111/aas.14142</t>
  </si>
  <si>
    <t>SEP 2022</t>
  </si>
  <si>
    <t>Anesthesiology</t>
  </si>
  <si>
    <t>5K0ZL</t>
  </si>
  <si>
    <t>Green Published, hybrid</t>
  </si>
  <si>
    <t>WOS:000850148100001</t>
  </si>
  <si>
    <t>Gasior, JS; Mlynczak, M; Williams, CA; Poplonyk, A; Kowalska, D; Giezek, P; Werner, B</t>
  </si>
  <si>
    <t>Gasior, Jakub S.; Mlynczak, Marcel; Williams, Craig A.; Poplonyk, Aleksandra; Kowalska, Daria; Giezek, Paulina; Werner, Bozena</t>
  </si>
  <si>
    <t>The discovery of a data-driven causal diagram of sport participation in children and adolescents with heart disease: a pilot study</t>
  </si>
  <si>
    <t>FRONTIERS IN CARDIOVASCULAR MEDICINE</t>
  </si>
  <si>
    <t>causal diagram; sport; children; adolescents; heart disease; heart defects; pediatric patients</t>
  </si>
  <si>
    <t>QUALITY-OF-LIFE; CONGENITAL HEART; PHYSICAL-ACTIVITY; EUROPEAN ASSOCIATION; RECOMMENDATIONS; EXERCISE; ADULTS; PREVENTION; GUIDELINES; CARDIOLOGY</t>
  </si>
  <si>
    <t>The interventions aimed at improving the levels of physical activity (PA) in children and adolescents diagnosed with heart disease did not produce the expected outcomes. Safe participation in sport activities proposed based on actual recommendations could be a solution to promote PA in this population. The aims of this study were to discover a causal diagram of sport participation in children and youth with heart disease and establish the factors that affect and are affected thereof through the use of questionnaires. Furthermore, the study aims to qualitatively assess the reliability of the constructed diagram in comparison with existing medical knowledge. The Greedy Fast Causal Inference method was employed to conduct a data-driven search of the directed acyclic graph that represents the causal relationships within the provided observational data. This causal discovery was performed using the Tetrad software. The analysis involved a cohort of 121 Caucasian patients (50 females) diagnosed with heart disease. The age range of the patients included in the study was 8-17 years. The study findings indicate that the participants engaged in sports presented significantly higher values of health-related quality of life (QoL) and motives for participating in physical and leisure activities. Age appears to be a cause of sport participation. Sport participation appears to be a cause of participation in physical education classes, which in turn appears to be a cause of higher enjoyment. Higher enjoyment appears to be a cause of other motives for participating in physical and leisure activities, as well as a higher score in terms of physical health. The causal diagram provided a graphical representation of the causal relationship between sport participation and better QoL with potential confounders for children and adolescents with heart disease that nearly coincided with the existing literature. Clinical trials should be designed to validate clinical utility of the presented causal diagram.</t>
  </si>
  <si>
    <t>[Gasior, Jakub S.; Werner, Bozena] Med Univ Warsaw, Dept Pediat Cardiol &amp; Gen Pediat, Warsaw, Poland; [Mlynczak, Marcel] Warsaw Univ Technol, Inst Metrol &amp; Biomed Engn, Fac Mechatron, Warsaw, Poland; [Williams, Craig A.] Univ Exeter, Med Sch, Childrens Hlth &amp; Exercise Res Ctr, Fac Hlth &amp; Life Sci,Publ Hlth &amp; Sports Sci Dept, Exeter, England; [Poplonyk, Aleksandra; Kowalska, Daria; Giezek, Paulina] Med Univ Warsaw, Dept Physiotherapy, Warsaw, Poland</t>
  </si>
  <si>
    <t>Medical University of Warsaw; Warsaw University of Technology; University of Exeter; Medical University of Warsaw</t>
  </si>
  <si>
    <t>Gasior, JS (corresponding author), Med Univ Warsaw, Dept Pediat Cardiol &amp; Gen Pediat, Warsaw, Poland.;Mlynczak, M (corresponding author), Warsaw Univ Technol, Inst Metrol &amp; Biomed Engn, Fac Mechatron, Warsaw, Poland.</t>
  </si>
  <si>
    <t>jakub.gasior@wum.edu.pl; marcel.mlynczak@pw.edu.pl</t>
  </si>
  <si>
    <t>; Werner, Bozena/V-4573-2018; Mlynczak, Marcel/L-1509-2016</t>
  </si>
  <si>
    <t>Gasior, Jakub S./0000-0002-2009-2200; Werner, Bozena/0000-0002-6416-4106; Mlynczak, Marcel/0000-0001-8549-7973</t>
  </si>
  <si>
    <t>Department of Pediatric Cardiology and General Pediatrics, Medical University of Warsaw, Poland [10/Z/GW/N/21]</t>
  </si>
  <si>
    <t>Department of Pediatric Cardiology and General Pediatrics, Medical University of Warsaw, Poland</t>
  </si>
  <si>
    <t>This research was partly supported by a statutory grant to the Department of Pediatric Cardiology and General Pediatrics, Medical University of Warsaw, Poland (grant number: 10/Z/GW/N/21).</t>
  </si>
  <si>
    <t>2297-055X</t>
  </si>
  <si>
    <t>FRONT CARDIOVASC MED</t>
  </si>
  <si>
    <t>Front. Cardiovasc. Med.</t>
  </si>
  <si>
    <t>NOV 21</t>
  </si>
  <si>
    <t>10.3389/fcvm.2023.1247122</t>
  </si>
  <si>
    <t>Cardiac &amp; Cardiovascular Systems</t>
  </si>
  <si>
    <t>Cardiovascular System &amp; Cardiology</t>
  </si>
  <si>
    <t>Z9FZ1</t>
  </si>
  <si>
    <t>Green Published, gold</t>
  </si>
  <si>
    <t>WOS:001115070300001</t>
  </si>
  <si>
    <t>Maier, R; Mottok, J</t>
  </si>
  <si>
    <t>Trapp, M; Saglietti, F; Spislander, M; Bitsch, F</t>
  </si>
  <si>
    <t>Maier, Robert; Mottok, Juergen</t>
  </si>
  <si>
    <t>BayesianSafety - An Open-Source Package for Causality-Guided, Multi-model Safety Analysis</t>
  </si>
  <si>
    <t>COMPUTER SAFETY, RELIABILITY, AND SECURITY, SAFECOMP 2022</t>
  </si>
  <si>
    <t>Lecture Notes in Computer Science</t>
  </si>
  <si>
    <t>41st International Conference on Safety, Reliability, and Security of Computer-Based Systems (SAFECOMP)</t>
  </si>
  <si>
    <t>SEP 06-09, 2022</t>
  </si>
  <si>
    <t>Munich, GERMANY</t>
  </si>
  <si>
    <t>Fault Tree Analysis; Event Tree Analysis; Bayesian Networks; Causality; Package BayesianSafety</t>
  </si>
  <si>
    <t>BOW-TIE; SYSTEMS; TREES</t>
  </si>
  <si>
    <t>Development and verification of modern, dependable automotive systems require appropriate modelling approaches. Classic automotive safety is described by the normative regulations ISO 26262, its relative ISO/PAS 21448, and their respective methodologies. In recent publications, an emerging demand to combine environmental influences, machine learning, or reasoning under uncertainty with standard-compliant analysis techniques can be noticed. Therefore, adapting established methods like FTA and proper tool support is necessary. We argue that Bayesian Networks (BNs) can be used as a central component to address and merge these demands. In this paper, we present our OpenSource Python package BayesianSafety. First, we review how BNs relate to data-driven methods, model-to-model transformations, and causal reasoning. Together with FTA and ETA, these models form the core functionality of our software. After describing currently implemented features and possibilities of combining individual modelling approaches, we provide an informal view of the tool's architecture and of the resulting software ecosystem. By comparing selected publicly available safety and reliability analysis libraries, we outline that many relevant methodologies yield specialized implementations. Finally, we show that there is a demand for a flexible, unifying analysis tool that allows researching system safety by using multi-model and multi-domain approaches.</t>
  </si>
  <si>
    <t>[Maier, Robert; Mottok, Juergen] Regensburg Univ Appl Sci, D-93049 Regensburg, Germany</t>
  </si>
  <si>
    <t>University of Regensburg</t>
  </si>
  <si>
    <t>Maier, R (corresponding author), Regensburg Univ Appl Sci, D-93049 Regensburg, Germany.</t>
  </si>
  <si>
    <t>robert.maier@oth-regensburg.de; juergen.mottok@oth-regensburg.de</t>
  </si>
  <si>
    <t>Maier, Robert/HRD-3413-2023</t>
  </si>
  <si>
    <t>Maier, Robert/0000-0002-4196-3263</t>
  </si>
  <si>
    <t>Bayerisches Staatsministerium fur Wirtschaft, Landesentwicklung und Energie [FKZ: DIK0173/03]</t>
  </si>
  <si>
    <t>Bayerisches Staatsministerium fur Wirtschaft, Landesentwicklung und Energie</t>
  </si>
  <si>
    <t>The present paper is supported by Bayerisches Staatsministerium fur Wirtschaft, Landesentwicklung und Energie through the granting of the funding project HolmeS 3 (FKZ: DIK0173/03). We thank L. Grabinger and D. Urlhart for valuable discussions.</t>
  </si>
  <si>
    <t>0302-9743</t>
  </si>
  <si>
    <t>1611-3349</t>
  </si>
  <si>
    <t>978-3-031-14835-4; 978-3-031-14834-7</t>
  </si>
  <si>
    <t>LECT NOTES COMPUT SC</t>
  </si>
  <si>
    <t>Computer Science, Information Systems; Computer Science, Theory &amp; Methods; Operations Research &amp; Management Science</t>
  </si>
  <si>
    <t>Computer Science; Operations Research &amp; Management Science</t>
  </si>
  <si>
    <t>BU0TM</t>
  </si>
  <si>
    <t>WOS:000871734000002</t>
  </si>
  <si>
    <t>Zhu, DJ; Yao, SZ; Tan, HB</t>
  </si>
  <si>
    <t>ZHU, Danjiang; YAO, Shuzhen; TAN, Huobin</t>
  </si>
  <si>
    <t>CHINESE JOURNAL OF ELECTRONICS</t>
  </si>
  <si>
    <t>Software safety; Software safety requirements analysis (SSRA); Requirements elicitation</t>
  </si>
  <si>
    <t>VERIFICATION; ACCIDENT</t>
  </si>
  <si>
    <t>Software safety requirements are crucial for safety assurance of safety-critical software systems. A novel accident causality model, Systems-theoretic accident modeling and processes (STAMP), has been proposed to overcome the limitations of traditional safety techniques in software safety requirements elicitation. However, the STAMP-based method is ad-hoc with no rigorous procedure to elicit software safety requirements effectively. Furthermore, the time-related safety requirements, which are important to software safety, have been paid little attention in STAMP-based method. With the purpose of overcoming these limitations, this paper strives to find a systematic approach to elicit software safety requirements with STAMP, especially the time-related safety requirements. Firstly, a new process model of STAMP is proposed to model all the system varilables and the ralationship of them in control processes. Then based on the process model, an approach HCAT-SSRA is proposed to elicit the software safety requirements by building Hazardous control action tree (HCAT) for each control action in system control processes. Additionally, several rules are proposed to guide time-related software safety requirements analysis. Finally, a case study is given to illustrate the availability and feasibility of the proposed method.</t>
  </si>
  <si>
    <t>[ZHU, Danjiang] China Elect Technol Grp Corp, Res Inst 32, Shanghai 201808, Peoples R China; [YAO, Shuzhen; TAN, Huobin] Beihang Univ, Sch Comp Sci &amp; Engn, Beijing 100191, Peoples R China</t>
  </si>
  <si>
    <t>China Electronics Technology Group; Beihang University</t>
  </si>
  <si>
    <t>Zhu, DJ (corresponding author), China Elect Technol Grp Corp, Res Inst 32, Shanghai 201808, Peoples R China.</t>
  </si>
  <si>
    <t>zhudanjiang@hotmail.com</t>
  </si>
  <si>
    <t>1022-4653</t>
  </si>
  <si>
    <t>2075-5597</t>
  </si>
  <si>
    <t>CHINESE J ELECTRON</t>
  </si>
  <si>
    <t>Chin. J. Electron.</t>
  </si>
  <si>
    <t>TT5RH</t>
  </si>
  <si>
    <t>WOS:000680404600010</t>
  </si>
  <si>
    <t>Zhou, Y; Chen, DK; Xiao, JH; Wang, HY</t>
  </si>
  <si>
    <t>Zhou, Yao; Chen, Dengkai; Xiao, Jianghao; Wang, Hanyu</t>
  </si>
  <si>
    <t>An evaluation method for HMI of deep-sea manned submersible based on human reliability</t>
  </si>
  <si>
    <t>SCIENTIFIC REPORTS</t>
  </si>
  <si>
    <t>Improving the human reliability of the human-machine interface (HMI) of deep-sea manned submersible is of great importance for the development of the deep-sea field. Based on the SHEL (Software S, Hardware H, Environment E, Liveware L) model, this study classifies the performance shaping factors (PSF) that affect the human reliability of submersible HMIs and builds a PSF system. The interpretative structural model (ISM) is used to matrix the interactions between the elements that make up the system of PSF. A multi-level recursive structure is obtained by building the corresponding adjacency matrix. The Noisy-OR model is introduced to construct a Bayesian network in order to build a new HMI evaluation method. A real case of Bayesian network causal inference verifies the validity of the built method. This study proposes a set of HMI human reliability evaluation methods applicable to deep-sea manned submersible, which provides a new idea for human reliability assessment.</t>
  </si>
  <si>
    <t>[Zhou, Yao; Chen, Dengkai; Xiao, Jianghao; Wang, Hanyu] Northwestern Polytech Univ, 127 WestYouyi Rd, Xian 710072, Shaanxi, Peoples R China</t>
  </si>
  <si>
    <t>Northwestern Polytechnical University</t>
  </si>
  <si>
    <t>Zhou, Y (corresponding author), Northwestern Polytech Univ, 127 WestYouyi Rd, Xian 710072, Shaanxi, Peoples R China.</t>
  </si>
  <si>
    <t>zhouy@mail.nwpu.edu.cn</t>
  </si>
  <si>
    <t>Xiao, Jianghao/0000-0002-4099-5001</t>
  </si>
  <si>
    <t>Key Research and Development Program of Shaanxi Province Research on dynamic three-dimensional measurement and adjustment model of operational comfort of manned confined compartment [2022GY311]; Project of Shaanxi Province Special Support Program for Leading Talents [W099115]</t>
  </si>
  <si>
    <t>Key Research and Development Program of Shaanxi Province Research on dynamic three-dimensional measurement and adjustment model of operational comfort of manned confined compartment; Project of Shaanxi Province Special Support Program for Leading Talents</t>
  </si>
  <si>
    <t>Key Research and Development Program of Shaanxi Province Research on dynamic three-dimensional measurement and adjustment model of operational comfort of manned confined compartment (Grant No. 2022GY311), and the Project of Shaanxi Province Special Support Program for Leading Talents, (Grant No. W099115).</t>
  </si>
  <si>
    <t>NATURE PORTFOLIO</t>
  </si>
  <si>
    <t>BERLIN</t>
  </si>
  <si>
    <t>HEIDELBERGER PLATZ 3, BERLIN, 14197, GERMANY</t>
  </si>
  <si>
    <t>2045-2322</t>
  </si>
  <si>
    <t>SCI REP-UK</t>
  </si>
  <si>
    <t>Sci Rep</t>
  </si>
  <si>
    <t>SEP 4</t>
  </si>
  <si>
    <t>10.1038/s41598-023-41063-y</t>
  </si>
  <si>
    <t>Multidisciplinary Sciences</t>
  </si>
  <si>
    <t>Science &amp; Technology - Other Topics</t>
  </si>
  <si>
    <t>GK7F5</t>
  </si>
  <si>
    <t>WOS:001152621700001</t>
  </si>
  <si>
    <t>Johnson, B; Brun, Y; Meliou, A</t>
  </si>
  <si>
    <t>Johnson, Brittany; Brun, Yuriy; Meliou, Alexandra</t>
  </si>
  <si>
    <t>2020 ACM/IEEE 42ND INTERNATIONAL CONFERENCE ON SOFTWARE ENGINEERING (ICSE 2020)</t>
  </si>
  <si>
    <t>42nd ACM/IEEE International Conference on Software Engineering - Companion Proceedings (ICSE-Companion) / 42nd ACM/IEEE International Conference on Software Engineering - Software Engineering in Practice (ICSE-SEIP)</t>
  </si>
  <si>
    <t>JUN 27-JUL 19, 2020</t>
  </si>
  <si>
    <t>Assoc Comp Machinery,IEEE,IEEE Comp Soc,IEEE Comp Soc Tech Comm Software Engn,ACM Special Interest Grp Software Engn,Korean Inst Informat Scientists &amp; Engineers,Natl Sci Fdn,Facebook,N Carolina State Univ,Microsoft,Samsung,LG Elect,KAIST,SK Hynix,NAVER,Suresoft,HITACHI,Google</t>
  </si>
  <si>
    <t>Causal Testing; causality; theory of counterfactual causality; software debugging; test fuzzing; automated test generation; Holmes</t>
  </si>
  <si>
    <t>Understanding the root cause of a defect is critical to isolating and repairing buggy behavior. We present Causal Testing, a new method of root-cause analysis that relies on the theory of counterfactual causality to identify a set of executions that likely hold key causal information necessary to understand and repair buggy behavior. Using the Defects4J benchmark, we find that Causal Testing could be applied to 71% of real-world defects, and for 77% of those, it can help developers identify the root cause of the defect. A controlled experiment with 37 developers shows that Causal Testing improves participants' ability to identify the cause of the defect from 80% of the time with standard testing tools to 86% of the time with Causal Testing. The participants report that Causal Testing provides useful information they cannot get using tools such as JUnit. Holmes, our prototype, open-source Eclipse plugin implementation of Causal Testing, is available at http://holmes.cs.umass.edu/.</t>
  </si>
  <si>
    <t>[Johnson, Brittany; Brun, Yuriy; Meliou, Alexandra] Univ Massachusetts, Amherst, MA 01003 USA</t>
  </si>
  <si>
    <t>University of Massachusetts System; University of Massachusetts Amherst</t>
  </si>
  <si>
    <t>Johnson, B (corresponding author), Univ Massachusetts, Amherst, MA 01003 USA.</t>
  </si>
  <si>
    <t>bjohnson@cs.umass.edu; brun@cs.umass.edu; ameli@cs.umass.edu</t>
  </si>
  <si>
    <t>Meliou, Alexandra/0000-0001-7346-6002</t>
  </si>
  <si>
    <t>National Science Foundation [CCF-1453474, IIS-1453543, CCF-1744471]; Google and Oracle Labs</t>
  </si>
  <si>
    <t>National Science Foundation(National Science Foundation (NSF)); Google and Oracle Labs(Google Incorporated)</t>
  </si>
  <si>
    <t>This work is supported by the National Science Foundation under grants no. CCF-1453474, IIS-1453543, and CCF-1744471, and by Google and Oracle Labs.</t>
  </si>
  <si>
    <t>978-1-4503-7121-6</t>
  </si>
  <si>
    <t>BR4RH</t>
  </si>
  <si>
    <t>Green Submitted, Bronze</t>
  </si>
  <si>
    <t>WOS:000652529800008</t>
  </si>
  <si>
    <t>Podgurski, A; Küçük, Y</t>
  </si>
  <si>
    <t>Podgurski, Andy; Kucuk, Yigit</t>
  </si>
  <si>
    <t>2020 IEEE INTERNATIONAL CONFERENCE ON SOFTWARE MAINTENANCE AND EVOLUTION (ICSME 2020)</t>
  </si>
  <si>
    <t>Proceedings-IEEE International Conference on Software Maintenance</t>
  </si>
  <si>
    <t>36th IEEE International Conference on Software Maintenance and Evolution (ICSME)</t>
  </si>
  <si>
    <t>SEP 27-OCT 03, 2020</t>
  </si>
  <si>
    <t>SOFTWARE; TESTS</t>
  </si>
  <si>
    <t>This paper presents a new, flexible approach to automatically localizing faults in software, named CounterFault. It uses a form of causal inference called counterfactual prediction to predict the effect, on the success or failure of an execution Ex, of intervening at a statement s to set an assignment target A to a value a that is not actually assigned to A in Ex but that could be if s or Ex was modified. CounterFault generates this prediction without actually modifying s or Ex, by employing a very flexible non-parametric statistical or machine learning model (e.g., a random forest). CounterFault applies this basic idea to estimate, with minimal confounding bias, the average causal effects on program failures of different changes in the values assigned to program variables, and these estimates are then employed to derive suspiciousness scores, which are used to assist developers in localizing faults. This paper also reports on an empirical evaluation of CounterFault involving the widely used Defects4J evaluation framework, which contains real software faults, as well as several other Java numerical programs. CounterFault is compared empirically with two other value-based fault localization techniques and four of the best performing coverage-based techniques. The results indicate that CounterFault is more effective than the competing techniques.</t>
  </si>
  <si>
    <t>[Podgurski, Andy; Kucuk, Yigit] Case Western Reserve Univ, Dept Comp &amp; Data Sci, Cleveland, OH 44106 USA</t>
  </si>
  <si>
    <t>Podgurski, A (corresponding author), Case Western Reserve Univ, Dept Comp &amp; Data Sci, Cleveland, OH 44106 USA.</t>
  </si>
  <si>
    <t>podgurski@case.edu; yxk368@case.edu</t>
  </si>
  <si>
    <t>This work was supported by NSF award CCF-1525178 to Case Western Reserve University. The authors would also like to thank Nicklaus Roach and Tim Henderson, for their contributions to the implementation of the GSA transformation tool, and Zhoufu Bai for providing scripts and libraries we used for including NUMFL into our evaluation.</t>
  </si>
  <si>
    <t>1063-6773</t>
  </si>
  <si>
    <t>978-1-7281-5619-4</t>
  </si>
  <si>
    <t>PROC IEEE INT CONF S</t>
  </si>
  <si>
    <t>BQ6TH</t>
  </si>
  <si>
    <t>WOS:000613139300034</t>
  </si>
  <si>
    <t>Temme, D</t>
  </si>
  <si>
    <t>Constraint-based inference algorithms for structural models with latent confounders - Empirical application and simulations</t>
  </si>
  <si>
    <t>COMPUTATIONAL STATISTICS</t>
  </si>
  <si>
    <t>structural equation modelling; graphical models; constraint-based inference algorithms</t>
  </si>
  <si>
    <t>COVARIANCE STRUCTURE-ANALYSIS; HIDDEN-VARIABLES; MARKET SHARE; FIT INDEXES; INDEPENDENCE</t>
  </si>
  <si>
    <t>Graphical methods for the discovery of structural models from observational data provide interesting tools for applied researchers. A problem often faced in empirical studies is the presence of latent confounders which produce associations between the observed variables. Although causal inference algorithms exist which can cope with latent confounders, empirical applications assessing the performance of such algorithms are largely lacking. In this study, we apply the constraint based Fast Causal Inference algorithm implemented in the software program TETRAD on a data set containing strategy and performance information about 608 business units. In contrast to the informative and reasonable results for the empirical data, simulation findings reveal problems in recovering some of the structural relations.</t>
  </si>
  <si>
    <t>Humboldt Univ, Inst Mkt, D-10178 Berlin, Germany</t>
  </si>
  <si>
    <t>Humboldt University of Berlin</t>
  </si>
  <si>
    <t>Temme, D (corresponding author), Humboldt Univ, Inst Mkt, Spandauer Str 1, D-10178 Berlin, Germany.</t>
  </si>
  <si>
    <t>SPRINGER HEIDELBERG</t>
  </si>
  <si>
    <t>HEIDELBERG</t>
  </si>
  <si>
    <t>TIERGARTENSTRASSE 17, D-69121 HEIDELBERG, GERMANY</t>
  </si>
  <si>
    <t>0943-4062</t>
  </si>
  <si>
    <t>1613-9658</t>
  </si>
  <si>
    <t>COMPUTATION STAT</t>
  </si>
  <si>
    <t>Comput. Stat.</t>
  </si>
  <si>
    <t>10.1007/s00180-006-0257-8</t>
  </si>
  <si>
    <t>Statistics &amp; Probability</t>
  </si>
  <si>
    <t>Science Citation Index Expanded (SCI-EXPANDED); Social Science Citation Index (SSCI)</t>
  </si>
  <si>
    <t>Mathematics</t>
  </si>
  <si>
    <t>039AQ</t>
  </si>
  <si>
    <t>WOS:000237272200011</t>
  </si>
  <si>
    <t>Cooper, GF; Bahar, I; Becich, MJ; Benos, PV; Berg, J; Espino, JU; Glymour, C; Jacobson, RC; Kienholz, M; Lee, AV; Lu, XH; Scheines, R</t>
  </si>
  <si>
    <t>Cooper, Gregory F.; Bahar, Ivet; Becich, Michael J.; Benos, Panayiotis V.; Berg, Jeremy; Espino, Jeremy U.; Glymour, Clark; Jacobson, Rebecca Crowley; Kienholz, Michelle; Lee, Adrian V.; Lu, Xinghua; Scheines, Richard</t>
  </si>
  <si>
    <t>Ctr Causal Discovery Team</t>
  </si>
  <si>
    <t>The center for causal discovery of biomedical knowledge from big data</t>
  </si>
  <si>
    <t>JOURNAL OF THE AMERICAN MEDICAL INFORMATICS ASSOCIATION</t>
  </si>
  <si>
    <t>Big Data to knowledge (BD2K); center of excellence; causal discovery; biomedical knowledge; biomedical science</t>
  </si>
  <si>
    <t>MARKOV BLANKET INDUCTION; GENE-EXPRESSION; REGULATORY NETWORKS; MOLECULAR NETWORKS; BAYESIAN NETWORKS; FEATURE-SELECTION; LOCAL CAUSAL; TRANSCRIPTION; INFERENCE; MICRORNA</t>
  </si>
  <si>
    <t>The Big Data to Knowledge (BD2K) Center for Causal Discovery is developing and disseminating an integrated set of open source tools that support causal modeling and discovery of biomedical knowledge from large and complex biomedical datasets. The Center integrates teams of biomedical and data scientists focused on the refinement of existing and the development of new constraint-based and Bayesian algorithms based on causal Bayesian networks, the optimization of software for efficient operation in a supercomputing environment, and the testing of algorithms and software developed using real data from 3 representative driving biomedical projects: cancer driver mutations, lung disease, and the functional connectome of the human brain. Associated training activities provide both biomedical and data scientists with the knowledge and skills needed to apply and extend these tools. Collaborative activities with the BD2K Consortium further advance causal discovery tools and integrate tools and resources developed by other centers.</t>
  </si>
  <si>
    <t>[Cooper, Gregory F.; Becich, Michael J.; Espino, Jeremy U.; Jacobson, Rebecca Crowley; Lu, Xinghua] Univ Pittsburgh, Dept Biomed Informat, Off Baum, Suite 524,5607 Baum Blvd, Pittsburgh, PA 15206 USA; [Cooper, Gregory F.; Becich, Michael J.; Jacobson, Rebecca Crowley; Lu, Xinghua] Univ Pittsburgh, Dept Biomed Informat, Pittsburgh, PA USA; [Bahar, Ivet; Benos, Panayiotis V.; Berg, Jeremy] Univ Pittsburgh, Dept Computat &amp; Syst Biol, Pittsburgh, PA USA; [Espino, Jeremy U.; Kienholz, Michelle] Univ Pittsburgh, Inst Personalized Med, Pittsburgh, PA USA; [Espino, Jeremy U.] UPMC, Pittsburgh, PA USA; [Glymour, Clark] Carnegie Mellon Univ, Dept Philosophy, Pittsburgh, PA 15213 USA; [Lee, Adrian V.] Univ Pittsburgh, Dept Pharmacol &amp; Chem Biol, Pittsburgh, PA USA; [Scheines, Richard] Carnegie Mellon Univ, Dietrich Coll Humanities &amp; Social Sci, Pittsburgh, PA 15213 USA</t>
  </si>
  <si>
    <t>Pennsylvania Commonwealth System of Higher Education (PCSHE); University of Pittsburgh; Pennsylvania Commonwealth System of Higher Education (PCSHE); University of Pittsburgh; Pennsylvania Commonwealth System of Higher Education (PCSHE); University of Pittsburgh; Pennsylvania Commonwealth System of Higher Education (PCSHE); University of Pittsburgh; Pennsylvania Commonwealth System of Higher Education (PCSHE); University of Pittsburgh; Carnegie Mellon University; Pennsylvania Commonwealth System of Higher Education (PCSHE); University of Pittsburgh; Carnegie Mellon University</t>
  </si>
  <si>
    <t>Cooper, GF (corresponding author), Univ Pittsburgh, Dept Biomed Informat, Off Baum, Suite 524,5607 Baum Blvd, Pittsburgh, PA 15206 USA.</t>
  </si>
  <si>
    <t>gfc@pitt.edu</t>
  </si>
  <si>
    <t>Bahar, Ivet/AAH-2921-2020; Berg, Jeremy/GRY-6706-2022; Liu, Bing/G-1899-2012</t>
  </si>
  <si>
    <t>Berg, Jeremy/0000-0002-2444-8139; Jacobson, Rebecca/0000-0002-5719-8340; Benos, Panayiotis/0000-0003-3172-3132; Lee, Adrian/0000-0001-9917-514X; Liu, Bing/0000-0002-7257-2441; Berg, Jeremy/0000-0003-3022-0963</t>
  </si>
  <si>
    <t>National Human Genome Research Institute by trans-NIH Big Data to Knowledge initiative [U54HG008540]; Direct For Computer &amp; Info Scie &amp; Enginr; Office of Advanced Cyberinfrastructure (OAC) [1261721] Funding Source: National Science Foundation</t>
  </si>
  <si>
    <t>National Human Genome Research Institute by trans-NIH Big Data to Knowledge initiative; Direct For Computer &amp; Info Scie &amp; Enginr; Office of Advanced Cyberinfrastructure (OAC)(National Science Foundation (NSF)NSF - Directorate for Computer &amp; Information Science &amp; Engineering (CISE))</t>
  </si>
  <si>
    <t>Research reported in this publication was supported by grant U54HG008540 awarded by the National Human Genome Research Institute through funds provided by the trans-NIH Big Data to Knowledge initiative (www.bd2k.nih.gov). The content is solely the responsibility of the authors and does not necessarily represent the official views of the National Institutes of Health.</t>
  </si>
  <si>
    <t>1067-5027</t>
  </si>
  <si>
    <t>1527-974X</t>
  </si>
  <si>
    <t>J AM MED INFORM ASSN</t>
  </si>
  <si>
    <t>J. Am. Med. Inf. Assoc.</t>
  </si>
  <si>
    <t>10.1093/jamia/ocv059</t>
  </si>
  <si>
    <t>Computer Science, Information Systems; Computer Science, Interdisciplinary Applications; Health Care Sciences &amp; Services; Information Science &amp; Library Science; Medical Informatics</t>
  </si>
  <si>
    <t>Computer Science; Health Care Sciences &amp; Services; Information Science &amp; Library Science; Medical Informatics</t>
  </si>
  <si>
    <t>DI8AF</t>
  </si>
  <si>
    <t>Bronze, Green Published</t>
  </si>
  <si>
    <t>WOS:000373722400006</t>
  </si>
  <si>
    <t>Diamantopoulos, N; Wong, J; Mattos, DI; Gerostathopoulos, I; Wardrop, M; Mao, T; McFarland, C</t>
  </si>
  <si>
    <t>Diamantopoulos, Nikos; Wong, Jeffrey; Mattos, David Issa; Gerostathopoulos, Ilias; Wardrop, Matthew; Mao, Tobias; McFarland, Colin</t>
  </si>
  <si>
    <t>2020 IEEE/ACM 42ND INTERNATIONAL CONFERENCE ON SOFTWARE ENGINEERING: SOFTWARE ENGINEERING IN PRACTICE (ICSE-SEIP)</t>
  </si>
  <si>
    <t>experimentation; A/B testing; software architecture; causal inference; science-centric</t>
  </si>
  <si>
    <t>DESIGN</t>
  </si>
  <si>
    <t>Netflix is an internet entertainment service that routinely employs experimentation to guide strategy around product innovations. As Netflix grew, it had the opportunity to explore increasingly specialized improvements to its service, which generated demand for deeper analyses supported by richer metrics and powered by more diverse statistical methodologies. To facilitate this, and more fully harness the skill sets of both engineering and data science, Netflix engineers created a science-centric experimentation platform that leverages the expertise of scientists from a wide range of backgrounds working on data science tasks by allowing them to make direct code contributions in the languages used by them (Python and R). Moreover, the same code that runs in production is able to be run locally, making it straightforward to explore and graduate both metrics and causal inference methodologies directly into production services. In this paper, we provide two main contributions. Firstly, we report on the architecture of this platform, with a special emphasis on its novel aspects: how it supports science-centric end-to-end workflows without compromising engineering requirements. Secondly, we describe its approach to causal inference, which leverages the potential outcomes conceptual framework to provide a unified abstraction layer for arbitrary statistical models and methodologies.</t>
  </si>
  <si>
    <t>[Diamantopoulos, Nikos; Wong, Jeffrey; Wardrop, Matthew; Mao, Tobias; McFarland, Colin] Netflix Inc, Los Gatos, CA 95032 USA; [Mattos, David Issa] Chalmers Univ Technol, Gothenburg, Sweden; [Gerostathopoulos, Ilias] Vrije Univ Amsterdam, Amsterdam, Netherlands; [Gerostathopoulos, Ilias] Tech Univ Munich, Munich, Germany</t>
  </si>
  <si>
    <t>Netflix, Inc.; Chalmers University of Technology; Vrije Universiteit Amsterdam; Technical University of Munich</t>
  </si>
  <si>
    <t>Diamantopoulos, N (corresponding author), Netflix Inc, Los Gatos, CA 95032 USA.</t>
  </si>
  <si>
    <t>ndiamantopoulos@netflix.com; jeffreyw@netflix.com; davidis@chalmers.se; gerostat@in.turn.de; mawardrop@netflix.com; tmao@netflix.com; cmcfarland@netflix.com</t>
  </si>
  <si>
    <t>Gerostathopoulos, Ilias/0000-0001-9333-7101; Issa Mattos, David/0000-0002-2501-9926</t>
  </si>
  <si>
    <t>Wallenberg Artificial Intelligence, Autonomous Systems and Software Program (WASP) - Knut and Alice Wallenberg Foundation; German Ministry of Education and Research [01Is16043A]</t>
  </si>
  <si>
    <t>Wallenberg Artificial Intelligence, Autonomous Systems and Software Program (WASP) - Knut and Alice Wallenberg Foundation; German Ministry of Education and Research(Federal Ministry of Education &amp; Research (BMBF))</t>
  </si>
  <si>
    <t>This work was partially supported by the Wallenberg Artificial Intelligence, Autonomous Systems and Software Program (WASP) funded by the Knut and Alice Wallenberg Foundation and by the Software Center. This work was partially sponsored by the German Ministry of Education and Research (grant no 01Is16043A).</t>
  </si>
  <si>
    <t>978-1-4503-7123-0</t>
  </si>
  <si>
    <t>BS0AJ</t>
  </si>
  <si>
    <t>Green Submitted, Green Published</t>
  </si>
  <si>
    <t>WOS:000680655000021</t>
  </si>
  <si>
    <t>Llewellynn, T; Fernández-Carrobles, MM; Deniz, O; Fricker, S; Storkey, A; Pazos, N; Velikic, G; Leufgen, K; Dahyot, R; Koller, S; Goumas, G; Leitner, P; Dasika, G; Wang, L; Tutschku, K</t>
  </si>
  <si>
    <t>Llewellynn, Tim; Milagro Fernandez-Carrobles, M.; Deniz, Oscar; Fricker, Samuel; Storkey, Amos; Pazos, Nuria; Velikic, Gordana; Leufgen, Kirsten; Dahyot, Rozenn; Koller, Sebastian; Goumas, Georgios; Leitner, Peter; Dasika, Ganesh; Wang, Lei; Tutschku, Kurt</t>
  </si>
  <si>
    <t>BONSEYES: Platform for Open Development of Systems of Artificial Intelligence</t>
  </si>
  <si>
    <t>ACM INTERNATIONAL CONFERENCE ON COMPUTING FRONTIERS 2017</t>
  </si>
  <si>
    <t>14th ACM International Conference on Computing Frontiers</t>
  </si>
  <si>
    <t>MAY 15-17, 2017</t>
  </si>
  <si>
    <t>Siena, ITALY</t>
  </si>
  <si>
    <t>Assoc Comp Machinery,E4 Comp Engn,IBM,NVIDIA,SECO,Intel,ACM SIGMICRO,Univ Siena</t>
  </si>
  <si>
    <t>Data marketplace; Deep Learning; Internet of things; Smart Cyber-Physical Systems</t>
  </si>
  <si>
    <t>The Bonseyes EU H2020 collaborative project aims to develop a platform consisting of a Data Marketplace, a Deep Learning Toolbox, and Developer Reference Platforms for organizations wanting to adopt Artificial Intelligence. The project will be focused on using artificial intelligence in low power Internet of Things (IoT) devices (edge computing), embedded computing systems, and data center servers (cloud computing). It will bring about orders of magnitude improvements in efficiency, performance, reliability, security, and productivity in the design and programming of systems of artificial intelligence that incorporate Smart Cyber-Physical Systems (CPS). In addition, it will solve a causality problem for organizations who lack access to Data and Models. Its open software architecture will facilitate adoption of the whole concept on a wider scale. To evaluate the effectiveness, technical feasibility, and to quantify the real-world improvements in efficiency, security, performance, effort and cost of adding AI to products and services using the Bonseyes platform, four complementary demonstrators will be built. Bonseyes platform capabilities are aimed at being aligned with the European FI-PPP activities and take advantage of its flagship project FIWARE. This paper provides a description of the project motivation, goals and preliminary work.</t>
  </si>
  <si>
    <t>[Llewellynn, Tim] nVISO SA, Lausanne, Switzerland; [Milagro Fernandez-Carrobles, M.; Deniz, Oscar] Univ Castilla La Mancha, Ciudad Real, Spain; [Fricker, Samuel] FHNW, I4Ds Ctr Requirements Engn, Windisch, Switzerland; [Storkey, Amos] Univ Edinburgh, Edinburgh, Midlothian, Scotland; [Pazos, Nuria] Haute Ecole Specialisee Suisse Occidentale, Delemont, Switzerland; [Velikic, Gordana] RT RK, Novi Sad, Serbia; [Leufgen, Kirsten] SCIPROM SARL, St Sulpice, Switzerland; [Dahyot, Rozenn] Trinity Coll Dublin, Dublin, Ireland; [Koller, Sebastian] Tech Univ Munich, Munich, Germany; [Goumas, Georgios] Natl Tech Univ Athens, Inst Commun &amp; Comp Syst, Athens, Greece; [Leitner, Peter] SYNYO GmbH, Vienna, Austria; [Dasika, Ganesh] ARM Ltd, Cambridge, England; [Wang, Lei] ZF Friedrichshafen AG, Friedrichshafen, Germany; [Tutschku, Kurt] Blekinge Inst Technol BTH, Karlskrona, Sweden</t>
  </si>
  <si>
    <t>Universidad de Castilla-La Mancha; FHNW University of Applied Sciences &amp; Arts Northwestern Switzerland; University of Edinburgh; Trinity College Dublin; Technical University of Munich; National Technical University of Athens; Arm Holdings; ZF Friedrichshafen AG; Blekinge Institute Technology</t>
  </si>
  <si>
    <t>Llewellynn, T (corresponding author), nVISO SA, Lausanne, Switzerland.</t>
  </si>
  <si>
    <t>tim.llewellynn@nviso.ch</t>
  </si>
  <si>
    <t>Dahyot, Rozenn/AAN-4260-2020; Tutschku, Kurt/B-4310-2013</t>
  </si>
  <si>
    <t>Dahyot, Rozenn/0000-0003-0983-3052; Velikic, Gordana/0000-0001-6870-0079; Deniz, Oscar/0000-0002-0841-4131; Tutschku, Kurt/0000-0003-4814-4428</t>
  </si>
  <si>
    <t>European Union [732204]; Swiss State Secretariat for Education Research and Innovation (SERI) [16.0159]</t>
  </si>
  <si>
    <t>European Union(European Union (EU)); Swiss State Secretariat for Education Research and Innovation (SERI)</t>
  </si>
  <si>
    <t>This project has received funding from the European Union's Horizon 2020 research and innovation programme under grant agreement No 732204 (Bonseyes). This work is supported by the Swiss State Secretariat for Education Research and Innovation (SERI) under contract number 16.0159. The opinions expressed and arguments employed herein do not necessarily re.ect the o.cial views of these funding bodies.</t>
  </si>
  <si>
    <t>978-1-4503-4487-6</t>
  </si>
  <si>
    <t>Computer Science, Theory &amp; Methods</t>
  </si>
  <si>
    <t>BQ9NG</t>
  </si>
  <si>
    <t>Green Published, Green Accepted, Bronze</t>
  </si>
  <si>
    <t>WOS:000626242600041</t>
  </si>
  <si>
    <t>Ma, QJ; Wang, XS; Zhang, YY</t>
  </si>
  <si>
    <t>Zhilin, Z; Wang, P</t>
  </si>
  <si>
    <t>Ma Qianjie; Wang Xiaosong; Zhang Yuanyuan</t>
  </si>
  <si>
    <t>A Systematic Dynamics Risk Evaluation Model of Coalmine Production System</t>
  </si>
  <si>
    <t>ADVANCES IN SCIENCE AND ENGINEERING, PTS 1 AND 2</t>
  </si>
  <si>
    <t>World-Association-of-Science-Engineering Global Congress on Science Engineering (GCSE 2010)</t>
  </si>
  <si>
    <t>NOV 27-28, 2010</t>
  </si>
  <si>
    <t>Yantai, PEOPLES R CHINA</t>
  </si>
  <si>
    <t>World Assoc Sci Engn</t>
  </si>
  <si>
    <t>coalmining; system risk; risk measurement; dynamics risk mode</t>
  </si>
  <si>
    <t>The paper analyses hierarchical causality relationships of the coalmining systems; based on the causality loop of mining job quantity and quality, the sources of the risks of the systems, setup for the first time a dynamic risk evaluation model of the mining systems. It depicts that the principal causes for the mishaps in the coalmine is to chase an extra coal output while the quality of mining jobs remain insufficient. After successful running of the model in Vensim software under different scenarios, dataset of the occurrences of calamities due to variances of the quality of mining jobs are obtained and used to evaluate the degree of risks and safety of the coalmining system.</t>
  </si>
  <si>
    <t>[Ma Qianjie; Wang Xiaosong; Zhang Yuanyuan] Shandong Inst Business &amp; Technol, Sch Management Sci &amp; Engn, Yantai, Peoples R China</t>
  </si>
  <si>
    <t>Shandong Technology &amp; Business University</t>
  </si>
  <si>
    <t>Ma, QJ (corresponding author), Shandong Inst Business &amp; Technol, Sch Management Sci &amp; Engn, Yantai, Peoples R China.</t>
  </si>
  <si>
    <t>maqianjie@163.com; morningpine@sina.com; frank_zyy@sohu.com</t>
  </si>
  <si>
    <t>zhang, yuanyuan/GYA-4428-2022</t>
  </si>
  <si>
    <t>TRANS TECH PUBLICATIONS LTD</t>
  </si>
  <si>
    <t>STAFA-ZURICH</t>
  </si>
  <si>
    <t>LAUBLSRUTISTR 24, CH-8717 STAFA-ZURICH, SWITZERLAND</t>
  </si>
  <si>
    <t>1660-9336</t>
  </si>
  <si>
    <t>978-0-87849-212-1</t>
  </si>
  <si>
    <t>APPL MECH MATER</t>
  </si>
  <si>
    <t>40-41</t>
  </si>
  <si>
    <t>1 &amp; 2</t>
  </si>
  <si>
    <t>Computer Science, Theory &amp; Methods; Engineering, Mechanical</t>
  </si>
  <si>
    <t>BZS30</t>
  </si>
  <si>
    <t>WOS:000302737500134</t>
  </si>
  <si>
    <t>Chernozhukov, V; Wüthrich, K; Zhu, YC</t>
  </si>
  <si>
    <t>Chernozhukov, Victor; Wuthrich, Kaspar; Zhu, Yinchu</t>
  </si>
  <si>
    <t>An Exact and Robust Conformal Inference Method for Counterfactual and Synthetic Controls</t>
  </si>
  <si>
    <t>JOURNAL OF THE AMERICAN STATISTICAL ASSOCIATION</t>
  </si>
  <si>
    <t>Constrained Lasso; Difference-in-differences; Factor model; Permutation inference; Matrix completion; Model-free validity</t>
  </si>
  <si>
    <t>PERMUTATION TESTS; FACTOR MODELS; PREDICTION; REGRESSION; RATES; SELECTION; RECOVERY; NUMBER</t>
  </si>
  <si>
    <t>We introduce new inference procedures for counterfactual and synthetic control methods for policy evaluation. We recast the causal inference problem as a counterfactual prediction and a structural breaks testing problem. This allows us to exploit insights from conformal prediction and structural breaks testing to develop permutation inference procedures that accommodate modern high-dimensional estimators, are valid under weak and easy-to-verify conditions, and are provably robust against misspecification. Our methods work in conjunction with many different approaches for predicting counterfactual mean outcomes in the absence of the policy intervention. Examples include synthetic controls, difference-in-differences, factor and matrix completion models, and (fused) time series panel data models. Our approach demonstrates an excellent small-sample performance in simulations and is taken to a data application where we re-evaluate the consequences of decriminalizing indoor prostitution. Open-source software for implementing our conformal inference methods is available.</t>
  </si>
  <si>
    <t>[Chernozhukov, Victor] MIT, 77 Massachusetts Ave, Cambridge, MA 02139 USA; [Wuthrich, Kaspar] Univ Calif San Diego, Dept Econ, 9500 Gilman Dr, La Jolla, CA 92093 USA; [Zhu, Yinchu] Brandeis Univ, Dept Econ, Waltham, MA USA</t>
  </si>
  <si>
    <t>Massachusetts Institute of Technology (MIT); University of California System; University of California San Diego; Brandeis University</t>
  </si>
  <si>
    <t>Wüthrich, K (corresponding author), Univ Calif San Diego, Dept Econ, 9500 Gilman Dr, La Jolla, CA 92093 USA.</t>
  </si>
  <si>
    <t>kwuthrich@ucsd.edu</t>
  </si>
  <si>
    <t>Zhu, Yinchu/0000-0002-5000-3221</t>
  </si>
  <si>
    <t>National Science Foundation [1559172]; Direct For Social, Behav &amp; Economic Scie; Divn Of Social and Economic Sciences [1559172] Funding Source: National Science Foundation</t>
  </si>
  <si>
    <t>National Science Foundation(National Science Foundation (NSF)); Direct For Social, Behav &amp; Economic Scie; Divn Of Social and Economic Sciences(National Science Foundation (NSF)NSF - Directorate for Social, Behavioral &amp; Economic Sciences (SBE))</t>
  </si>
  <si>
    <t>We are grateful to Guido Imbens, Jacopo Diquigiovanni, Bruno Ferman, the Co-Editor (Matias Cattaneo), anonymous referees, and many seminar and conference participants for valuable comments. We would like to thank Scott CunninghamandManisha Shah for sharing the data for the empirical application. Wuthrich is also affiliated with CESifo and the Ifo Institute. Victor Chernozhukov gratefully acknowledges funding by the National Science Foundation (Grant Number 1559172). All errors are our own.</t>
  </si>
  <si>
    <t>TAYLOR &amp; FRANCIS INC</t>
  </si>
  <si>
    <t>PHILADELPHIA</t>
  </si>
  <si>
    <t>530 WALNUT STREET, STE 850, PHILADELPHIA, PA 19106 USA</t>
  </si>
  <si>
    <t>0162-1459</t>
  </si>
  <si>
    <t>1537-274X</t>
  </si>
  <si>
    <t>J AM STAT ASSOC</t>
  </si>
  <si>
    <t>J. Am. Stat. Assoc.</t>
  </si>
  <si>
    <t>OCT 2</t>
  </si>
  <si>
    <t>10.1080/01621459.2021.1920957</t>
  </si>
  <si>
    <t>MAY 2021</t>
  </si>
  <si>
    <t>XQ1IR</t>
  </si>
  <si>
    <t>WOS:000656771300001</t>
  </si>
  <si>
    <t>Giamattei, L; Guerriero, A; Pietrantuono, R; Russo, S</t>
  </si>
  <si>
    <t>Giamattei, Luca; Guerriero, Antonio; Pietrantuono, Roberto; Russo, Stefano</t>
  </si>
  <si>
    <t>Self-driving cars; autonomous vehicles; AI testing; search-based software testing; causal reasoning</t>
  </si>
  <si>
    <t>R PACKAGE; MODELS; OPTIMIZATION; NETWORKS; LATENT</t>
  </si>
  <si>
    <t>Testing Autonomous Driving Systems (ADS) is essential for safe development of self-driving cars. For thorough and realistic testing, ADS are usually embedded in a simulator and tested in interaction with the simulated environment. However, their high complexity and the multiple safety requirements lead to costly and ineffective testing. Recent techniques exploit many-objective strategies and ML to efficiently search the huge input space. Despite the indubitable advances, the need for smartening the search keep being pressing. This article presents CART (CAusal-Reasoning-driven Testing), a new technique that formulates testing as a causal reasoning task. Learning causation, unlike correlation, allows assessing the effect of actively changing an input on the output, net of possible confounding variables. CART first infers the causal relations between test inputs and outputs, then looks for promising tests by querying the learnt model. Only tests suggested by the model are run on the simulator. An extensive empirical evaluation, using Pylot as ADS and CARLA as simulator, compares CART with state-of-the-art algorithms used recently on ADS. CART shows a significant gain in exposing more safety violations and does so more efficiently. More broadly, the work opens to a wider exploitation of causal learning beside (or on top of) ML for testing-related tasks.</t>
  </si>
  <si>
    <t>[Giamattei, Luca; Guerriero, Antonio; Pietrantuono, Roberto; Russo, Stefano] Univ Napoli Federico II, DIETI, Via Claudio 21, I-80125 Naples, Italy</t>
  </si>
  <si>
    <t>luca.giamattei@unina.it; antonio.guerriero@unina.it; roberto.pietrantuono@unina.it; stefano.russo@unina.it</t>
  </si>
  <si>
    <t>; Russo, Stefano/H-7723-2013</t>
  </si>
  <si>
    <t>Pietrantuono, Roberto/0000-0003-2449-1724; Guerriero, Antonio/0000-0002-8104-3832; GIAMATTEI, LUCA/0000-0003-3767-4036; Russo, Stefano/0000-0002-8747-3446</t>
  </si>
  <si>
    <t>European Union [871342]</t>
  </si>
  <si>
    <t>European Union(European Union (EU))</t>
  </si>
  <si>
    <t>This project has received funding from the European Union's Horizon 2020 research and innovation programme under the Marie Sklodowska-Curie grant agreement No 871342 uDEVOPS..</t>
  </si>
  <si>
    <t>MAR</t>
  </si>
  <si>
    <t>OQ2V6</t>
  </si>
  <si>
    <t>hybrid</t>
  </si>
  <si>
    <t>WOS:001208684200021</t>
  </si>
  <si>
    <t>He, YZ; Tran, C; Jiang, JL; Burghardt, K; Ferrara, E; Zheleva, E; Lerman, K</t>
  </si>
  <si>
    <t>Fowler, A; Pirker, J; Canossa, AA; Arya, AA; Harteveld, C</t>
  </si>
  <si>
    <t>He, Yuzi; Tran, Christopher; Jiang, Julie; Burghardt, Keith; Ferrara, Emilio; Zheleva, Elena; Lerman, Kristina</t>
  </si>
  <si>
    <t>PROCEEDINGS OF THE 16TH INTERNATIONAL CONFERENCE ON THE FOUNDATIONS OF DIGITAL GAMES, FDG 2021</t>
  </si>
  <si>
    <t>16th International Conference on the Foundations of Digital Games (FDG)</t>
  </si>
  <si>
    <t>AUG 02-06, 2021</t>
  </si>
  <si>
    <t>Assoc Comp Machinery,ACM SIGGRAPH,SIGAI,SIGCHI,ACM In Cooperat,Soc Advancement Sci Digital Games,Microsoft,Zynga,Univ Quebec Montreal</t>
  </si>
  <si>
    <t>The popularity of online gaming has grown dramatically, driven in part by streaming and the billion dollar e-sports industry. Online games regularly update their software to fix bugs, add functionality that improve the game's look and feel, and change the game mechanics to keep the games fun and challenging. An open question, however, is the impact of these changes on player performance and game balance, as well as how players adapt to these sudden changes. To address these questions, we use causal inference to measure the impact of software patches to League of Legends, a popular team-based multiplayer online game. We show that game patches have substantially different impacts on players, depending on their skill level and whether they take breaks between games. We find that the gap between good and bad players increases after a patch, despite efforts to make gameplay more equal. Moreover, longer between-game breaks tend to improve performance after patches. Overall, our results highlight the utility of causal inference, and specifically heterogeneous treatment effect estimation, as a tool to quantify the complex mechanisms of game balance and its interplay with players' performance.</t>
  </si>
  <si>
    <t>[He, Yuzi; Jiang, Julie; Ferrara, Emilio] Univ Southern Calif, Informat Sci Inst, Dept Phys &amp; Astron, Los Angeles, CA 90007 USA; [Tran, Christopher; Zheleva, Elena] Univ Illinois, Dept Comp Sci, Chicago, IL USA; [Burghardt, Keith; Lerman, Kristina] Univ Southern Calif, Informat Sci Inst, Los Angeles, CA USA</t>
  </si>
  <si>
    <t>University of Southern California; University of Illinois System; University of Illinois Chicago; University of Illinois Chicago Hospital; University of Southern California</t>
  </si>
  <si>
    <t>He, YZ (corresponding author), Univ Southern Calif, Informat Sci Inst, Dept Phys &amp; Astron, Los Angeles, CA 90007 USA.</t>
  </si>
  <si>
    <t>yuzihe@usc.edu; ctran29@uic.edu; keithab@isi.edu; keithab@isi.edu; lerman@isi.edu</t>
  </si>
  <si>
    <t>Lerman, Kristina/F-4198-2010; Ferrara, Emilio/F-6136-2012</t>
  </si>
  <si>
    <t>Ferrara, Emilio/0000-0002-1942-2831; Jiang, Julie/0000-0003-4260-282X</t>
  </si>
  <si>
    <t>DARPA [HR00111990114]</t>
  </si>
  <si>
    <t>DARPA(United States Department of DefenseDefense Advanced Research Projects Agency (DARPA))</t>
  </si>
  <si>
    <t>This work was supported in part by DARPA under contract HR00111990114</t>
  </si>
  <si>
    <t>978-1-4503-8422-3</t>
  </si>
  <si>
    <t>Computer Science, Interdisciplinary Applications</t>
  </si>
  <si>
    <t>BW2TE</t>
  </si>
  <si>
    <t>WOS:001124866500011</t>
  </si>
  <si>
    <t>Nagaraju, V; Pritchard, S; Fiondella, L</t>
  </si>
  <si>
    <t>Yamamoto, S; Mori, H</t>
  </si>
  <si>
    <t>Nagaraju, Vidhyashree; Pritchard, Shadow; Fiondella, Lance</t>
  </si>
  <si>
    <t>Adaptive Incremental Learning for Software Reliability Growth Models</t>
  </si>
  <si>
    <t>HUMAN INTERFACE AND THE MANAGEMENT OF INFORMATION: APPLICATIONS IN COMPLEX TECHNOLOGICAL ENVIRONMENTS, THEMATIC AREA HIMI 2022 HELD AS PART OF HCII 2022, PT II</t>
  </si>
  <si>
    <t>24th International Conference on Human-Computer Interaction, HCI International 2022 (HCII)</t>
  </si>
  <si>
    <t>JUN 26-JUL 01, 2022</t>
  </si>
  <si>
    <t>Goteborg, SWEDEN</t>
  </si>
  <si>
    <t>Software reliability; Software failure; Software reliability; growth models; Neural network; Incremental learning</t>
  </si>
  <si>
    <t>NEURAL-NETWORK APPROACH</t>
  </si>
  <si>
    <t>Software reliability growth models (SRGM) assist in software release decisions by quantifying metrics based on failure data collected during testing. Complexity of SRGM can increase significantly with increasing complexity of software, thus requiring faster and stable algorithms to identify model parameters. While previous studies have attempted to address this issue through application of machine learning (ML) algorithms, lack of sufficient data to train ML models. Moreover, it is important to assess software in an online manner as data becomes available, which is difficult since limited data is available towards the beginning of testing. Incremental learning [12] provides the possibility of applying machine learning algorithms in an online manner, however lack of large data towards the beginning of testing limits the efficiency. Therefore, this paper proposes an adaptive incremental learning that utilizes a model trained on historical data which can forecast failures for the present data. Historical data is selected based on the Granger causality test. Our results indicate that the adaptive incremental learning approach achieves significantly better accuracy on smaller sample sizes compared to simple application of neural networks.</t>
  </si>
  <si>
    <t>[Nagaraju, Vidhyashree; Pritchard, Shadow] Univ Tulsa, Tulsa, OK 74104 USA; [Fiondella, Lance] Univ Massachusetts Dartmouth, N Dartmouth, MA USA</t>
  </si>
  <si>
    <t>University of Tulsa; University of Massachusetts System; University Massachusetts Dartmouth</t>
  </si>
  <si>
    <t>Nagaraju, V (corresponding author), Univ Tulsa, Tulsa, OK 74104 USA.</t>
  </si>
  <si>
    <t>vin5654@utulsa.edu; swp7196@utulsa.edu; lfiondella@umassd.edu</t>
  </si>
  <si>
    <t>University of Tulsa &amp; Team8 Cyber Fellows program</t>
  </si>
  <si>
    <t>This work is supported by the University of Tulsa &amp; Team8 Cyber Fellows program.</t>
  </si>
  <si>
    <t>978-3-031-06509-5; 978-3-031-06508-8</t>
  </si>
  <si>
    <t>Computer Science, Artificial Intelligence; Computer Science, Cybernetics; Computer Science, Software Engineering; Computer Science, Theory &amp; Methods; Ergonomics; Information Science &amp; Library Science</t>
  </si>
  <si>
    <t>Conference Proceedings Citation Index - Science (CPCI-S); Conference Proceedings Citation Index - Social Science &amp; Humanities (CPCI-SSH)</t>
  </si>
  <si>
    <t>Computer Science; Engineering; Information Science &amp; Library Science</t>
  </si>
  <si>
    <t>BU6YL</t>
  </si>
  <si>
    <t>WOS:000931950100024</t>
  </si>
  <si>
    <t>Bolton, C; Rampazzi, S; Li, CH; Kwong, A; Xu, WY; Fu, K</t>
  </si>
  <si>
    <t>Bolton, Connor; Rampazzi, Sara; Li, Chaohao; Kwong, Andrew; Xu, Wenyuan; Fu, Kevin</t>
  </si>
  <si>
    <t>2018 IEEE SYMPOSIUM ON SECURITY AND PRIVACY (SP)</t>
  </si>
  <si>
    <t>IEEE Symposium on Security and Privacy</t>
  </si>
  <si>
    <t>39th IEEE Symposium on Security and Privacy (SP)</t>
  </si>
  <si>
    <t>MAY 20-24, 2018</t>
  </si>
  <si>
    <t>San Francisco, CA</t>
  </si>
  <si>
    <t>hard disk drives; embedded security; hardware security; denial of service</t>
  </si>
  <si>
    <t>VIBRATION ANALYSIS; PERFORMANCE</t>
  </si>
  <si>
    <t>Intentional acoustic interference causes unusual errors an the mechanics of magnetic hard disk drives in desktop and laptop computers, leading to damage to integrity and availability in both hardware and software such as file system corruption and operating system reboots. An adversary without any special purpose equipment can co-opt built-ha speakers or nearby emitters to cause persistent errors. Our work traces the deeper causality of these risks from the physics of materials to the I/O request stack in operating systems for audible and ultrasonic sound. Our experiments show that audible sound causes the head stack assembly to vibrate outside of operational bounds; ultrasonic sound causes false positives in the shock sensor, which is designed to prevent a head crash. The problem poses a challenge for legacy magnetic disks that remain stubbornly common in safety critical applications such as medical devices and other highly utilized systems difficult to sunset. Thus, we created and modeled a new feedback controller that could be deployed as a firmware update to attenuate the intentional acoustic interference. Our sensor fusion method prevents unnecessary head parking by detecting ultrasonic triggering of the shock sensor.</t>
  </si>
  <si>
    <t>[Bolton, Connor; Rampazzi, Sara; Kwong, Andrew; Fu, Kevin] Univ Michigan, Ann Arbor, MI 48109 USA; [Li, Chaohao; Xu, Wenyuan] Zhejiang Univ, Hangzhou, Zhejiang, Peoples R China</t>
  </si>
  <si>
    <t>University of Michigan System; University of Michigan; Zhejiang University</t>
  </si>
  <si>
    <t>Bolton, C (corresponding author), Univ Michigan, Ann Arbor, MI 48109 USA.</t>
  </si>
  <si>
    <t>Rampazzi, Sara/AAH-2299-2021; sun, huan/JEO-7152-2023</t>
  </si>
  <si>
    <t>Rampazzi, Sara/0000-0002-3630-6269;</t>
  </si>
  <si>
    <t>NSF [CNS-1330142]; NSFC [61472358]; Direct For Computer &amp; Info Scie &amp; Enginr [1330142] Funding Source: National Science Foundation; Division Of Computer and Network Systems [1330142] Funding Source: National Science Foundation</t>
  </si>
  <si>
    <t>NSF(National Science Foundation (NSF)); NSFC(National Natural Science Foundation of China (NSFC)); Direct For Computer &amp; Info Scie &amp; Enginr(National Science Foundation (NSF)NSF - Directorate for Computer &amp; Information Science &amp; Engineering (CISE)); Division Of Computer and Network Systems(National Science Foundation (NSF)NSF - Directorate for Computer &amp; Information Science &amp; Engineering (CISE))</t>
  </si>
  <si>
    <t>This research is supported by NSF CNS-1330142, NSFC 61472358, and a gift from Analog Devices, Inc. The views and conclusions contained in this paper are those of the authors and should not be interpreted as necessarily representing the official policies, either expressed or implied, of NSF or ADI. We thank our shepherd Kevin Butler, the anonymous reviewers, Shane Clark, Josiah Hester, and Ben Ransford for feedback on early drafts; Tianchen Zhang for assisting with operating systems experiments; Greg Wakefield for the acoustic chamber; CERT/CC for vendor facilitation; and Barbara Zhong for assisting with experiments.</t>
  </si>
  <si>
    <t>1081-6011</t>
  </si>
  <si>
    <t>978-1-5386-4353-2</t>
  </si>
  <si>
    <t>P IEEE S SECUR PRIV</t>
  </si>
  <si>
    <t>Computer Science, Theory &amp; Methods; Engineering, Electrical &amp; Electronic</t>
  </si>
  <si>
    <t>BK7UT</t>
  </si>
  <si>
    <t>WOS:000442163200062</t>
  </si>
  <si>
    <t>Ujcich, BE; Jero, S; Skowyra, R; Bates, A; Sanders, WH; Okhravi, H</t>
  </si>
  <si>
    <t>USENIX Assoc</t>
  </si>
  <si>
    <t>Ujcich, Benjamin E.; Jero, Samuel; Skowyra, Richard; Bates, Adam; Sanders, William H.; Okhravi, Hamed</t>
  </si>
  <si>
    <t>Causal Analysis for Software-Defined Networking Attacks</t>
  </si>
  <si>
    <t>PROCEEDINGS OF THE 30TH USENIX SECURITY SYMPOSIUM</t>
  </si>
  <si>
    <t>30th USENIX Security Symposium</t>
  </si>
  <si>
    <t>AUG 11-13, 2021</t>
  </si>
  <si>
    <t>Software-defined networking (SDN) has emerged as a flexible network architecture for central and programmatic control. Although SDN can improve network security oversight and policy enforcement, ensuring the security of SDN from sophisticated attacks is an ongoing challenge for practitioners. Existing network forensics tools attempt to identify and track such attacks, but holistic causal reasoning across control and data planes remains challenging. We present PICOSDN, a provenance-informed causal observer for SDN attack analysis. PICOSDN leverages finegrained data and execution partitioning techniques, as well as a unified control and data plane model, to allow practitioners to efficiently determine root causes of attacks and to make informed decisions on mitigating them. We implement PICOSDN on the popular ONOS SDN controller. Our evaluation across several attack case studies shows that PICOSDN is practical for the identification, analysis, and mitigation of SDN attacks.</t>
  </si>
  <si>
    <t>[Ujcich, Benjamin E.] Georgetown Univ, Washington, DC 20057 USA; [Jero, Samuel; Skowyra, Richard; Okhravi, Hamed] MIT, Lincoln Lab, Cambridge, MA USA; [Bates, Adam] Univ Illinois, Champaign, IL USA; [Sanders, William H.] Carnegie Mellon Univ, Pittsburgh, PA 15213 USA</t>
  </si>
  <si>
    <t>Georgetown University; Massachusetts Institute of Technology (MIT); Lincoln Laboratory; University of Illinois System; University of Illinois Urbana-Champaign; Carnegie Mellon University</t>
  </si>
  <si>
    <t>Ujcich, BE (corresponding author), Georgetown Univ, Washington, DC 20057 USA.</t>
  </si>
  <si>
    <t>Under Secretary of Defense for Research and Engineering under Air Force [FA8702-15-D-0001]</t>
  </si>
  <si>
    <t>Under Secretary of Defense for Research and Engineering under Air Force</t>
  </si>
  <si>
    <t>This material is based upon work supported by the Under Secretary of Defense for Research and Engineering under Air Force Contract No. FA8702-15-D-0001. Any opinions, findings, conclusions or recommendations expressed in this material are those of the author(s) and do not necessarily reflect the views of the Under Secretary of Defense for Research and Engineering.</t>
  </si>
  <si>
    <t>USENIX ASSOC</t>
  </si>
  <si>
    <t>BERKELEY</t>
  </si>
  <si>
    <t>SUITE 215, 2560 NINTH ST, BERKELEY, CA 94710 USA</t>
  </si>
  <si>
    <t>978-1-939133-24-3</t>
  </si>
  <si>
    <t>BS4QP</t>
  </si>
  <si>
    <t>WOS:000722006803026</t>
  </si>
  <si>
    <t>Shardell, M; Ferrucci, L</t>
  </si>
  <si>
    <t>Shardell, Michelle; Ferrucci, Luigi</t>
  </si>
  <si>
    <t>Joint mixed-effects models for causal inference with longitudinal data</t>
  </si>
  <si>
    <t>STATISTICS IN MEDICINE</t>
  </si>
  <si>
    <t>causal inference; longitudinal data; missing not at random; time-dependent confounding; unmeasured confounding</t>
  </si>
  <si>
    <t>SHARED-PARAMETER MODELS; EFFECTS LOGISTIC-MODELS; RANDOMIZED TRIALS; MISSING DATA; EPIDEMIOLOGY; MISSPECIFICATION; NONCOMPLIANCE; EXPOSURE; SURVIVAL; DECLINE</t>
  </si>
  <si>
    <t>Causal inference with observational longitudinal data and time-varying exposures is complicated due to the potential for time-dependent confounding and unmeasured confounding. Most causal inference methods that handle time-dependent confounding rely on either the assumption of no unmeasured confounders or the availability of an unconfounded variable that is associated with the exposure (eg, an instrumental variable). Furthermore, when data are incomplete, validity of many methods often depends on the assumption of missing at random. We propose an approach that combines a parametric joint mixed-effects model for the study outcome and the exposure with g-computation to identify and estimate causal effects in the presence of time-dependent confounding and unmeasured confounding. G-computation can estimate participant-specific or population-average causal effects using parameters of the joint model. The joint model is a type of shared parameter model where the outcome and exposure-selection models share common random effect(s). We also extend the joint model to handle missing data and truncation by death when missingness is possibly not at random. We evaluate the performance of the proposed method using simulation studies and compare the method to both linear mixed- and fixed-effects models combined with g-computation as well as to targeted maximum likelihood estimation. We apply the method to an epidemiologic study of vitamin D and depressive symptoms in older adults and include code using SAS PROC NLMIXED software to enhance the accessibility of the method to applied researchers.</t>
  </si>
  <si>
    <t>[Shardell, Michelle; Ferrucci, Luigi] NIA, Harbor Hosp Room NM529,3001 S Hanover St, Baltimore, MD 21225 USA</t>
  </si>
  <si>
    <t>National Institutes of Health (NIH) - USA; NIH National Institute on Aging (NIA)</t>
  </si>
  <si>
    <t>Shardell, M (corresponding author), NIA, Harbor Hosp Room NM529,3001 S Hanover St, Baltimore, MD 21225 USA.</t>
  </si>
  <si>
    <t>michelle.shardell@nih.gov</t>
  </si>
  <si>
    <t>Intramural NIH HHS [Z99 AG999999] Funding Source: Medline; NIA NIH HHS [R01 AG048069] Funding Source: Medline</t>
  </si>
  <si>
    <t>Intramural NIH HHS(United States Department of Health &amp; Human ServicesNational Institutes of Health (NIH) - USA); NIA NIH HHS(United States Department of Health &amp; Human ServicesNational Institutes of Health (NIH) - USANIH National Institute on Aging (NIA))</t>
  </si>
  <si>
    <t>0277-6715</t>
  </si>
  <si>
    <t>1097-0258</t>
  </si>
  <si>
    <t>STAT MED</t>
  </si>
  <si>
    <t>Stat. Med.</t>
  </si>
  <si>
    <t>FEB 28</t>
  </si>
  <si>
    <t>10.1002/sim.7567</t>
  </si>
  <si>
    <t>Mathematical &amp; Computational Biology; Public, Environmental &amp; Occupational Health; Medical Informatics; Medicine, Research &amp; Experimental; Statistics &amp; Probability</t>
  </si>
  <si>
    <t>Mathematical &amp; Computational Biology; Public, Environmental &amp; Occupational Health; Medical Informatics; Research &amp; Experimental Medicine; Mathematics</t>
  </si>
  <si>
    <t>FU9WB</t>
  </si>
  <si>
    <t>WOS:000424206800011</t>
  </si>
  <si>
    <t>Shi, AX; Zivich, PN; Chu, HT</t>
  </si>
  <si>
    <t>Shi, Amy X.; Zivich, Paul N.; Chu, Haitao</t>
  </si>
  <si>
    <t>A Comprehensive Review and Tutorial on Confounding Adjustment Methods for Estimating Treatment Effects Using Observational Data</t>
  </si>
  <si>
    <t>APPLIED SCIENCES-BASEL</t>
  </si>
  <si>
    <t>confounding; propensity score methods; outcome regression; doubly robust methods; observational data; covariate adjustment</t>
  </si>
  <si>
    <t>PROPENSITY SCORE METHODS; DOUBLY ROBUST ESTIMATION; CAUSAL INFERENCE; MISSING DATA; R PACKAGE; BALANCE; MODELS</t>
  </si>
  <si>
    <t>Controlling for confounding bias is crucial in causal inference. Causal inference using data from observational studies (e.g., electronic health records) or imperfectly randomized trials (e.g., imperfect randomization or compliance) requires accounting for confounding variables. Many different methods are currently employed to mitigate bias due to confounding. This paper provides a comprehensive review and tutorial of common estimands and confounding adjustment approaches, including outcome regression, g-computation, propensity score, and doubly robust methods. We discuss bias and precision, advantages and disadvantages, and software implementation for each method. Moreover, approaches are illustrated empirically with a reproducible case study. We conclude that different scientific questions are better addressed by certain estimands. No estimand is uniformly more appropriate. Upon selecting an estimand, decisions on which estimator can be driven by performance and available background knowledge.</t>
  </si>
  <si>
    <t>[Shi, Amy X.] AstraZeneca, Late Stage Dev Cardiovasc Renal &amp; Metab CVRM, Biopharmaceut R&amp;D, Durham, NC 27703 USA; [Zivich, Paul N.] Univ North Carolina Chapel Hill, Gillings Sch Global Publ Hlth, Dept Epidemiol, Chapel Hill, NC 27599 USA; [Chu, Haitao] Pfizer Inc, Stat Res &amp; Data Sci Ctr, New York, NY 10001 USA; [Chu, Haitao] Univ Minnesota Twin Cities, Div Biostat &amp; Hlth Data Sci, Minneapolis, MN 55455 USA</t>
  </si>
  <si>
    <t>AstraZeneca; University of North Carolina; University of North Carolina Chapel Hill; University of North Carolina School of Medicine; Pfizer; University of Minnesota System; University of Minnesota Twin Cities</t>
  </si>
  <si>
    <t>Chu, HT (corresponding author), Pfizer Inc, Stat Res &amp; Data Sci Ctr, New York, NY 10001 USA.;Chu, HT (corresponding author), Univ Minnesota Twin Cities, Div Biostat &amp; Hlth Data Sci, Minneapolis, MN 55455 USA.</t>
  </si>
  <si>
    <t>pzivich@live.unc.edu; chux0051@umn.edu</t>
  </si>
  <si>
    <t>Chu, Haitao/0000-0003-0932-598X</t>
  </si>
  <si>
    <t>MDPI</t>
  </si>
  <si>
    <t>BASEL</t>
  </si>
  <si>
    <t>ST ALBAN-ANLAGE 66, CH-4052 BASEL, SWITZERLAND</t>
  </si>
  <si>
    <t>2076-3417</t>
  </si>
  <si>
    <t>APPL SCI-BASEL</t>
  </si>
  <si>
    <t>Appl. Sci.-Basel</t>
  </si>
  <si>
    <t>MAY</t>
  </si>
  <si>
    <t>10.3390/app14093662</t>
  </si>
  <si>
    <t>Chemistry, Multidisciplinary; Engineering, Multidisciplinary; Materials Science, Multidisciplinary; Physics, Applied</t>
  </si>
  <si>
    <t>Chemistry; Engineering; Materials Science; Physics</t>
  </si>
  <si>
    <t>QG7A6</t>
  </si>
  <si>
    <t>WOS:001219780000001</t>
  </si>
  <si>
    <t>Cheek, C; Zheng, HY; Hallstrom, BR; Hughes, RE</t>
  </si>
  <si>
    <t>Cheek, Camden; Zheng, Huiyong; Hallstrom, Brian R.; Hughes, Richard E.</t>
  </si>
  <si>
    <t>Application of a Causal Discovery Algorithm to the Analysis of Arthroplasty Registry Data</t>
  </si>
  <si>
    <t>BIOMEDICAL ENGINEERING AND COMPUTATIONAL BIOLOGY</t>
  </si>
  <si>
    <t>Causal discovery; probabilistic graphical models; arthroplasty; hip</t>
  </si>
  <si>
    <t>INTERNATIONAL COMPARATIVE-EVALUATION; TOTAL HIP-ARTHROPLASTY; FEMORAL-HEAD SIZE; STATISTICAL-ANALYSIS; KNEE ARTHROPLASTY; REGIONAL REGISTRIES; REVISION; RISK; REPLACEMENT; CONSORTIUM</t>
  </si>
  <si>
    <t>Improving the quality of care for hip arthroplasty (replacement) patients requires the systematic evaluation of clinical performance of implants and the identification of outlier devices that have an especially high risk of reoperation (revision). Postmarket surveillance of arthroplasty implants, which rests on the analysis of large patient registries, has been effective in identifying outlier implants such as the ASR metal-on-metal hip resurfacing device that was recalled. Although identifying an implant as an outlier implies a causal relationship between the implant and revision risk, traditional signal detection methods use classical biostatistical methods. The field of probabilistic graphical modeling of causal relationships has developed tools for rigorous analysis of causal relationships in observational data. The purpose of this study was to evaluate one causal discovery algorithm (PC) to determine its suitability for hip arthroplasty implant signal detection. Simulated data were generated using distributions of patient and implant characteristics, and causal discovery was performed using the TETRAD software package. Two sizes of registries were simulated: (1) a statewide registry in Michigan and (2) a nationwide registry in the United Kingdom. The results showed that the algorithm performed better for the simulation of a large national registry. The conclusion is that the causal discovery algorithm used in this study may be a useful tool for implant signal detection for large arthroplasty registries; regional registries may only be able to only detect implants that perform especially poorly.</t>
  </si>
  <si>
    <t>[Cheek, Camden; Hughes, Richard E.] Univ Michigan, Dept Biomed Engn, Ann Arbor, MI 48109 USA; [Zheng, Huiyong; Hallstrom, Brian R.; Hughes, Richard E.] Univ Michigan, Dept Orthopaed Surg, 2003 BSRB,109 Zina Pitcher Pl, Ann Arbor, MI 48104 USA; [Hughes, Richard E.] Univ Michigan, Dept Ind &amp; Operat Engn, Ann Arbor, MI 48109 USA</t>
  </si>
  <si>
    <t>University of Michigan System; University of Michigan; University of Michigan System; University of Michigan; University of Michigan System; University of Michigan</t>
  </si>
  <si>
    <t>Hughes, RE (corresponding author), Univ Michigan, Dept Orthopaed Surg, 2003 BSRB,109 Zina Pitcher Pl, Ann Arbor, MI 48104 USA.</t>
  </si>
  <si>
    <t>rehughes@umich.edu</t>
  </si>
  <si>
    <t>SAGE PUBLICATIONS LTD</t>
  </si>
  <si>
    <t>LONDON</t>
  </si>
  <si>
    <t>1 OLIVERS YARD, 55 CITY ROAD, LONDON EC1Y 1SP, ENGLAND</t>
  </si>
  <si>
    <t>1179-5972</t>
  </si>
  <si>
    <t>BIOMED ENG COMPUT BI</t>
  </si>
  <si>
    <t>Biomed. Eng. Comput. Biol.</t>
  </si>
  <si>
    <t>FEB 22</t>
  </si>
  <si>
    <t>10.1177/1179597218756896</t>
  </si>
  <si>
    <t>Engineering, Biomedical</t>
  </si>
  <si>
    <t>FZ2RY</t>
  </si>
  <si>
    <t>WOS:000427430800001</t>
  </si>
  <si>
    <t>Galhotra, S; Fariha, A; Lourenço, R; Freire, J; Meliou, A; Srivastava, D</t>
  </si>
  <si>
    <t>Galhotra, Sainyam; Fariha, Anna; Lourenco, Raoni; Freire, Juliana; Meliou, Alexandra; Srivastava, Divesh</t>
  </si>
  <si>
    <t>DATAPRISM: Exposing Disconnect between Data and Systems</t>
  </si>
  <si>
    <t>PROCEEDINGS OF THE 2022 INTERNATIONAL CONFERENCE ON MANAGEMENT OF DATA (SIGMOD '22)</t>
  </si>
  <si>
    <t>International Conference on Management of Data</t>
  </si>
  <si>
    <t>International Conference on Management of Data (SIGMOD)</t>
  </si>
  <si>
    <t>JUN 12-17, 2022</t>
  </si>
  <si>
    <t>Philadelphia, PA</t>
  </si>
  <si>
    <t>Debugging; root-cause identification; data profiles; causal testing</t>
  </si>
  <si>
    <t>As data is a central component of many modern systems, the cause of a system malfunction may reside in the data, and, specifically, particular properties of data. E.g., a health-monitoring system that is designed under the assumption that weight is reported in lbs will malfunction when encountering weight reported in kilograms. Like software debugging, which aims to find bugs in the source code or runtime conditions, our goal is to debug data to identify potential sources of disconnect between the assumptions about some data and systems that operate on that data. We propose DATAPRISM, a framework to identify data properties (profiles) that are the root causes of performance degradation or failure of a data-driven system. Such identification is necessary to repair data and resolve the disconnect between data and systems. Our technique is based on causal reasoning through interventions: when a system malfunctions for a dataset, DATAPRISM alters the data profiles and observes changes in the system's behavior due to the alteration. Unlike statistical observational analysis that reports mere correlations, DATAPRISM reports causally verified root causes-in terms of data profiles-of the system malfunction. We empirically evaluate DATAPRISM on seven real-world and several synthetic data-driven systems that fail on certain datasets due to a diverse set of reasons. In all cases, DATAPRISM identifies the root causes precisely while requiring orders of magnitude fewer interventions than prior techniques.</t>
  </si>
  <si>
    <t>[Galhotra, Sainyam] Univ Chicago, Chicago, IL 60637 USA; [Fariha, Anna] Microsoft, Albuquerque, NM USA; [Lourenco, Raoni; Freire, Juliana] NYU, New York, NY 10003 USA; [Meliou, Alexandra] Univ Massachusetts, Amherst, MA 01003 USA; [Srivastava, Divesh] AT&amp;T Chief Data Off, New York, NY USA</t>
  </si>
  <si>
    <t>University of Chicago; Microsoft; New York University; University of Massachusetts System; University of Massachusetts Amherst</t>
  </si>
  <si>
    <t>Galhotra, S (corresponding author), Univ Chicago, Chicago, IL 60637 USA.</t>
  </si>
  <si>
    <t>sainyam@uchicago.edu; annafariha@microsoft.com; raoni@nyu.edu; juliana.freire@nyu.edu; ameli@cs.umass.edu; divesh@research.att.com</t>
  </si>
  <si>
    <t>Fariha, Anna/HHZ-6497-2022</t>
  </si>
  <si>
    <t>Fariha, Anna/0000-0002-5275-7844; de Paula Lourenco, Raoni/0000-0001-7774-4487; Meliou, Alexandra/0000-0001-7346-6002</t>
  </si>
  <si>
    <t>NSF [2030859, IIS-2106888, CCF-1763423, HS-1943971, IIS-1916505, OAC-1934464]; DARPA D3M program</t>
  </si>
  <si>
    <t>NSF(National Science Foundation (NSF)); DARPA D3M program(United States Department of Defense)</t>
  </si>
  <si>
    <t>This work was supported by NSF grants #2030859, IIS-2106888, CCF-1763423, HS-1943971, IIS-1916505, and OAC-1934464, and the DARPA D3M program. Any opinions, findings, and conclusions or recommendations expressed in this material are those of the authors and do not necessarily reflect the views of NSF and DARPA.</t>
  </si>
  <si>
    <t>0730-8078</t>
  </si>
  <si>
    <t>978-1-4503-9249-5</t>
  </si>
  <si>
    <t>INT CONF MANAGE DATA</t>
  </si>
  <si>
    <t>BT8BX</t>
  </si>
  <si>
    <t>Green Published</t>
  </si>
  <si>
    <t>WOS:000852705400019</t>
  </si>
  <si>
    <t>Zhu, DJ; Yao, SZ</t>
  </si>
  <si>
    <t>Li, W; Babu, MSP</t>
  </si>
  <si>
    <t>Zhu, Danjiang; Yao, Shuzhen</t>
  </si>
  <si>
    <t>PROCEEDINGS OF 2018 IEEE 9TH INTERNATIONAL CONFERENCE ON SOFTWARE ENGINEERING AND SERVICE SCIENCE (ICSESS)</t>
  </si>
  <si>
    <t>International Conference on Software Engineering and Service Science</t>
  </si>
  <si>
    <t>9th IEEE International Conference on Software Engineering and Service Science (ICSESS)</t>
  </si>
  <si>
    <t>NOV 23-25, 2018</t>
  </si>
  <si>
    <t>China Hall Sci &amp; Technol, Beijing, PEOPLES R CHINA</t>
  </si>
  <si>
    <t>Inst Elect &amp; Elect Engineers,IEEE Beijing Sect</t>
  </si>
  <si>
    <t>China Hall Sci &amp; Technol</t>
  </si>
  <si>
    <t>s-hazard analysis; safety analysis; software controlled system; S TAMP; S TPA</t>
  </si>
  <si>
    <t>SAFETY</t>
  </si>
  <si>
    <t>Hazard analysis is critical for safety assurance of smart systems which is usually controlled by software. As a novel causality model, Systems-Theoretic Accident Modeling and Processes (STAMP) has been used in various areas to obtain more causal factors during hazard analysis. However, the application of STAMP thus far is ad-hoc with no rigorous procedure to analyze the system hazards effectively, and the quality of the analysis results can't be guaranteed. Furthermore, the temporal factor as an important cause of hazards has been paid little attention in STAMP based analysis. With the purpose of overcoming these limitations, this paper presents a systematic method for hazard analysis based on STAMP. And the Hazardous Control Action Tree (HCAT) is proposed to model and analyze all the situations should be considered fOJ' hazard analysis. Also, several rules are given to guide the hazard analysis of temporal conditions in the control processes. Finally, a case study is used to iUustrate the feasibility and availability of proposed method.</t>
  </si>
  <si>
    <t>[Zhu, Danjiang; Yao, Shuzhen] Beihang Univ, Sch Comp Sci &amp; Engn, Beijing, Peoples R China</t>
  </si>
  <si>
    <t>Zhu, DJ (corresponding author), Beihang Univ, Sch Comp Sci &amp; Engn, Beijing, Peoples R China.</t>
  </si>
  <si>
    <t>danjiang@buaa.edu.cn; szyao@buaa.edu.cn</t>
  </si>
  <si>
    <t>2327-0594</t>
  </si>
  <si>
    <t>978-1-5386-6565-7</t>
  </si>
  <si>
    <t>INT CONF SOFTW ENG</t>
  </si>
  <si>
    <t>BM6QK</t>
  </si>
  <si>
    <t>WOS:000467282900018</t>
  </si>
  <si>
    <t>Ledieu, T; Bouzillé, G; Thiessard, F; Berquet, K; Van Hille, P; Renault, E; Polard, E; Cuggia, M</t>
  </si>
  <si>
    <t>Ledieu, Thibault; Bouzille, Guillaume; Thiessard, Frantz; Berquet, Karine; Van Hille, Pascal; Renault, Eric; Polard, Elisabeth; Cuggia, Marc</t>
  </si>
  <si>
    <t>Timeline representation of clinical data: usability and added value for pharmacovigilance</t>
  </si>
  <si>
    <t>BMC MEDICAL INFORMATICS AND DECISION MAKING</t>
  </si>
  <si>
    <t>Informatics; Information visualization; Pharmacovigilance; Usability testing</t>
  </si>
  <si>
    <t>VISUALIZATION; INTELLIGENT; EXPLORATION; RETRIEVAL; QUERY</t>
  </si>
  <si>
    <t>BackgroundPharmacovigilance consists in monitoring and preventing the occurrence of adverse drug reactions (ADR). This activity requires the collection and analysis of data from the patient record or any other sources to find clues of a causality link between the drug and the ADR. This can be time-consuming because often patient data are heterogeneous and scattered in several files. To facilitate this task, we developed a timeline prototype to gather and classify patient data according to their chronology. Here, we evaluated its usability and quantified its contribution to routine pharmacovigilance using real ADR cases.MethodsThe timeline prototype was assessed using the biomedical data warehouse eHOP (from entrepotdedonneesbiomedicalesdel'HOPital) of the Rennes University Hospital Centre. First, the prototype usability was tested by six experts of the Regional Pharmacovigilance Centre of Rennes. Their experience was assessed with the MORAE software and a System and Usability Scale (SUS) questionnaire. Then, to quantify the timeline contribution to pharmacovigilance routine practice, three of them were asked to investigate possible ADR cases with the Usual method (analysis of electronic health record data with the DxCare software) or the Timeline method. The time to complete the task and the data quality in their reports (using the vigiGrade Completeness score) were recorded and compared between methods.ResultsAll participants completed their tasks. The usability could be considered almost excellent with an average SUS score of 82.5/100. The time to complete the assessment was comparable between methods (P=0.38) as well as the average vigiGrade Completeness of the data collected with the two methods (P=0.49).ConclusionsThe results showed a good general level of usability for the timeline prototype. Conversely, no difference in terms of the time spent on each ADR case and data quality was found compared with the usual method. However, this absence of difference between the timeline and the usual tools that have been in use for several years suggests a potential use in pharmacovigilance especially because the testers asked to continue using the timeline after the evaluation.</t>
  </si>
  <si>
    <t>[Ledieu, Thibault; Bouzille, Guillaume; Van Hille, Pascal; Renault, Eric; Cuggia, Marc] INSERM, U1099, F-35000 Rennes, France; [Ledieu, Thibault; Bouzille, Guillaume; Van Hille, Pascal; Renault, Eric; Cuggia, Marc] Univ Rennes 1, LTSI, F-35000 Rennes, France; [Bouzille, Guillaume; Van Hille, Pascal; Cuggia, Marc] CHU Rennes, F-35000 Rennes, France; [Thiessard, Frantz] Univ Bordeaux, ERIAS, INSERM, U897,ISPED, Bordeaux, France; [Berquet, Karine; Polard, Elisabeth] CHU Pontchaillou, Ctr Reg Pharmacovigilance, Rennes, France</t>
  </si>
  <si>
    <t>Universite de Rennes; Institut National de la Sante et de la Recherche Medicale (Inserm); Universite de Rennes; CHU Rennes; Universite de Rennes; Institut National de la Sante et de la Recherche Medicale (Inserm); Universite de Bordeaux; CHU Rennes; Universite de Rennes</t>
  </si>
  <si>
    <t>Ledieu, T (corresponding author), INSERM, U1099, F-35000 Rennes, France.;Ledieu, T (corresponding author), Univ Rennes 1, LTSI, F-35000 Rennes, France.</t>
  </si>
  <si>
    <t>thibault.ledieu@gmail.com</t>
  </si>
  <si>
    <t>CUGGIA, Marc/AAF-4729-2021; Thiessard, Frantz/T-7304-2019</t>
  </si>
  <si>
    <t>CUGGIA, Marc/0000-0001-6943-3937; Thiessard, Frantz/0000-0002-9469-3156</t>
  </si>
  <si>
    <t>French National Research Agency (ANR) [ANR-11-TECS-0012]; PEPS consortium (Pharmaco-Epidemiology of Health Products consortium); Agence Nationale de la Recherche (ANR) [ANR-11-TECS-0012] Funding Source: Agence Nationale de la Recherche (ANR)</t>
  </si>
  <si>
    <t>French National Research Agency (ANR)(Agence Nationale de la Recherche (ANR)Norwegian Agency for Development Cooperation - NORAD); PEPS consortium (Pharmaco-Epidemiology of Health Products consortium); Agence Nationale de la Recherche (ANR)(Agence Nationale de la Recherche (ANR))</t>
  </si>
  <si>
    <t>This work was supported by the French National Research Agency (ANR) (Project ID: ANR-11-TECS-0012) and the PEPS consortium (Pharmaco-Epidemiology of Health Products consortium).</t>
  </si>
  <si>
    <t>BMC</t>
  </si>
  <si>
    <t>CAMPUS, 4 CRINAN ST, LONDON N1 9XW, ENGLAND</t>
  </si>
  <si>
    <t>1472-6947</t>
  </si>
  <si>
    <t>BMC MED INFORM DECIS</t>
  </si>
  <si>
    <t>BMC Med. Inform. Decis. Mak.</t>
  </si>
  <si>
    <t>OCT 19</t>
  </si>
  <si>
    <t>Medical Informatics</t>
  </si>
  <si>
    <t>GX6GA</t>
  </si>
  <si>
    <t>gold, Green Published</t>
  </si>
  <si>
    <t>WOS:000447856600001</t>
  </si>
  <si>
    <t>Fleming, CH</t>
  </si>
  <si>
    <t>Fleming, Cody H.</t>
  </si>
  <si>
    <t>Systems Theory and a Drive Towards Model-based Safety Analysis</t>
  </si>
  <si>
    <t>2017 11TH ANNUAL IEEE INTERNATIONAL SYSTEMS CONFERENCE (SYSCON)</t>
  </si>
  <si>
    <t>Annual IEEE Systems Conference</t>
  </si>
  <si>
    <t>11th Annual IEEE International Systems Conference (SysCon)</t>
  </si>
  <si>
    <t>APR 24-27, 2017</t>
  </si>
  <si>
    <t>Montreal, CANADA</t>
  </si>
  <si>
    <t>IEEE,IEEE Syst Council</t>
  </si>
  <si>
    <t>safety analysis; automation; systems engineering; model-based engineering</t>
  </si>
  <si>
    <t>We propose that systems engineering principles taken from multidisciplinary engineering, from model-based design and systems engineering, and from new, emerging methods for safety analysis of complex, coupled systems can be applied to extend the methods of system safety assurance into a so-called field of Model-based Safety Analysis. The safety analysis methods are based on a model of accident causality that is grounded in systems theory and frames safety as a control problem rather than just a reliability problem. This perspective can capture behaviors that are prevalent in complex, human-and software-intensive systems, and the paper includes a few brief examples to demonstrate the approach. This model-based safety analysis supplements existing model-based systems engineering activities, as well as other safety-related activities and can be applied early in concept development when design details or system specifications are not yet available-it provides a formal means for reasoning about immature system design concepts.</t>
  </si>
  <si>
    <t>[Fleming, Cody H.] Univ Virginia, Syst &amp; Informat Engn, Charlottesville, VA 22904 USA</t>
  </si>
  <si>
    <t>University of Virginia</t>
  </si>
  <si>
    <t>Fleming, CH (corresponding author), Univ Virginia, Syst &amp; Informat Engn, Charlottesville, VA 22904 USA.</t>
  </si>
  <si>
    <t>cf5eg@virginia.edu</t>
  </si>
  <si>
    <t>Fleming, Cody H/J-3971-2015</t>
  </si>
  <si>
    <t>NASA [NNX16AK47A]; Virginia Space Grant Consortium [16-213-100527-010]; NASA [NNX16AK47A, 901595] Funding Source: Federal RePORTER</t>
  </si>
  <si>
    <t>NASA(National Aeronautics &amp; Space Administration (NASA)); Virginia Space Grant Consortium; NASA(National Aeronautics &amp; Space Administration (NASA))</t>
  </si>
  <si>
    <t>This research was partially supported by NASA under research grant NNX16AK47A and by the Virginia Space Grant Consortium under award number 16-213-100527-010.</t>
  </si>
  <si>
    <t>1944-7620</t>
  </si>
  <si>
    <t>978-1-5090-4623-2</t>
  </si>
  <si>
    <t>ANN IEEE SYST CONF</t>
  </si>
  <si>
    <t>BH8KW</t>
  </si>
  <si>
    <t>WOS:000403403400094</t>
  </si>
  <si>
    <t>Siebert, J</t>
  </si>
  <si>
    <t>Siebert, Julien</t>
  </si>
  <si>
    <t>Applications of statistical causal inference in software engineering</t>
  </si>
  <si>
    <t>INFORMATION AND SOFTWARE TECHNOLOGY</t>
  </si>
  <si>
    <t>Causal inference; Software engineering; Causality; Graphical causal model</t>
  </si>
  <si>
    <t>BAYESIAN NETWORKS; FRAMEWORK</t>
  </si>
  <si>
    <t>Context: The aim of statistical causal inference (SCI) methods is to estimate causal effects from observational data (i.e., when randomized controlled trials are not possible). In this context, Pearl's framework based on causal graphical models is an approach that has recently gained popularity and allows for explicit reasoning about issues related to spurious correlations.Objective: Our primary goal is to understand to which extend and how Pearl's graphical framework is applied in software engineering (SE). Methods: We performed a systematic mapping study and analysed a total of 25 papers published between 2010 and 2022. Results: Our results show that the application of Pearl's SCI framework in SE is relatively recent and that the corresponding research community is fragmented. Most of the selected papers focus on software quality analysis. There is no clear and widespread community of practice (yet) on how to implement and evaluate SCI in SE.Conclusions: To the best of our knowledge this is the first time such a mapping study is done. We believe that SE practitioners might benefit from such a work, as it both provides an overview of the work and people involved in the application of causal inference methods, but also outlines the potential and limitations of such approaches.</t>
  </si>
  <si>
    <t>[Siebert, Julien] Fraunhofer Inst Expt Software Engn IESE, Data Sci Dept, Fraunhofer Pl 1, D-67663 Kaiserslautern, Rhineland Palat, Germany</t>
  </si>
  <si>
    <t>Fraunhofer Gesellschaft</t>
  </si>
  <si>
    <t>Siebert, J (corresponding author), Fraunhofer Inst Expt Software Engn IESE, Data Sci Dept, Fraunhofer Pl 1, D-67663 Kaiserslautern, Rhineland Palat, Germany.</t>
  </si>
  <si>
    <t>julien.siebert@iese.fraunhofer.de</t>
  </si>
  <si>
    <t>0950-5849</t>
  </si>
  <si>
    <t>1873-6025</t>
  </si>
  <si>
    <t>INFORM SOFTWARE TECH</t>
  </si>
  <si>
    <t>Inf. Softw. Technol.</t>
  </si>
  <si>
    <t>10.1016/j.infsof.2023.107198</t>
  </si>
  <si>
    <t>MAR 2023</t>
  </si>
  <si>
    <t>Computer Science, Information Systems; Computer Science, Software Engineering</t>
  </si>
  <si>
    <t>D0KV2</t>
  </si>
  <si>
    <t>WOS:000965710800001</t>
  </si>
  <si>
    <t>Shayboun, M; Koch, C; Kifokeris, D</t>
  </si>
  <si>
    <t>Turkan, Y; Louis, J; Leite, F; Ergan, S</t>
  </si>
  <si>
    <t>Shayboun, May; Koch, Christian; Kifokeris, Dimosthenis</t>
  </si>
  <si>
    <t>COMPUTING IN CIVIL ENGINEERING 2023-RESILIENCE, SAFETY, AND SUSTAINABILITY</t>
  </si>
  <si>
    <t>ASCE International Conference on Computing in Civil Engineering (I3CE)</t>
  </si>
  <si>
    <t>JUN 25-28, 2023</t>
  </si>
  <si>
    <t>Oregon State Univ, Corvallis, OR</t>
  </si>
  <si>
    <t>Amer Soc Civil Engineers, Comp Div</t>
  </si>
  <si>
    <t>Oregon State Univ</t>
  </si>
  <si>
    <t>Occupational accidents are an urgent problem in construction. Machine learning (ML) methods for analyzing large amounts of data and the availability of accident report data have generated aspirations for novel learnings. Yet the quality of data in terms of input, inner availability, and output occurs as an issue in many ML development projects. This paper aims at investigating strategies to define, understand, and tackle poor data quality in a contracting company's accident reports. A selective literature review within software system data quality and ML shows different foci on external or internal data. A set of records of occupational accidents are then analyzed. There are many missing entries on causality, as well as shallow descriptions, which hinder the discovery of new risks-possibly due to the data collection format and procedures. The low number of full entries calls for new repair strategies-both externally and internally.</t>
  </si>
  <si>
    <t>[Shayboun, May; Koch, Christian] Halmstad Univ, Dept Construct &amp; Energy Engn, Halmstad, Sweden; [Kifokeris, Dimosthenis] Chalmers Univ Technol, Dept Architecture &amp; Civil Engn, Gothenburg, Sweden</t>
  </si>
  <si>
    <t>Halmstad University; Chalmers University of Technology</t>
  </si>
  <si>
    <t>Shayboun, M (corresponding author), Halmstad Univ, Dept Construct &amp; Energy Engn, Halmstad, Sweden.</t>
  </si>
  <si>
    <t>maysha@hh.se; christian.koch@hh.se; dimkif@chalmers.se</t>
  </si>
  <si>
    <t>Kifokeris, Dimosthenis/X-7461-2019</t>
  </si>
  <si>
    <t>Kifokeris, Dimosthenis/0000-0003-4186-8730</t>
  </si>
  <si>
    <t>AMER SOC CIVIL ENGINEERS</t>
  </si>
  <si>
    <t>UNITED ENGINEERING CENTER, 345 E 47TH ST, NEW YORK, NY 10017-2398 USA</t>
  </si>
  <si>
    <t>978-0-7844-8524-8</t>
  </si>
  <si>
    <t>Construction &amp; Building Technology; Engineering, Civil</t>
  </si>
  <si>
    <t>Construction &amp; Building Technology; Engineering</t>
  </si>
  <si>
    <t>BW6KC</t>
  </si>
  <si>
    <t>WOS:001175759800055</t>
  </si>
  <si>
    <t>Yau, M; Apostolakis, G; Guarro, S</t>
  </si>
  <si>
    <t>RELIABILITY ENGINEERING &amp; SYSTEM SAFETY</t>
  </si>
  <si>
    <t>DYNAMIC FLOWGRAPH METHODOLOGY; FAULT-TREES; SAFETY</t>
  </si>
  <si>
    <t>The behavior of software controlled systems is usually non-binary and dynamic. It is, thus, convenient to employ multi-valued logic to model these systems. Multi-valued logic functions can be used to represent the functional and temporal relationships between the software and hardware components. The resulting multi-valued logic model can be analyzed deductively, i.e. by tracking causality in reverse from undesirable 'top' events to identify faults that may be present in the system. The result of this deductive analysis is a set of prime implicants for a user-defined system top event. The prime implicants represent all the combinations of basic component conditions and software input conditions that may result in the top event; they are the extension to multi-valued logic of the concept of minimal cut sets that is used routinely in the analysis of binary fault trees. This paper discusses why prime implicants are needed in the dependability analysis of software controlled systems, how they are generated, and how they are used to identify faults in a software controlled system. (C) 1998 Elsevier Science Limited.</t>
  </si>
  <si>
    <t>ASCA Inc, Rolling Hills Estates, CA 90274 USA; MIT, Dept Nucl Engn, Cambridge, MA 02139 USA</t>
  </si>
  <si>
    <t>Massachusetts Institute of Technology (MIT)</t>
  </si>
  <si>
    <t>ASCA Inc, 704 Silver Spur Rd,Suite 200, Rolling Hills Estates, CA 90274 USA.</t>
  </si>
  <si>
    <t>ELSEVIER SCI LTD</t>
  </si>
  <si>
    <t>THE BOULEVARD, LANGFORD LANE, KIDLINGTON, OXFORD OX5 1GB, OXON, ENGLAND</t>
  </si>
  <si>
    <t>0951-8320</t>
  </si>
  <si>
    <t>1879-0836</t>
  </si>
  <si>
    <t>RELIAB ENG SYST SAFE</t>
  </si>
  <si>
    <t>Reliab. Eng. Syst. Saf.</t>
  </si>
  <si>
    <t>OCT-NOV</t>
  </si>
  <si>
    <t>1-2</t>
  </si>
  <si>
    <t>Engineering, Industrial; Operations Research &amp; Management Science</t>
  </si>
  <si>
    <t>Engineering; Operations Research &amp; Management Science</t>
  </si>
  <si>
    <t>109EA</t>
  </si>
  <si>
    <t>WOS:000075307200007</t>
  </si>
  <si>
    <t>Hamdi, O; Ouni, A; AlOmar, EA; Cinnéide, MO; Mkaouer, MW</t>
  </si>
  <si>
    <t>Hamdi, Oumayma; Ouni, Ali; AlOmar, Eman Abdullah; Cinneide, Mel O.; Mkaouer, Mohamed Wiem</t>
  </si>
  <si>
    <t>2021 IEEE/ACM 8TH INTERNATIONAL CONFERENCE ON MOBILE SOFTWARE ENGINEERING AND SYSTEMS (MOBILESOFT 2021)</t>
  </si>
  <si>
    <t>IEEE/ACM 8th International Conference on Mobile Software Engineering and Systems (MobileSoft)</t>
  </si>
  <si>
    <t>MAY 22-30, 2021</t>
  </si>
  <si>
    <t>Mobile app; refactoring; quality metrics; Android; empirical study</t>
  </si>
  <si>
    <t>VALIDATION; COHESION; SOFTWARE</t>
  </si>
  <si>
    <t>Mobile applications must continuously evolve, sometimes under such time pressure that poor design or implementation choices are made, which inevitably result in structural software quality problems. Refactoring is the widely-accepted approach to ameliorating such quality problems. While the impact of refactoring on software quality has been widely studied in object-oriented software, its impact is still unclear in the context of mobile apps. This paper reports on the first empirical study that aims to address this gap. We conduct a large empirical study that analyses the evolution history of 300 open-source Android apps exhibiting a total of 42,181 refactoring operations. We analyze the impact of these refactoring operations on 10 common quality metrics using a causal inference method based on the Difference-in-Differences (DiD) model. Our results indicate that when refactoring affects the metrics it generally improves them. In many cases refactoring has no significant impact on the metrics, whereas one metric (LCOM) deteriorates overall as a result of refactoring. These findings provide practical insights into the current practice of refactoring in the context of Android app development.</t>
  </si>
  <si>
    <t>[Hamdi, Oumayma; Ouni, Ali] Univ Quebec, ETS Montreal, Montreal, PQ, Canada; [AlOmar, Eman Abdullah; Mkaouer, Mohamed Wiem] Rochester Inst Technol, Rochester, NY 14623 USA; [Cinneide, Mel O.] Univ Coll Dublin, Sch Comp Sci, Dublin, Ireland</t>
  </si>
  <si>
    <t>University of Quebec; Ecole de Technologie Superieure - Canada; University of Quebec Montreal; Rochester Institute of Technology; University College Dublin</t>
  </si>
  <si>
    <t>Hamdi, O (corresponding author), Univ Quebec, ETS Montreal, Montreal, PQ, Canada.</t>
  </si>
  <si>
    <t>omayma.hamdi.1@etsmtl.ca; ali.ouni@etsmtl.ca; eaa6167@g.rit.edu; mel.ocinneide@ucd.ie; mwmvse@rit.edu</t>
  </si>
  <si>
    <t>Mkaouer, Mohamed Wiem/N-7476-2017; Ouni, Ali/Y-8280-2019; AlOmar, Eman Abdullah/ABW-2622-2022; Ó Cinnéide, Mel/GQP-1737-2022</t>
  </si>
  <si>
    <t>Mkaouer, Mohamed Wiem/0000-0001-6010-7561; Ouni, Ali/0000-0003-4708-0362; AlOmar, Eman Abdullah/0000-0003-1800-9268;</t>
  </si>
  <si>
    <t>978-1-7281-8711-2</t>
  </si>
  <si>
    <t>BS3OP</t>
  </si>
  <si>
    <t>WOS:000713911700004</t>
  </si>
  <si>
    <t>Raj, S; Jha, SK</t>
  </si>
  <si>
    <t>Raj, Sunny; Jha, Sumit Kumar</t>
  </si>
  <si>
    <t>2018 IEEE INTERNATIONAL PARALLEL AND DISTRIBUTED PROCESSING SYMPOSIUM WORKSHOPS (IPDPSW 2018)</t>
  </si>
  <si>
    <t>IEEE International Symposium on Parallel and Distributed Processing Workshops</t>
  </si>
  <si>
    <t>27th International Heterogeneity in Computing Workshop in conjunction with 32nd IEEE International Parallel and Distributed Processing Symposium (IPDPS)</t>
  </si>
  <si>
    <t>MAY 21-25, 2018</t>
  </si>
  <si>
    <t>Vancouver, CANADA</t>
  </si>
  <si>
    <t>causality; data analytics; education; predictors; parallel programming</t>
  </si>
  <si>
    <t>We employ probabilistic causality analysis to study the performance data of 301 students from the upper-level undergraduate parallel programming class at the University of Central Florida. To our surprise, we discover that good performance in our lower-level undergraduate programming CS-1 and CS-II classes is not a significant causal factor that contributed to good performance in our parallel programming class. On the other hand, good performance in systems classes like Operating Systems, Information Security, Computer Architecture, Object Oriented Software and Systems Software coupled with good performance in theoretical classes like Introduction to Discrete Structures, Artificial Intelligence and Discrete Structures-II are strong indicators of good performance in our upper-level undergraduate parallel programming class. We believe that such causal analysis may be useful in identifying whether parallel and distributed computing concepts have effectively penetrated the lower-level computer science classes at an institution.</t>
  </si>
  <si>
    <t>[Raj, Sunny; Jha, Sumit Kumar] Univ Cent Florida, Comp Sci Dept, Orlando, FL 32816 USA</t>
  </si>
  <si>
    <t>State University System of Florida; University of Central Florida</t>
  </si>
  <si>
    <t>Raj, S (corresponding author), Univ Cent Florida, Comp Sci Dept, Orlando, FL 32816 USA.</t>
  </si>
  <si>
    <t>sraj@cs.ucf.edu; jha@cs.ucf.edu</t>
  </si>
  <si>
    <t>raj, sunny/GSO-0154-2022; Jha, Sumit K/B-5177-2013</t>
  </si>
  <si>
    <t>raj, sunny/0000-0002-7523-1642; Jha, Sumit K/0000-0003-0354-2940</t>
  </si>
  <si>
    <t>University of Central Florida Predictive Analytics Innovation Fellow Program; US Air Force through the AFOSR Young Investigator Award; National Science Foundation [1438989, 1422257]; Direct For Computer &amp; Info Scie &amp; Enginr; Division of Computing and Communication Foundations [1422257] Funding Source: National Science Foundation; Direct For Computer &amp; Info Scie &amp; Enginr; Division of Computing and Communication Foundations [1438989] Funding Source: National Science Foundation</t>
  </si>
  <si>
    <t>University of Central Florida Predictive Analytics Innovation Fellow Program; US Air Force through the AFOSR Young Investigator Award; National Science Foundation(National Science Foundation (NSF)); Direct For Computer &amp; Info Scie &amp; Enginr; Division of Computing and Communication Foundations(National Science Foundation (NSF)NSF - Directorate for Computer &amp; Information Science &amp; Engineering (CISE)); Direct For Computer &amp; Info Scie &amp; Enginr; Division of Computing and Communication Foundations(National Science Foundation (NSF)NSF - Directorate for Computer &amp; Information Science &amp; Engineering (CISE))</t>
  </si>
  <si>
    <t>The work is supported by the University of Central Florida Predictive Analytics Innovation Fellow Program. The authors would like to thank the US Air Force for support provided through the AFOSR Young Investigator Award to Sumit Jha. The authors acknowledge support from the National Science Foundation Software &amp; Hardware Foundations #1438989 and Exploiting Parallelism &amp; Scalability #1422257 projects.</t>
  </si>
  <si>
    <t>2164-7062</t>
  </si>
  <si>
    <t>978-1-5386-5555-9</t>
  </si>
  <si>
    <t>IEEE SYM PARA DISTR</t>
  </si>
  <si>
    <t>Computer Science, Hardware &amp; Architecture; Computer Science, Theory &amp; Methods</t>
  </si>
  <si>
    <t>BP1XE</t>
  </si>
  <si>
    <t>WOS:000541051600042</t>
  </si>
  <si>
    <t>Cinquini, M; Giannotti, F; Guidotti, R</t>
  </si>
  <si>
    <t>Cinquini, Martina; Giannotti, Fosca; Guidotti, Riccardo</t>
  </si>
  <si>
    <t>2021 IEEE THIRD INTERNATIONAL CONFERENCE ON COGNITIVE MACHINE INTELLIGENCE (COGMI 2021)</t>
  </si>
  <si>
    <t>3rd IEEE International Conference on Cognitive Machine Intelligence (IEEE CogMI)</t>
  </si>
  <si>
    <t>DEC 13-15, 2021</t>
  </si>
  <si>
    <t>Data Generation; Causal Discovery; Pattern Mining; Synthetic Datasets; Explainability</t>
  </si>
  <si>
    <t>MODEL</t>
  </si>
  <si>
    <t>Synthetic data generation has been widely adopted in software testing, data privacy, imbalanced learning, artificial intelligence explanation, etc. In all such contexts, it is important to generate plausible data samples. A common assumption of approaches widely used for data generation is the independence of the features. However, typically, the variables of a dataset depend on one another, and these dependencies are not considered in data generation leading to the creation of implausible records. The main problem is that dependencies among variables are typically unknown. In this paper, we design a synthetic dataset generator for tabular data that is able to discover nonlinear causalities among the variables and use them at generation time. State-of-the-art methods for nonlinear causal discovery are typically inefficient. We boost them by restricting the causal discovery among the features appearing in the frequent patterns efficiently retrieved by a pattern mining algorithm. To validate our proposal, we design a framework for generating synthetic datasets with known causalities. Wide experimentation on many synthetic datasets and real datasets with known causalities shows the effectiveness of the proposed method.</t>
  </si>
  <si>
    <t>[Cinquini, Martina; Guidotti, Riccardo] Univ Pisa, Pisa, Italy; [Giannotti, Fosca] ISTI CNR, Pisa, Italy</t>
  </si>
  <si>
    <t>University of Pisa; Consiglio Nazionale delle Ricerche (CNR); Istituto di Scienza e Tecnologie dell'Informazione Alessandro Faedo (ISTI-CNR)</t>
  </si>
  <si>
    <t>Cinquini, M (corresponding author), Univ Pisa, Pisa, Italy.</t>
  </si>
  <si>
    <t>martina.cinquini@phd.unipi.it; fosca.giannotti@isti.cnr.it; riccardo.guidotti@unipi.it</t>
  </si>
  <si>
    <t>Guidotti, Riccardo/ABB-9074-2021</t>
  </si>
  <si>
    <t>Guidotti, Riccardo/0000-0002-2827-7613</t>
  </si>
  <si>
    <t>EU Community H2020 programme [871042 SoBigData++, 952026 Humane-AI-Net, 952215 TAILOR]; ERC-2018-ADG [834756]; European Research Council (ERC) [834756] Funding Source: European Research Council (ERC)</t>
  </si>
  <si>
    <t>EU Community H2020 programme; ERC-2018-ADG(European Research Council (ERC)); European Research Council (ERC)(European Research Council (ERC)Spanish Government)</t>
  </si>
  <si>
    <t>This work is partially supported by the EU Community H2020 programme under the funding schemes: G.A. 871042 SoBigData++, G.A. 952026 Humane-AI-Net, G.A. 952215 TAILOR, and the ERC-2018-ADG G.A. 834756 XAI.</t>
  </si>
  <si>
    <t>978-1-6654-1621-4</t>
  </si>
  <si>
    <t>Computer Science, Artificial Intelligence; Computer Science, Interdisciplinary Applications; Computer Science, Theory &amp; Methods</t>
  </si>
  <si>
    <t>BT4ZZ</t>
  </si>
  <si>
    <t>WOS:000835349000007</t>
  </si>
  <si>
    <t>Meurisse, M; Estupiñán-Romero, F; González-Galindo, J; Martínez-Lizaga, N; Royo-Sierra, S; Saldner, S; Dolanski-Aghamanoukjan, L; Degelsegger-Marquez, A; Soiland-Reyes, S; Van Goethem, N; Bernal-Delgado, E</t>
  </si>
  <si>
    <t>Meurisse, Marjan; Estupinan-Romero, Francisco; Gonzalez-Galindo, Javier; Martinez-Lizaga, Natalia; Royo-Sierra, Santiago; Saldner, Simon; Dolanski-Aghamanoukjan, Lorenz; Degelsegger-Marquez, Alexander; Soiland-Reyes, Stian; Van Goethem, Nina; Bernal-Delgado, Enrique</t>
  </si>
  <si>
    <t>Federated causal inference based on real-world observational data sources: application to a SARS-CoV-2 vaccine effectiveness assessment</t>
  </si>
  <si>
    <t>BMC MEDICAL RESEARCH METHODOLOGY</t>
  </si>
  <si>
    <t>Federated analysis; Causal inference; Real-world data; Comparative effectiveness; Vaccines; COVID-19; Pandemic preparedness</t>
  </si>
  <si>
    <t>TARGET TRIAL; DATASHIELD; DESIGN</t>
  </si>
  <si>
    <t>Introduction Causal inference helps researchers and policy-makers to evaluate public health interventions. When comparing interventions or public health programs by leveraging observational sensitive individual-level data from populations crossing jurisdictional borders, a federated approach (as opposed to a pooling data approach) can be used. Approaching causal inference by re-using routinely collected observational data across different regions in a federated manner, is challenging and guidance is currently lacking. With the aim of filling this gap and allowing a rapid response in the case of a next pandemic, a methodological framework to develop studies attempting causal inference using federated cross-national sensitive observational data, is described and showcased within the European BeYond-COVID project.Methods A framework for approaching federated causal inference by re-using routinely collected observational data across different regions, based on principles of legal, organizational, semantic and technical interoperability, is proposed. The framework includes step-by-step guidance, from defining a research question, to establishing a causal model, identifying and specifying data requirements in a common data model, generating synthetic data, and developing an interoperable and reproducible analytical pipeline for distributed deployment. The conceptual and instrumental phase of the framework was demonstrated and an analytical pipeline implementing federated causal inference was prototyped using open-source software in preparation for the assessment of real-world effectiveness of SARS-CoV-2 primary vaccination in preventing infection in populations spanning different countries, integrating a data quality assessment, imputation of missing values, matching of exposed to unexposed individuals based on confounders identified in the causal model and a survival analysis within the matched population.Results The conceptual and instrumental phase of the proposed methodological framework was successfully demonstrated within the BY-COVID project. Different Findable, Accessible, Interoperable and Reusable (FAIR) research objects were produced, such as a study protocol, a data management plan, a common data model, a synthetic dataset and an interoperable analytical pipeline.Conclusions The framework provides a systematic approach to address federated cross-national policy-relevant causal research questions based on sensitive population, health and care data in a privacy-preserving and interoperable way. The methodology and derived research objects can be re-used and contribute to pandemic preparedness.</t>
  </si>
  <si>
    <t>[Meurisse, Marjan; Van Goethem, Nina] Sciensano, Dept Epidemiol &amp; Publ Hlth, Brussels, Belgium; [Meurisse, Marjan] Catholic Univ Louvain, IREC EPID, Brussels, Belgium; [Estupinan-Romero, Francisco; Gonzalez-Galindo, Javier; Martinez-Lizaga, Natalia; Royo-Sierra, Santiago; Bernal-Delgado, Enrique] Inst Aragones Ciencias Salud IACS, Data Sci Hlth Serv &amp; Policy, Zaragoza, Spain; [Saldner, Simon] Royal Netherlands Acad Arts &amp; Sci, Data Archiving &amp; Networked Serv, Amsterdam, Netherlands; [Dolanski-Aghamanoukjan, Lorenz; Degelsegger-Marquez, Alexander] Gesundheit Osterreich GmbH GOG, Int Affairs Policy Evaluat &amp; Digitalisat, Vienna, Austria; [Soiland-Reyes, Stian] Univ Manchester, Dept Comp Sci, Manchester, Lancashire, England; [Soiland-Reyes, Stian] Univ Amsterdam, Informat Inst, Amsterdam, Netherlands</t>
  </si>
  <si>
    <t>Sciensano; Universite Catholique Louvain; Royal Netherlands Academy of Arts &amp; Sciences; Data Archiving &amp; Networked Services (DANS-KNAW); University of Manchester; University of Amsterdam</t>
  </si>
  <si>
    <t>Meurisse, M (corresponding author), Sciensano, Dept Epidemiol &amp; Publ Hlth, Brussels, Belgium.;Meurisse, M (corresponding author), Catholic Univ Louvain, IREC EPID, Brussels, Belgium.</t>
  </si>
  <si>
    <t>marjan.meurisse@sciensano.be</t>
  </si>
  <si>
    <t>Meurisse, Marjan/0000-0002-4409-0664; Van Goethem, Nina/0000-0001-7316-6990; bernal, enrique/0009-0001-1753-9104</t>
  </si>
  <si>
    <t>European Union [HORIZON-INFRA-2021-EMERGENCY-01 101046203]</t>
  </si>
  <si>
    <t>This research was supported by BY-COVID Project funds. BY-COVID (BeYond-COVID) is a Horizon Europe funded project from the European Union (grant agreement HORIZON-INFRA-2021-EMERGENCY-01 101046203), launched in October 2021.</t>
  </si>
  <si>
    <t>1471-2288</t>
  </si>
  <si>
    <t>BMC MED RES METHODOL</t>
  </si>
  <si>
    <t>BMC Med. Res. Methodol.</t>
  </si>
  <si>
    <t>OCT 23</t>
  </si>
  <si>
    <t>10.1186/s12874-023-02068-3</t>
  </si>
  <si>
    <t>Health Care Sciences &amp; Services</t>
  </si>
  <si>
    <t>X1BS8</t>
  </si>
  <si>
    <t>WOS:001095876800001</t>
  </si>
  <si>
    <t>Gaies, M; Olive, MK; Owens, GE; Charpie, JR; Zhang, WY; Pasquali, SK; Klugman, D; Costello, JM; Schwartz, SM; Banerjee, M</t>
  </si>
  <si>
    <t>Gaies, Michael; Olive, Mary K.; Owens, Gabe E.; Charpie, John R.; Zhang, Wenying; Pasquali, Sara K.; Klugman, Darren; Costello, John M.; Schwartz, Steven M.; Banerjee, Mousumi</t>
  </si>
  <si>
    <t>Methods to Enhance Causal Inference for Assessing Impact of Clinical Informatics Platform Implementation</t>
  </si>
  <si>
    <t>CIRCULATION-CARDIOVASCULAR QUALITY AND OUTCOMES</t>
  </si>
  <si>
    <t>causality inference; critical care; informatics; outcomes assessment; pediatric</t>
  </si>
  <si>
    <t>DIFFERENCE-IN-DIFFERENCES; IMPROVEMENT; PREDICTION; OUTCOMES</t>
  </si>
  <si>
    <t>Background:Hospitals are increasingly likely to implement clinical informatics tools to improve quality of care, necessitating rigorous approaches to evaluate effectiveness. We leveraged a multi-institutional data repository and applied causal inference methods to assess implementation of a commercial data visualization software in our pediatric cardiac intensive care unit. Methods:Natural experiment in the University of Michigan (UM) Cardiac Intensive Care Unit pre and postimplementation of data visualization software analyzed within the Pediatric Cardiac Critical Care Consortium clinical registry; we identified N=21 control hospitals that contributed contemporaneous registry data during the study period. We used the platform during multiple daily rounds to visualize clinical data trends. We evaluated outcomes-case-mix adjusted postoperative mortality, cardiac arrest and unplanned readmission rates, and postoperative length of stay-most likely impacted by this change. There were no quality improvement initiatives focused specifically on these outcomes nor any organizational changes at UM in either era. We performed a difference-in-differences analysis to compare changes in UM outcomes to those at control hospitals across the pre versus postimplementation eras. Results:We compared 1436 pre versus 779 postimplementation admissions at UM to 19 854 (pre) versus 14 160 (post) at controls. Admission characteristics were similar between eras. Postimplementation at UM we observed relative reductions in cardiac arrests among medical admissions, unplanned readmissions, and postoperative length of stay by -14%, -41%, and -18%, respectively. The difference-in-differences estimate for each outcome was statistically significant (P&lt;0.05), suggesting the difference in outcomes at UM pre versus postimplementation is statistically significantly different from control hospitals during the same time. Conclusions:Clinical registries provide opportunities to thoroughly evaluate implementation of new informatics tools at single institutions. Borrowing strength from multi-institutional data and drawing ideas from causal inference, our analysis solidified greater belief in the effectiveness of this software across our institution.</t>
  </si>
  <si>
    <t>[Gaies, Michael] Cincinnati Childrens Hosp, Heart Inst, 3333 Burnet Ave, Cincinnati, OH 45229 USA; [Gaies, Michael] Cincinnati Childrens Hosp Med Ctr, Heart Inst, Cincinnati, OH USA; [Olive, Mary K.; Owens, Gabe E.; Charpie, John R.; Pasquali, Sara K.] Univ Michigan, Med Sch, Dept Pediat, Ann Arbor, MI USA; [Zhang, Wenying] Univ Michigan, Data Coordinating Ctr PC4, Michigan Congenital Heart Outcomes Res &amp; Discovery, Ann Arbor, MI USA; [Klugman, Darren] Johns Hopkins Univ, Sch Med, Dept Anesthesia &amp; Crit Care, Baltimore, MD USA; [Costello, John M.] Med Univ South Carolina, Dept Pediat, Charleston, SC USA; [Schwartz, Steven M.] Univ Toronto, Temerty Fac Med, Dept Paediat, Toronto, ON, Canada; [Banerjee, Mousumi] Univ Michigan, Sch Publ Hlth, Dept Biostat, Ann Arbor, MI USA</t>
  </si>
  <si>
    <t>Cincinnati Children's Hospital Medical Center; Cincinnati Children's Hospital Medical Center; University of Michigan System; University of Michigan; University of Michigan System; University of Michigan; Johns Hopkins University; Medical University of South Carolina; University of Toronto; University of Michigan System; University of Michigan</t>
  </si>
  <si>
    <t>Gaies, M (corresponding author), Cincinnati Childrens Hosp, Heart Inst, 3333 Burnet Ave, Cincinnati, OH 45229 USA.</t>
  </si>
  <si>
    <t>michael.gaies@cchmc.org; mkolive@med.umich.edu; gabeo@med.umich.edu; jcharpie@umich.edu; zwenying@med.umich.edu; pasquali@med.umich.edu; dklugman@jhu.edu; costello@musc.edu; steven.schwartz@sickkids.ca; mousumib@umich.edu</t>
  </si>
  <si>
    <t>Olive, Mary/0000-0001-6095-4701; Schwartz, Steven/0000-0002-8563-5130; Charpie, John/0000-0003-1722-525X; Zhang, Wenying/0000-0002-3513-1882</t>
  </si>
  <si>
    <t>University of Michigan Congenital Heart Center; CHAMPS; Michigan Institute for Clinical &amp; Health Research (NIH/NCATS) [UL1TR002240]; University of Michigan, Ann Arbor, MI</t>
  </si>
  <si>
    <t>University of Michigan Congenital Heart Center; CHAMPS; Michigan Institute for Clinical &amp; Health Research (NIH/NCATS); University of Michigan, Ann Arbor, MI(University of Michigan System)</t>
  </si>
  <si>
    <t>No funding sources directly contributed to this study. The PC4 Data Coordinating Center received support from the University of Michigan Congenital Heart Center, CHAMPS for Mott, and the Michigan Institute for Clinical &amp; Health Research (NIH/NCATS UL1TR002240), all University of Michigan, Ann Arbor, MI</t>
  </si>
  <si>
    <t>LIPPINCOTT WILLIAMS &amp; WILKINS</t>
  </si>
  <si>
    <t>TWO COMMERCE SQ, 2001 MARKET ST, PHILADELPHIA, PA 19103 USA</t>
  </si>
  <si>
    <t>1941-7705</t>
  </si>
  <si>
    <t>1941-7713</t>
  </si>
  <si>
    <t>CIRC-CARDIOVASC QUAL</t>
  </si>
  <si>
    <t>Circ.-Cardiovasc. Qual. Outcomes</t>
  </si>
  <si>
    <t>FEB</t>
  </si>
  <si>
    <t>e009277</t>
  </si>
  <si>
    <t>10.1161/CIRCOUTCOMES.122.009277</t>
  </si>
  <si>
    <t>9G6SF</t>
  </si>
  <si>
    <t>WOS:000938279600002</t>
  </si>
  <si>
    <t>Frey, G; Litz, L</t>
  </si>
  <si>
    <t>AACC; AACC; AACC</t>
  </si>
  <si>
    <t>PROCEEDINGS OF THE 2000 AMERICAN CONTROL CONFERENCE, VOLS 1-6</t>
  </si>
  <si>
    <t>2000 American Control Conference (ACC 2000)</t>
  </si>
  <si>
    <t>JUN 28-30, 2000</t>
  </si>
  <si>
    <t>CHICAGO, IL</t>
  </si>
  <si>
    <t>Amer Automat Control Council,IFAC,US Natl Member Org,Int Federat Automat Control</t>
  </si>
  <si>
    <t>Petri nets are able to express the causality as well as the concurrency of a control algorithm. To model logic controllers Signal Interpreted Petri Nets (SIPN) show good properties. In SIPN the firing of a transition depends on input signals from the environment and the SIPN influences the environment via output signals. Since the function of a logic controller is basically determined by software, the question of software quality arises in this area. ISO/IEC 9126 [ISO 1991] defines six characteristics of software that can be used as quality criteria. In [FREY AND LITZ 2000] the six characteristics are set in the framework of controller design: The functionality and reliability of the software rely on the correctness of the algorithm. In this contribution criteria for formal correctness of SIPN control algorithms are given and it is shown how they can be evaluated using the SIPN reachability graph. Due to a close relation between Sequential Function Chart (SFC) according to IEC 1131-3 standard [IEC 1992] and SIPN the criteria are also valid for SFC.</t>
  </si>
  <si>
    <t>Univ Kaiserslautern, Inst Proc Automat, D-67653 Kaiserslautern, Germany</t>
  </si>
  <si>
    <t>University of Kaiserslautern</t>
  </si>
  <si>
    <t>Univ Kaiserslautern, Inst Proc Automat, POB 3049, D-67653 Kaiserslautern, Germany.</t>
  </si>
  <si>
    <t>frey@eit.uni-kl.de</t>
  </si>
  <si>
    <t>Frey, Georg/C-9247-2009</t>
  </si>
  <si>
    <t>Frey, Georg/0000-0001-8483-0295</t>
  </si>
  <si>
    <t>0743-1619</t>
  </si>
  <si>
    <t>2378-5861</t>
  </si>
  <si>
    <t>0-7803-5519-9; 0-7803-5520-2</t>
  </si>
  <si>
    <t>P AMER CONTR CONF</t>
  </si>
  <si>
    <t>Automation &amp; Control Systems</t>
  </si>
  <si>
    <t>BR32L</t>
  </si>
  <si>
    <t>WOS:000166106200648</t>
  </si>
  <si>
    <t>Li, G; Dai, HH</t>
  </si>
  <si>
    <t>INTERNATIONAL JOURNAL OF SOFTWARE ENGINEERING AND KNOWLEDGE ENGINEERING</t>
  </si>
  <si>
    <t>software reuse; causal discovery; data mining; graphical model</t>
  </si>
  <si>
    <t>FAILURE FACTORS; SUCCESS</t>
  </si>
  <si>
    <t>Software reuse is an important topic due to its potential benefits in increasing product quality and decreasing cost. Although more and more people are aware that not only technical issues, but also nontechnical issues are important to the success of software reuse, people are still not certain which factors will have direct effect on the success of reuse. In this paper, we applied a causal discovery algorithm to the software reuse survey data [2]. Ensemble strategy is incorporated to locate a probable causal model structure for software reuse, and find all those factors which have direct effect on the success of reuse. Our discovery results reinforced some conclusions of Morisio et al. and found some new conclusions which might significantly improve the odds of a reuse project succeeding.</t>
  </si>
  <si>
    <t>Deakin Univ, Sch Informat Technol, Melbourne, Vic, Australia</t>
  </si>
  <si>
    <t>Deakin University</t>
  </si>
  <si>
    <t>Deakin Univ, Sch Informat Technol, Melbourne, Vic, Australia.</t>
  </si>
  <si>
    <t>Li, Gang/C-4925-2009</t>
  </si>
  <si>
    <t>Li, Gang/0000-0003-1583-641X</t>
  </si>
  <si>
    <t>WORLD SCIENTIFIC PUBL CO PTE LTD</t>
  </si>
  <si>
    <t>SINGAPORE</t>
  </si>
  <si>
    <t>5 TOH TUCK LINK, SINGAPORE 596224, SINGAPORE</t>
  </si>
  <si>
    <t>0218-1940</t>
  </si>
  <si>
    <t>1793-6403</t>
  </si>
  <si>
    <t>INT J SOFTW ENG KNOW</t>
  </si>
  <si>
    <t>Int. J. Softw. Eng. Knowl. Eng.</t>
  </si>
  <si>
    <t>JUN</t>
  </si>
  <si>
    <t>Computer Science, Artificial Intelligence; Computer Science, Software Engineering; Engineering, Electrical &amp; Electronic</t>
  </si>
  <si>
    <t>846ET</t>
  </si>
  <si>
    <t>WOS:000223298800005</t>
  </si>
  <si>
    <t>Takahashi, M</t>
  </si>
  <si>
    <t>Takahashi, Masayoshi</t>
  </si>
  <si>
    <t>Multiple imputation regression discontinuity designs: Alternative to regression discontinuity designs to estimate the local average treatment effect at the cutoff</t>
  </si>
  <si>
    <t>COMMUNICATIONS IN STATISTICS-SIMULATION AND COMPUTATION</t>
  </si>
  <si>
    <t>Causal inference; Missing data; Multiple imputation; Potential outcome; Regression discontinuity</t>
  </si>
  <si>
    <t>BINARY TREATMENTS; CAUSAL INFERENCE; OUTCOMES</t>
  </si>
  <si>
    <t>The regression discontinuity design (RDD) is one of the most credible methods for causal inference that is often regarded as a missing data problem in the potential outcomes framework. However, the methods for missing data such as multiple imputation are rarely used as a method for causal inference. This article proposes multiple imputation regression discontinuity designs (MIRDDs), an alternative way of estimating the local average treatment effect at the cutoff point by multiply-imputing potential outcomes. To assess the performance of the proposed method, Monte Carlo simulations are conducted under 112 different settings, each repeated 5,000 times. The simulation results show that MIRDDs perform well in terms of bias, root mean squared error, coverage, and interval length compared to the standard RDD method. Also, additional simulations exhibit promising results compared to the state-of-the-art RDD methods. Finally, this article proposes to use MIRDDs as a graphical diagnostic tool for RDDs. We illustrate the proposed method with data on the incumbency advantage in U.S. House elections. To implement the proposed method, an easy-to-use software program is also provided.</t>
  </si>
  <si>
    <t>[Takahashi, Masayoshi] Nagasaki Univ, Sch Informat &amp; Data Sci, 1-14 Bunkyo, Nagasaki 8528521, Japan</t>
  </si>
  <si>
    <t>Nagasaki University</t>
  </si>
  <si>
    <t>Takahashi, M (corresponding author), Nagasaki Univ, Sch Informat &amp; Data Sci, 1-14 Bunkyo, Nagasaki 8528521, Japan.</t>
  </si>
  <si>
    <t>m-takahashi@nagasaki-u.ac.jp</t>
  </si>
  <si>
    <t>Takahashi, Masayoshi/GWV-1928-2022</t>
  </si>
  <si>
    <t>Takahashi, Masayoshi/0000-0002-2616-0614</t>
  </si>
  <si>
    <t>0361-0918</t>
  </si>
  <si>
    <t>1532-4141</t>
  </si>
  <si>
    <t>COMMUN STAT-SIMUL C</t>
  </si>
  <si>
    <t>Commun. Stat.-Simul. Comput.</t>
  </si>
  <si>
    <t>SEP 2</t>
  </si>
  <si>
    <t>10.1080/03610918.2021.1960374</t>
  </si>
  <si>
    <t>JUL 2021</t>
  </si>
  <si>
    <t>U1HC5</t>
  </si>
  <si>
    <t>WOS:000685987200001</t>
  </si>
  <si>
    <t>Offor, PI</t>
  </si>
  <si>
    <t>IEEE Comp Soc; Acad Sci &amp; Engn</t>
  </si>
  <si>
    <t>Offor, Patrick I.</t>
  </si>
  <si>
    <t>Managing Risk in Secure System: Antecedents to Requirement Engineers' Trust-Assumption Decisions</t>
  </si>
  <si>
    <t>2013 ASE/IEEE INTERNATIONAL CONFERENCE ON SOCIAL COMPUTING (SOCIALCOM)</t>
  </si>
  <si>
    <t>ASE/IEEE International Conference on Social Computing (SocialCom)</t>
  </si>
  <si>
    <t>SEP 08-14, 2013</t>
  </si>
  <si>
    <t>Washington, DC</t>
  </si>
  <si>
    <t>Acad Sci Engn,IEEE,IEEE Comp Soc</t>
  </si>
  <si>
    <t>risk management; information security; risk; information systems security; requirement engineers; trust assumption; characteristics of the trustee; predisposition of the trustor; security requirements; anti-requirement; trustor; trustee</t>
  </si>
  <si>
    <t>MODELS</t>
  </si>
  <si>
    <t>Operating within a system context, security requirement engineers or analysts face enormous, diverse, and timely security requirement decisions today more than ever, primarily because of the complexities, rapidity, and evolving continuum of security threats that exist today, in part because of advances in technological capabilities and limited available resources. Although literature has shown that requirement engineers use trust assumption in limiting the scope of information systems security requirement analysis in their risk management strategy, examination of precursors to trust assumption decision is very limited. Therefore, the objective of this paper is to conceptualize, examine, and analyze the antecedents to requirement engineers trust assumption decisions. First, the study used problem frame approach to analyze the context and design decisions and to show the physical model of the system under investigation. Second, the paper used hypothesis testing to examine causality between the constructs and the phenomenon. Hence, this study argues that an analyst's trust assumption decisions of whether to include or exclude software, system, or subsystem from security requirement analysis is not made in a vacuity, but on the predisposition of the trustor and the characteristics of the trustee. The result indicates that the predisposition of the trustor and the characteristics of trustee are precursors to requirement engineers' trust assumption decisions.</t>
  </si>
  <si>
    <t>Nova SE Univ, Grad Sch Comp &amp; Informat Sci, Ft Lauderdale, FL 33314 USA</t>
  </si>
  <si>
    <t>Nova Southeastern University</t>
  </si>
  <si>
    <t>Offor, PI (corresponding author), Nova SE Univ, Grad Sch Comp &amp; Informat Sci, Ft Lauderdale, FL 33314 USA.</t>
  </si>
  <si>
    <t>po125@nova.edu</t>
  </si>
  <si>
    <t>Offor, Patrick/AAZ-7601-2020</t>
  </si>
  <si>
    <t>Offor, Patrick/0000-0003-3894-6275</t>
  </si>
  <si>
    <t>978-0-7695-5137-1</t>
  </si>
  <si>
    <t>BJU40</t>
  </si>
  <si>
    <t>WOS:000330563800069</t>
  </si>
  <si>
    <t>Jiang, ZC; Imai, K; Malani, A</t>
  </si>
  <si>
    <t>Jiang, Zhichao; Imai, Kosuke; Malani, Anup</t>
  </si>
  <si>
    <t>Statistical inference and power analysis for direct and spillover effects in two-stage randomized experiments</t>
  </si>
  <si>
    <t>BIOMETRICS</t>
  </si>
  <si>
    <t>Article; Early Access</t>
  </si>
  <si>
    <t>experimental design; interference between units; partial interference; spillover effects; statistical power</t>
  </si>
  <si>
    <t>CAUSAL INFERENCE; TRIALS</t>
  </si>
  <si>
    <t>Two-stage randomized experiments become an increasingly popular experimental design for causal inference when the outcome of one unit may be affected by the treatment assignments of other units in the same cluster. In this paper, we provide a methodological framework for general tools of statistical inference and power analysis for two-stage randomized experiments. Under the randomization-based framework, we consider the estimation of a new direct effect of interest as well as the average direct and spillover effects studied in the literature. We provide unbiased estimators of these causal quantities and their conservative variance estimators in a general setting. Using these results, we then develop hypothesis testing procedures and derive sample size formulas. We theoretically compare the two-stage randomized design with the completely randomized and cluster randomized designs, which represent two limiting designs. Finally, we conduct simulation studies to evaluate the empirical performance of our sample size formulas. For empirical illustration, the proposed methodology is applied to the randomized evaluation of the Indian National Health Insurance Program. An open-source software package is available for implementing the proposed methodology.</t>
  </si>
  <si>
    <t>[Jiang, Zhichao] Sun Yat Sen Univ, Sch Math, Guangzhou, Guangdong, Peoples R China; [Imai, Kosuke] Harvard Univ, Dept Govt, Cambridge, MA USA; [Imai, Kosuke] Harvard Univ, Dept Stat, Cambridge, MA USA; [Malani, Anup] Univ Chicago, Law Sch, Chicago, IL USA; [Malani, Anup] Univ Chicago, Pritzker Sch Med, Chicago, IL USA; [Malani, Anup] Natl Bur Econom Res, Cambridge, MA USA; [Jiang, Zhichao] Sun Yat Sen Univ, Sch Math, Guangzhou 510275, Guangdong, Peoples R China</t>
  </si>
  <si>
    <t>Sun Yat Sen University; Harvard University; Harvard University; University of Chicago; University of Chicago; Sun Yat Sen University</t>
  </si>
  <si>
    <t>Jiang, ZC (corresponding author), Sun Yat Sen Univ, Sch Math, Guangzhou 510275, Guangdong, Peoples R China.</t>
  </si>
  <si>
    <t>jiangzhch7@mail.sysu.edu.cn</t>
  </si>
  <si>
    <t>Imai, Kosuke/B-7462-2008</t>
  </si>
  <si>
    <t>Imai, Kosuke/0000-0002-2748-1022; Jiang, Zhichao/0000-0002-8571-0217</t>
  </si>
  <si>
    <t>Alfred P. Sloan Foundation [2020-13946]</t>
  </si>
  <si>
    <t>Alfred P. Sloan Foundation(Alfred P. Sloan Foundation)</t>
  </si>
  <si>
    <t>Alfred P. Sloan Foundation, Grant/Award Number: 2020-13946</t>
  </si>
  <si>
    <t>0006-341X</t>
  </si>
  <si>
    <t>1541-0420</t>
  </si>
  <si>
    <t>Biometrics</t>
  </si>
  <si>
    <t>2022 NOV 10</t>
  </si>
  <si>
    <t>10.1111/biom.13782</t>
  </si>
  <si>
    <t>NOV 2022</t>
  </si>
  <si>
    <t>Biology; Mathematical &amp; Computational Biology; Statistics &amp; Probability</t>
  </si>
  <si>
    <t>Life Sciences &amp; Biomedicine - Other Topics; Mathematical &amp; Computational Biology; Mathematics</t>
  </si>
  <si>
    <t>6D3FM</t>
  </si>
  <si>
    <t>WOS:000882580800001</t>
  </si>
  <si>
    <t>Silvis-Cividjian, N; Hager, F</t>
  </si>
  <si>
    <t>Silvis-Cividjian, Natalia; Hager, Fritz</t>
  </si>
  <si>
    <t>2023 IEEE/ACM 45TH INTERNATIONAL CONFERENCE ON SOFTWARE ENGINEERING-SOFTWARE ENGINEERING EDUCATION AND TRAINING, ICSE-SEET</t>
  </si>
  <si>
    <t>International Conference on Software Engineering-Software Engineering Education and Training</t>
  </si>
  <si>
    <t>IEEE/ACM 45th International Conference on Software Engineering - Software Engineering Education and Training (ICSE-SEET)</t>
  </si>
  <si>
    <t>software testing education; assignments; soft skills; accident investigations; safety science; STAMP; witness accounts; history of computing; Therac-25</t>
  </si>
  <si>
    <t>THERAC-25; STAMP</t>
  </si>
  <si>
    <t>Accidents tend to be traumatic events that one would rather forget than remember. Software testing novices at the Vrije Universiteit in Amsterdam, on the contrary, rewind the past and learn how to safeguard the future. In this paper we will present FAIL, a rather unconventional assignment that methodically investigate 13 historical software-related accidents, varying from the Ariane-5 rocket explosion to the Knight Capital trading glitch. Innovative is that software testing students use STAMP, a modern systems-theory-based accident causality model and have the possibility to interview a witness of the famous Therac-25 radiation overexposures. A recent deployment to 96 CS graduates received positive evaluations. We learned that even a lightweight, yet systematic investigation of failures (1) motivates students, by sensitizing them to the consequences of suboptimal testing, and (2) reveals key soft-skills testers need to prevent disasters, such as defensive pessimism and a strong backbone. Other, more subtle benefits of the proposed approach include (3) really-happened, instead of artificial case-studies that increase a teacher's credibility, and (4) extraordinary test scenarios students will always remember. These results invite software engineering educators to include safety assessment elements in their curricula, and call on witnesses of software-related accidents to break the silence and share memories. Future work includes crafting a repository of heritage artifacts (narratives, videos, witness testimonies and physical replicas) to reproduce historical software-related accidents, and make it available to interested educators. Our hope is that motivated professionals will emerge, better prepared to engineer the safe software-intensive systems we all can rely on.</t>
  </si>
  <si>
    <t>[Silvis-Cividjian, Natalia] Vrije Univ Amsterdam, Comp Sci Dept, Amsterdam, Netherlands</t>
  </si>
  <si>
    <t>Vrije Universiteit Amsterdam</t>
  </si>
  <si>
    <t>Silvis-Cividjian, N (corresponding author), Vrije Univ Amsterdam, Comp Sci Dept, Amsterdam, Netherlands.</t>
  </si>
  <si>
    <t>n.silvis-cividjian@vu.nl</t>
  </si>
  <si>
    <t>NRO, The Netherlands Initiative for Education Research, as part of a Comenius Teaching Fellow grant</t>
  </si>
  <si>
    <t>The VU-BugZoo project was funded by the NRO, The Netherlands Initiative for Education Research, as part of a Comenius Teaching Fellow grant.</t>
  </si>
  <si>
    <t>2832-756X</t>
  </si>
  <si>
    <t>979-8-3503-2259-0</t>
  </si>
  <si>
    <t>Soft Engg Education</t>
  </si>
  <si>
    <t>Computer Science, Software Engineering; Education, Scientific Disciplines</t>
  </si>
  <si>
    <t>Computer Science; Education &amp; Educational Research</t>
  </si>
  <si>
    <t>BV4JW</t>
  </si>
  <si>
    <t>WOS:001032813100008</t>
  </si>
  <si>
    <t>Chen, PF; Qi, Y; Zheng, PF; Hou, D</t>
  </si>
  <si>
    <t>Chen, Pengfei; Qi, Yong; Zheng, Pengfei; Hou, Di</t>
  </si>
  <si>
    <t>CauseInfer: Automatic and Distributed Performance Diagnosis with Hierarchical Causality Graph in Large Distributed Systems</t>
  </si>
  <si>
    <t>2014 PROCEEDINGS IEEE INFOCOM</t>
  </si>
  <si>
    <t>IEEE INFOCOM</t>
  </si>
  <si>
    <t>33rd IEEE Annual Conference on Computer Communications (IEEE INFOCOM)</t>
  </si>
  <si>
    <t>APR 27-MAY 02, 2014</t>
  </si>
  <si>
    <t>Toronto, CANADA</t>
  </si>
  <si>
    <t>Modern applications especially cloud-based or cloud-centric applications always have many components running in the large distributed environment with complex interactions. They are vulnerable to suffer from performance or availability problems due to the highly dynamic runtime environment such as resource hogs, configuration changes and software bugs. In order to make efficient software maintenance and provide some hints to software bugs, we build a system named CauseInfer, a low cost and black-box cause inference system without instrumenting the application source code. CauseInfer can automatically construct a two layered hierarchical causality graph and infer the causes of performance problems along the causal paths in the graph with a series of statistical methods. According to the experimental evaluation in the controlled environment, we find out CauseInfer can achieve an average 80% precision and 85 % recall in a list of top two causes to identify the root causes, higher than several state-of-the-art methods and a good scalability to scale up in the distributed systems.</t>
  </si>
  <si>
    <t>[Chen, Pengfei; Qi, Yong; Zheng, Pengfei; Hou, Di] Xi An Jiao Tong Univ, Sch Elect &amp; Informat Engineer, Xian, Peoples R China</t>
  </si>
  <si>
    <t>Xi'an Jiaotong University</t>
  </si>
  <si>
    <t>Chen, PF (corresponding author), Xi An Jiao Tong Univ, Sch Elect &amp; Informat Engineer, Xian, Peoples R China.</t>
  </si>
  <si>
    <t>fly.bird.sky@stu.xjtu.edu.cn; qiy@mail.xjtu.edu.cn; p.f.zheng@stu.xjtu.edu.cn; houdi@mail.xjtu.edu.cn</t>
  </si>
  <si>
    <t>0743-166X</t>
  </si>
  <si>
    <t>978-1-4799-3360-0</t>
  </si>
  <si>
    <t>IEEE INFOCOM SER</t>
  </si>
  <si>
    <t>Computer Science, Hardware &amp; Architecture; Engineering, Electrical &amp; Electronic; Telecommunications</t>
  </si>
  <si>
    <t>BD5KX</t>
  </si>
  <si>
    <t>WOS:000361544200211</t>
  </si>
  <si>
    <t>Ludl, AA; Michoel, T</t>
  </si>
  <si>
    <t>Ludl, Adriaan-Alexander; Michoel, Tom</t>
  </si>
  <si>
    <t>Comparison between instrumental variable and mediation-based methods for reconstructing causal gene networks in yeast</t>
  </si>
  <si>
    <t>MOLECULAR OMICS</t>
  </si>
  <si>
    <t>MENDELIAN RANDOMIZATION; COMPLEX TRAITS; INFERENCE; IDENTIFICATION; EXPRESSION; GENOMICS; GTPASE</t>
  </si>
  <si>
    <t>Causal gene networks model the flow of information within a cell. Reconstructing causal networks from omics data is challenging because correlation does not imply causation. When genomics and transcriptomics data from a segregating population are combined, genomic variants can be used to orient the direction of causality between gene expression traits. Instrumental variable methods use a local expression quantitative trait locus (eQTL) as a randomized instrument for a gene's expression level, and assign target genes based on distal eQTL associations. Mediation-based methods additionally require that distal eQTL associations are mediated by the source gene. A detailed comparison between these methods has not yet been conducted, due to the lack of a standardized implementation of different methods, the limited sample size of most multi-omics datasets, and the absence of ground-truth networks for most organisms. Here we used Findr, a software package providing uniform implementations of instrumental variable, mediation, and coexpression-based methods, a recent dataset of 1012 segregants from a cross between two budding yeast strains, and the YEASTRACT database of known transcriptional interactions to compare causal gene network inference methods. We found that causal inference methods result in a significant overlap with the ground-truth, whereas coexpression did not perform better than random. A subsampling analysis revealed that the performance of mediation saturates at large sample sizes, due to a loss of sensitivity when residual correlations become significant. Instrumental variable methods on the other hand contain false positive predictions, due to genomic linkage between eQTL instruments. Instrumental variable and mediation-based methods also have complementary roles for identifying causal genes underlying transcriptional hotspots. Instrumental variable methods correctly predicted STB5 targets for a hotspot centred on the transcription factor STB5, whereas mediation failed due to Stb5p auto-regulating its own expression. Mediation suggests a new candidate gene, DNM1, for a hotspot on Chr XII, whereas instrumental variable methods could not distinguish between multiple genes located within the hotspot. In conclusion, causal inference from genomics and transcriptomics data is a powerful approach for reconstructing causal gene networks, which could be further improved by the development of methods to control for residual correlations in mediation analyses, and for genomic linkage and pleiotropic effects from transcriptional hotspots in instrumental variable analyses.</t>
  </si>
  <si>
    <t>[Ludl, Adriaan-Alexander; Michoel, Tom] Univ Bergen, Dept Informat, Computat Biol Unit, POB 7803, N-5020 Bergen, Norway</t>
  </si>
  <si>
    <t>University of Bergen</t>
  </si>
  <si>
    <t>Michoel, T (corresponding author), Univ Bergen, Dept Informat, Computat Biol Unit, POB 7803, N-5020 Bergen, Norway.</t>
  </si>
  <si>
    <t>tom.michoel@uib.no</t>
  </si>
  <si>
    <t>Michoel, Tom/0000-0003-4749-4725; Ludl, Adriaan-Alexander/0000-0003-3461-4644</t>
  </si>
  <si>
    <t>BBSRC [BB/M020053/1] Funding Source: UKRI</t>
  </si>
  <si>
    <t>BBSRC(UK Research &amp; Innovation (UKRI)Biotechnology and Biological Sciences Research Council (BBSRC))</t>
  </si>
  <si>
    <t>ROYAL SOC CHEMISTRY</t>
  </si>
  <si>
    <t>CAMBRIDGE</t>
  </si>
  <si>
    <t>THOMAS GRAHAM HOUSE, SCIENCE PARK, MILTON RD, CAMBRIDGE CB4 0WF, CAMBS, ENGLAND</t>
  </si>
  <si>
    <t>2515-4184</t>
  </si>
  <si>
    <t>MOL OMICS</t>
  </si>
  <si>
    <t>Mol. Omics</t>
  </si>
  <si>
    <t>APR 1</t>
  </si>
  <si>
    <t>10.1039/d0mo00140f</t>
  </si>
  <si>
    <t>Biochemistry &amp; Molecular Biology</t>
  </si>
  <si>
    <t>RO5JS</t>
  </si>
  <si>
    <t>Green Submitted, Bronze, Green Published</t>
  </si>
  <si>
    <t>WOS:000641080300014</t>
  </si>
  <si>
    <t>Keogh, RH; Seaman, SR; Gran, JM; Vansteelandt, S</t>
  </si>
  <si>
    <t>Keogh, Ruth H.; Seaman, Shaun R.; Gran, Jon Michael; Vansteelandt, Stijn</t>
  </si>
  <si>
    <t>Simulating longitudinal data from marginal structural models using the additive hazard model</t>
  </si>
  <si>
    <t>BIOMETRICAL JOURNAL</t>
  </si>
  <si>
    <t>additive hazard model; causal inference; congenial models; longitudinal data; marginal structural model; simulation study; survival analysis; time‐ dependent confounding</t>
  </si>
  <si>
    <t>INVERSE PROBABILITY WEIGHTS; FAILURE TIME MODELS; CAUSAL INFERENCE; SURVIVAL; COX</t>
  </si>
  <si>
    <t>Observational longitudinal data on treatments and covariates are increasingly used to investigate treatment effects, but are often subject to time-dependent confounding. Marginal structural models (MSMs), estimated using inverse probability of treatment weighting or the g-formula, are popular for handling this problem. With increasing development of advanced causal inference methods, it is important to be able to assess their performance in different scenarios to guide their application. Simulation studies are a key tool for this, but their use to evaluate causal inference methods has been limited. This paper focuses on the use of simulations for evaluations involving MSMs in studies with a time-to-event outcome. In a simulation, it is important to be able to generate the data in such a way that the correct forms of any models to be fitted to those data are known. However, this is not straightforward in the longitudinal setting because it is natural for data to be generated in a sequential conditional manner, whereas MSMs involve fitting marginal rather than conditional hazard models. We provide general results that enable the form of the correctly specified MSM to be derived based on a conditional data generating procedure, and show how the results can be applied when the conditional hazard model is an Aalen additive hazard or Cox model. Using conditional additive hazard models is advantageous because they imply additive MSMs that can be fitted using standard software. We describe and illustrate a simulation algorithm. Our results will help researchers to effectively evaluate causal inference methods via simulation.</t>
  </si>
  <si>
    <t>[Keogh, Ruth H.; Vansteelandt, Stijn] London Sch Hyg &amp; Trop Med, Dept Med Stat, Keppel St, London WC1E 7HT, England; [Seaman, Shaun R.] Univ Cambridge, Inst Publ Hlth, MRC Biostat Unit, Forvie Site,Robinson Way, Cambridge, England; [Gran, Jon Michael] Univ Oslo, Inst Basic Med Sci, Dept Biostat, Oslo Ctr Biostat &amp; Epidemiol, Oslo, Norway; [Vansteelandt, Stijn] Univ Ghent, Dept Appl Math, Comp Sci &amp; Stat, Ghent, Belgium</t>
  </si>
  <si>
    <t>University of London; London School of Hygiene &amp; Tropical Medicine; University of Cambridge; MRC Biostatistics Unit; University of Oslo; Ghent University</t>
  </si>
  <si>
    <t>Keogh, RH (corresponding author), London Sch Hyg &amp; Trop Med, Dept Med Stat, Keppel St, London WC1E 7HT, England.</t>
  </si>
  <si>
    <t>ruth.keogh@lshtm.ac.uk</t>
  </si>
  <si>
    <t>Seaman, Shaun/JRX-4274-2023; Vansteelandt, Stijn/J-4072-2017</t>
  </si>
  <si>
    <t>Keogh, Ruth/0000-0001-6504-3253; Seaman, Shaun/0000-0003-3726-5937; Vansteelandt, Stijn/0000-0002-4207-8733</t>
  </si>
  <si>
    <t>UK Research and Innovation [MR/S017968/1]; Norges Forskningsrad [273674]; Medical Research Council [MC_UU_00002/10]; FLF [MR/S017968/1] Funding Source: UKRI; MRC [MC_UU_00002/10] Funding Source: UKRI</t>
  </si>
  <si>
    <t>UK Research and Innovation(UK Research &amp; Innovation (UKRI)); Norges Forskningsrad(Research Council of Norway); Medical Research Council(UK Research &amp; Innovation (UKRI)Medical Research Council UK (MRC)); FLF(UK Research &amp; Innovation (UKRI)); MRC(UK Research &amp; Innovation (UKRI)Medical Research Council UK (MRC))</t>
  </si>
  <si>
    <t>UK Research and Innovation, Grant/Award Number: MR/S017968/1; Norges Forskningsrad, Grant/Award Number: 273674; Medical Research Council, Grant/Award Number: MC_UU_00002/10</t>
  </si>
  <si>
    <t>0323-3847</t>
  </si>
  <si>
    <t>1521-4036</t>
  </si>
  <si>
    <t>BIOMETRICAL J</t>
  </si>
  <si>
    <t>Biom. J.</t>
  </si>
  <si>
    <t>OCT</t>
  </si>
  <si>
    <t>10.1002/bimj.202000040</t>
  </si>
  <si>
    <t>Mathematical &amp; Computational Biology; Statistics &amp; Probability</t>
  </si>
  <si>
    <t>Mathematical &amp; Computational Biology; Mathematics</t>
  </si>
  <si>
    <t>WC5JX</t>
  </si>
  <si>
    <t>Green Published, Green Accepted, hybrid, Green Submitted</t>
  </si>
  <si>
    <t>WOS:000649806500001</t>
  </si>
  <si>
    <t>Paucar-Curasma, R; Villalba-Condori, KO; Mamani-Calcina, J; Rondon, D; Berrios-Espezúa, MG; Acra-Despradel, C</t>
  </si>
  <si>
    <t>Paucar-Curasma, Ronald; Villalba-Condori, Klinge Orlando; Mamani-Calcina, Jorge; Rondon, David; Berrios-Espezua, Mario Gustavo; Acra-Despradel, Claudia</t>
  </si>
  <si>
    <t>EDUCATION SCIENCES</t>
  </si>
  <si>
    <t>computational thinking; problem-solving; first-year students; technological resources; technological projects; skills; STEM</t>
  </si>
  <si>
    <t>SECONDARY</t>
  </si>
  <si>
    <t>In this work, the authors propose the use of technological resources to develop computational thinking following the steps or phases of problem-solving for first-year students. During the development of the activities using technological resources (Arduino board, sensors, electronic devices, and mBlock) the students carried out activities, such as algorithm development and programming of the Arduino board and sensors from a friendly and playful interface such as the mBlock, as well as the debugging of programs until obtaining the expected results. These activities had an impact on the cognitive processes, practices, and technological perspectives of the students. Causality has been shown to exist between computational thinking skills and problem-solving phases in an environment of engineering students entering college. For the analysis of the relationship between computational thinking skills and problem-solving, Pearson's statistical correlation test was used through SPSS software.</t>
  </si>
  <si>
    <t>[Paucar-Curasma, Ronald] Univ Nacl Autonoma Tayacaja Daniel Hernandez Mori, Grp Invest TIC Aplicadas Soc, Pampas 09156, Peru; [Villalba-Condori, Klinge Orlando] Univ Catolica Santa Maria, Fac Ciencias &amp; Tecnol Sociales &amp; Humanidades, Arequipa 04001, Peru; [Mamani-Calcina, Jorge] Univ Tecnol Peru, Dept Estudios Gen, Arequipa 04001, Peru; [Rondon, David] Univ Continental, Dept Estudios Gen, Arequipa 04001, Peru; [Berrios-Espezua, Mario Gustavo] Univ Nacl San Agustin Arequipa, Fac Ciencias Hist Sociales, Arequipa 04001, Peru; [Acra-Despradel, Claudia] Univ Nacl Pedro Henriquez Urena, Dept Invest, Santo Domingo 10100, Dominican Rep</t>
  </si>
  <si>
    <t>Universidad Catolica de Santa Maria; Universidad Tecnologica del Peru; Universidad Continental; Universidad Nacional de San Agustin de Arequipa; Universidad Nacional Pedro Henriquez Urena</t>
  </si>
  <si>
    <t>Paucar-Curasma, R (corresponding author), Univ Nacl Autonoma Tayacaja Daniel Hernandez Mori, Grp Invest TIC Aplicadas Soc, Pampas 09156, Peru.</t>
  </si>
  <si>
    <t>rpaucarc@unat.edu.pe</t>
  </si>
  <si>
    <t>CONDORI, KLINGE ORLANDO VILLALBA/U-1040-2017</t>
  </si>
  <si>
    <t>CONDORI, KLINGE ORLANDO VILLALBA/0000-0002-8621-7942; Acra-Despradel, Claudia/0000-0002-6429-5675; Paucar Curasma, Ronald/0000-0002-9489-576X; Mamani Calcina, Jorge Gilbert/0000-0001-6633-2102</t>
  </si>
  <si>
    <t>2227-7102</t>
  </si>
  <si>
    <t>EDUC SCI</t>
  </si>
  <si>
    <t>Educ. Sci.</t>
  </si>
  <si>
    <t>Education &amp; Educational Research</t>
  </si>
  <si>
    <t>A5ME8</t>
  </si>
  <si>
    <t>WOS:000955553300001</t>
  </si>
  <si>
    <t>Murphy-Hill, E; Smith, EK; Sadowski, C; Jaspan, C; Winter, C; Jorde, M; Knight, A; Trenk, A; Gross, S</t>
  </si>
  <si>
    <t>Murphy-Hill, Emerson; Smith, Edward K.; Sadowski, Caitlin; Jaspan, Ciera; Winter, Collin; Jorde, Matthew; Knight, Andrea; Trenk, Andrew; Gross, Steve</t>
  </si>
  <si>
    <t>2019 IEEE/ACM 41ST INTERNATIONAL CONFERENCE ON SOFTWARE ENGINEERING (ICSE 2019)</t>
  </si>
  <si>
    <t>41st IEEE/ACM International Conference on Software Engineering (ICSE)</t>
  </si>
  <si>
    <t>MAY 25-31, 2019</t>
  </si>
  <si>
    <t>IEEE,Assoc Comp Machinery,IEEE Comp Soc,ACM Special Interest Grp Software Engn,Natl Sci Fdn,Facebook,IBM,Huawei,Monash Univ,Univ Waterloo,Ecole Technologie Superieure,Amazon Web Serv,Tourisme Montreal,Google,Microsoft Res,Blackberry,Fujitsu,Univ Calif Santa Barbara, Comp Sci,ING,Nat Sci &amp; Engn Res Council Canada,Prompt,IEEE Comp Soc, Tech Comm Software Engn</t>
  </si>
  <si>
    <t>Maintaining awareness of useful tools is a substantial challenge for developers. Physical newsletters are a simple technique to inform developers about tools. In this paper, we evaluate such a technique, called Testing on the Toilet, by performing a mixed-methods case study. We first quantitatively evaluate how effective this technique is by applying statistical causal inference over six years of data about tools used by thousands of developers. We then qualitatively contextualize these results by interviewing and surveying 382 developers, from authors to editors to readers. We found that the technique was generally effective at increasing software development tool use, although the increase varied depending on factors such as the breadth of applicability of the tool, the extent to which the tool has reached saturation, and the memorability of the tool name.</t>
  </si>
  <si>
    <t>[Murphy-Hill, Emerson; Sadowski, Caitlin; Jaspan, Ciera; Jorde, Matthew; Knight, Andrea; Trenk, Andrew; Gross, Steve] Google LLC, Sunnyvale, CA USA; [Smith, Edward K.] Bloomberg, New York, NY USA; [Winter, Collin] Waymo, Mountain View, CA USA</t>
  </si>
  <si>
    <t>Google Incorporated</t>
  </si>
  <si>
    <t>Murphy-Hill, E (corresponding author), Google LLC, Sunnyvale, CA USA.</t>
  </si>
  <si>
    <t>emersonm@google.corn; tedks@riseup.net; supertri@google.com; ciera@google.com; collinwinter@waymo.corn; majorde@google.com; aknight@google.com; atrenk@google.com; stevegross@google.com</t>
  </si>
  <si>
    <t>978-1-7281-0869-8</t>
  </si>
  <si>
    <t>Computer Science, Artificial Intelligence; Computer Science, Software Engineering; Computer Science, Theory &amp; Methods</t>
  </si>
  <si>
    <t>BP6PQ</t>
  </si>
  <si>
    <t>WOS:000560373200041</t>
  </si>
  <si>
    <t>Jin, F; Wang, LQ; Zhao, J; Wang, W; Liu, QL</t>
  </si>
  <si>
    <t>Jin, Feng; Wang, Linqing; Zhao, Jun; Wang, Wei; Liu, Quanli</t>
  </si>
  <si>
    <t>IEEE TRANSACTIONS ON AUTOMATION SCIENCE AND ENGINEERING</t>
  </si>
  <si>
    <t>Job shop scheduling; Steel; Safety; Iron; Predictive models; Byproduct energy; granular causality; LDG scheduling; steelmaking process</t>
  </si>
  <si>
    <t>MODEL; OPTIMIZATION; DISCOVERY; FORECAST; NETWORKS; DEMAND; SYSTEM</t>
  </si>
  <si>
    <t>The energy-intensive enterprises (EIEs), such as iron and steel enterprises, account for a significant part of the total energy consumption in society. The Linz-Donawitz converter gas (LDG) is a kind of crucial byproduct energy resource recycled during the steelmaking process, and its reasonable scheduling can effectively reduce the LDG emission and increase its efficiency. In this study, a granular-causality-based scheduling approach for the LDG system in steel industry is proposed. A granular causality technique is modeled to confirm the casual relationship of the LDG system based on the discontinuous production characteristic, in which a causality diagram is established and the phase space of the training sample is reconstructed to improve the prediction accuracy. Then, a multioutput least-square support vector machine model is constructed for the prediction of the gas tank levels. In order to consider the impact of multiple solutions on the scheduling result in a period of time, a scheduling objective function that combines the economy criterion and the safety one is designed and optimized by a modified particle swarm optimization (PSO) algorithm. The validation experiments using real-world data coming from the energy data center of a steel plant are carried out, and the results indicate that the proposed method exhibits reliable performance. Moreover, an application software system based on the proposed method is developed and implemented, which demonstrates the applicability of the proposed approach. Note to Practitioners-Given that the steelmaking process is a discontinuous one and the LDG system can hardly be described by a physical or mechanism-based model, its energy scheduling works is usually operated by the manual method currently, which leads to low accuracy and a waste of energy. Since a large number of real-time data had been accumulated by the existing SCADA system implemented in most steel plants, a data-driven long-term scheduling approach is proposed in this study. The proposed method aims at the long-term scheduling of the LDG system in steel industry, and the acquisition frequency of the real-time data is 1 min. The application system designed on the basis of the proposed method can provide effective scheduling solutions. Furthermore, it is necessary to ensure the data integrity and reliability via data imputation and filtering methods since there may exist some missing data or outliners in the acquired data from the SCADA system onsite. This study avoids the redundant introduction of such preliminary preprocessing methods for the sample data.</t>
  </si>
  <si>
    <t>[Jin, Feng; Wang, Linqing; Zhao, Jun; Wang, Wei; Liu, Quanli] Dalian Univ Technol, Key Lab Intelligent Control &amp; Optimizat Ind Equip, Dalian 116024, Peoples R China; [Jin, Feng; Wang, Linqing; Zhao, Jun; Wang, Wei; Liu, Quanli] Dalian Univ Technol, Sch Control Sci &amp; Engn, Dalian 116024, Peoples R China</t>
  </si>
  <si>
    <t>Dalian University of Technology; Dalian University of Technology</t>
  </si>
  <si>
    <t>Zhao, J (corresponding author), Dalian Univ Technol, Key Lab Intelligent Control &amp; Optimizat Ind Equip, Dalian 116024, Peoples R China.</t>
  </si>
  <si>
    <t>jinfeng_1126@126.com; wanglinqing@dlut.edu.cn; zhaoj@dlut.edu.cn; wangwei@dlut.edu.cn; liuql@dlut.edu.cn</t>
  </si>
  <si>
    <t>Wang, Yifan/KDO-8319-2024; sun, yuan/KBD-3926-2024</t>
  </si>
  <si>
    <t>National Key Research and Development Program of China [2017YFA0700300]; National Natural Sciences Foundation of China [61833003, 61533005, U1908218, 61773085]; Fundamental Research Funds for the Central Universities [DUT18TD07]; Outstanding Youth Sci-Tech Talent Program of Dalian [2018RJ01]</t>
  </si>
  <si>
    <t>National Key Research and Development Program of China; National Natural Sciences Foundation of China(National Natural Science Foundation of China (NSFC)); Fundamental Research Funds for the Central Universities(Fundamental Research Funds for the Central Universities); Outstanding Youth Sci-Tech Talent Program of Dalian</t>
  </si>
  <si>
    <t>This article was recommended for publication by Associate Editor Y. Lu and Editor B. Vogel-Heuser upon evaluation of the reviewers' comments. This work was supported in part by the National Key Research and Development Program of China under Grant 2017YFA0700300, in part by the National Natural Sciences Foundation of China under Grant 61833003, Grant 61533005, Grant U1908218, and Grant 61773085; in part by the Fundamental Research Funds for the Central Universities under Grant DUT18TD07; and in part by the Outstanding Youth Sci-Tech Talent Program of Dalian under Grant 2018RJ01.</t>
  </si>
  <si>
    <t>1545-5955</t>
  </si>
  <si>
    <t>1558-3783</t>
  </si>
  <si>
    <t>IEEE T AUTOM SCI ENG</t>
  </si>
  <si>
    <t>IEEE Trans. Autom. Sci. Eng.</t>
  </si>
  <si>
    <t>OD1UQ</t>
  </si>
  <si>
    <t>WOS:000579640900001</t>
  </si>
  <si>
    <t>Abdurrahman, L; Suhardi; Langi, AZR</t>
  </si>
  <si>
    <t>Abdurrahman, Lukman; Suhardi; Langi, Armein Z. R.</t>
  </si>
  <si>
    <t>2014 2ND INTERNATIONAL CONFERENCE ON INFORMATION AND COMMUNICATION TECHNOLOGY (ICOICT)</t>
  </si>
  <si>
    <t>2nd International Conference on Information and Communication Technology (ICoICT)</t>
  </si>
  <si>
    <t>MAY 28-30, 2014</t>
  </si>
  <si>
    <t>Bandung, INDONESIA</t>
  </si>
  <si>
    <t>Modeling; Resource-Based View; IT value; Structural Equation Modeling; outer model; inner mode; IT value engineering</t>
  </si>
  <si>
    <t>RESOURCE-BASED PERSPECTIVE; FIRM PERFORMANCE; CAPABILITY</t>
  </si>
  <si>
    <t>Information Technology in business is significant. This study tries to trace the relationship between IT value and firm performance. The methodology of the study is analyzing some variables forming the relationship of IT value to firm performance based on the Resource-Based View Theory. The analysis results in IT Value Model using Variance-Based Structural Equation Modeling. Using computer simulation data and a SEM application software, the conceptual models are tested. The testing consists of the outer model, the inner model, and the hypotheses testing. The outer model testing is to examine the relationship between the reflective manifest variables and their construct. Similarly, the inner model and hypotheses are tested to make sure that among the constructs have causality relationships. According to the testing results, the models meet the fit model criteria as required by the Variance-Based SEM. Likewise, the hypotheses can be accepted. Furthermore, the IT value engineering concept can be developed referred to the fit model and linked to business requirements.</t>
  </si>
  <si>
    <t>[Abdurrahman, Lukman] Telkom Univ, Telkom Engn Sch, Informat Syst Program, Bandung, Indonesia; [Suhardi; Langi, Armein Z. R.] ITB, Sch Elect Engn &amp; Informat, Bandung, Indonesia</t>
  </si>
  <si>
    <t>Telkom University; Institute Technology of Bandung</t>
  </si>
  <si>
    <t>Abdurrahman, L (corresponding author), Telkom Univ, Telkom Engn Sch, Informat Syst Program, Bandung, Indonesia.</t>
  </si>
  <si>
    <t>luk_ar@telkom.co.id; suhardi@stei.itb.ac.id; azr.langi@gmail.com</t>
  </si>
  <si>
    <t>Abdurrahman, Lukman/AAC-2266-2021</t>
  </si>
  <si>
    <t>Abdurrahman, Lukman/0000-0001-7288-0455</t>
  </si>
  <si>
    <t>978-1-4799-3580-2</t>
  </si>
  <si>
    <t>Computer Science, Information Systems; Telecommunications</t>
  </si>
  <si>
    <t>Computer Science; Telecommunications</t>
  </si>
  <si>
    <t>BE0PJ</t>
  </si>
  <si>
    <t>WOS:000366521000083</t>
  </si>
  <si>
    <t>dos Santos, CAR; Matias, R</t>
  </si>
  <si>
    <t>dos Santos, Caio Augusto R.; Matias, Rivalino, Jr.</t>
  </si>
  <si>
    <t>2015 BRAZILIAN SYMPOSIUM ON COMPUTING SYSTEMS ENGINEERING (SBESC)</t>
  </si>
  <si>
    <t>Brazilian Symposium on Computing System Engineering</t>
  </si>
  <si>
    <t>Brazilian Symposium on Computing Systems Engineering (SBESC)</t>
  </si>
  <si>
    <t>NOV 03-06, 2015</t>
  </si>
  <si>
    <t>Foz do Iguacu, BRAZIL</t>
  </si>
  <si>
    <t>Unioeste,Cienceia Computacao,Socieda Brasileira Computacao,CAPES,CNPq,Intel Educacao,Brazilian Comp Soc, Special Commiss Comp Syst Engn</t>
  </si>
  <si>
    <t>operating systems; failure causes; empirical study</t>
  </si>
  <si>
    <t>Empirical studies in software reliability research have predominantly focused on end-user applications. In this paper we present an empirical study on operating system reliability, which considered a sample of 7,007 real operating system failures collected from 566 computers. Our approach considered the clustering of different types of failures, as well as used an algorithm we created to search for and classify the causes of failures. We performed quantitative and qualitative analyses on the failure patterns and causes found, in order to investigate their correlations. The findings showed that failures in operating system services were dominant, especially related to software updates. We also found strong evidences of failure correlation, a property that is often neglected by studies in software reliability. In particular, we found evidences of causality relations between different types of operating system failures.</t>
  </si>
  <si>
    <t>[dos Santos, Caio Augusto R.; Matias, Rivalino, Jr.] Univ Fed Uberlandia, Sch Comp Sci, Av Engenheiro Dinz 1178,CP 593, BR-38400 Uberlandia, MG, Brazil</t>
  </si>
  <si>
    <t>Universidade Federal de Uberlandia</t>
  </si>
  <si>
    <t>dos Santos, CAR (corresponding author), Univ Fed Uberlandia, Sch Comp Sci, Av Engenheiro Dinz 1178,CP 593, BR-38400 Uberlandia, MG, Brazil.</t>
  </si>
  <si>
    <t>caioarsantos@mestrado.ufu.br; rivalino@ufu.br</t>
  </si>
  <si>
    <t>Rodrigues dos Santos, Caio Augusto/0000-0003-0969-5999</t>
  </si>
  <si>
    <t>2324-7886</t>
  </si>
  <si>
    <t>978-1-5090-0182-8</t>
  </si>
  <si>
    <t>BRAZ SYM COMPUT SYST</t>
  </si>
  <si>
    <t>Computer Science, Information Systems; Engineering, Electrical &amp; Electronic</t>
  </si>
  <si>
    <t>BE8WH</t>
  </si>
  <si>
    <t>WOS:000377100400001</t>
  </si>
  <si>
    <t>Rodriguez-Cardenas, D; Palacio, DN; Khati, D; Burke, H; Poshyvanyk, D</t>
  </si>
  <si>
    <t>Rodriguez-Cardenas, Daniel; Palacio, David N.; Khati, Dipin; Burke, Henry; Poshyvanyk, Denys</t>
  </si>
  <si>
    <t>2023 IEEE INTERNATIONAL CONFERENCE ON SOFTWARE MAINTENANCE AND EVOLUTION, ICSME</t>
  </si>
  <si>
    <t>39th IEEE International Conference on Software Maintenance and Evolution (ICSME)</t>
  </si>
  <si>
    <t>OCT 01-06, 2023</t>
  </si>
  <si>
    <t>Univ Andes, Bogota, COLOMBIA</t>
  </si>
  <si>
    <t>IEEE,IEEE Comp Soc Tech Community Software Engn,IEEE Tech Council Software Engn,Fundac GCF Aprende Libre</t>
  </si>
  <si>
    <t>Univ Andes</t>
  </si>
  <si>
    <t>Software Engineering; Testbeds; Large Language Models; dl4se; Interpretability</t>
  </si>
  <si>
    <t>One of the most common solutions adopted by software researchers to address code generation is by training Large Language Models (LLMs) on massive amounts of source code. LLMs are rooted in the concept of emergent capabilities in which machines statistically learn complex patterns from code data. Although a number of studies have shown that LLMs have been effectively evaluated on popular accuracy metrics (e.g., BLEU, CodeBleu), previous research has largely overlooked the role of Causal Inference as a fundamental component of the interpretability of LLMs' performance. Existing benchmarks and datasets are meant to highlight the difference between the expected and the generated outcome, but do not take into account confounding variables (e.g., lines of code, number of tokens, prompt size) that equally influence the accuracy metrics. The fact remains that, when dealing with generative software tasks by LLMs, no benchmark is available to tell researchers how to quantify neither the causal effect of SE-based treatments nor the correlation of confounders to the model's performance. In an effort to bring statistical rigor to the evaluation of LLMs, this paper introduces a benchmarking strategy named Galeras comprised of curated testbeds for three SE tasks (i.e., code completion, code summarization, and commit generation) to help aid the interpretation of LLMs' performance. We illustrate the insights of our benchmarking strategy by conducting a case study on the performance of ChatGPT under distinct prompt engineering methods. The results of the case study demonstrate the positive causal influence of prompt semantics on ChatGPT's generative performance by an average treatment effect of approximate to 3%. Moreover, it was found that confounders such as prompt size are highly correlated with accuracy metrics (approximate to 0.412). The end result of our case study is to showcase causal inference evaluations, in practice, to reduce confounding bias. By reducing the bias, we offer an interpretable solution for the accuracy metric under analysis.</t>
  </si>
  <si>
    <t>[Rodriguez-Cardenas, Daniel; Palacio, David N.; Khati, Dipin; Burke, Henry; Poshyvanyk, Denys] William &amp; Mary, Dept Comp Sci, Williamsburg, VA 23185 USA</t>
  </si>
  <si>
    <t>Rodriguez-Cardenas, D (corresponding author), William &amp; Mary, Dept Comp Sci, Williamsburg, VA 23185 USA.</t>
  </si>
  <si>
    <t>dhrodriguezcar@wm.edu; danaderpalacio@wm.edu; dkhati@wm.edu; hqburke@wm.edu; dposhyvanyk@wm.edu</t>
  </si>
  <si>
    <t>Nader Palacio, David A./KLD-9270-2024</t>
  </si>
  <si>
    <t>Nader Palacio, David A./0000-0001-6166-7595</t>
  </si>
  <si>
    <t>NSF [CCF-2311469, CNS-2132281, CCF-2007246, CCF-1955853]; Cisco Systems</t>
  </si>
  <si>
    <t>NSF(National Science Foundation (NSF)); Cisco Systems</t>
  </si>
  <si>
    <t>This research has been supported in part by the NSF CCF-2311469, CNS-2132281, CCF-2007246, and CCF-1955853. We also acknowledge support from Cisco Systems. Any opinions, findings, and conclusions expressed herein are the authors' and do not necessarily reflect those of the sponsors.</t>
  </si>
  <si>
    <t>979-8-3503-2783-0</t>
  </si>
  <si>
    <t>BW2UF</t>
  </si>
  <si>
    <t>WOS:001125977500028</t>
  </si>
  <si>
    <t>Johnson, RD; Li, YZ; Dulebohn, JH</t>
  </si>
  <si>
    <t>Johnson, Richard D.; Li, Yuzhu; Dulebohn, James H.</t>
  </si>
  <si>
    <t>Unsuccessful Performance and Future Computer Self-Efficacy Estimations: Attributions and Generalization to Other Software Applications</t>
  </si>
  <si>
    <t>JOURNAL OF ORGANIZATIONAL AND END USER COMPUTING</t>
  </si>
  <si>
    <t>Attributions; Computer Self-Efficacy; Locus of Causality; Self-Efficacy Generality; Software Training; Stability Attributions</t>
  </si>
  <si>
    <t>Using data from 100 individuals, this study examined the role of performance attributions (stability and locus of causality) and computer self-efficacy (CSE) for spreadsheets and databases in the training context. The results show that both self-efficacy and attributions (locus of causality and stability) for unsuccessful performance on one software package affected future efficacy estimations for both the same software package (spreadsheet) as well as for a related software package (database). These findings extend previous research by illustrating that through the generality of CSE estimations, users' performance on one software package are related to self-efficacy estimations on a different, distally similar, software application. This suggests that trainers and managers cannot overlook the importance of self-efficacy generality in the design of technology training initiatives. Early, unsuccessful experiences for those with limited technology experience can make it more challenging to adapt to, and learn to use, new technologies.</t>
  </si>
  <si>
    <t>[Johnson, Richard D.] SUNY Albany, Albany, NY 12222 USA; [Li, Yuzhu] Univ Massachusetts Dartmouth, N Dartmouth, MA USA; [Dulebohn, James H.] Michigan State Univ, E Lansing, MI 48824 USA</t>
  </si>
  <si>
    <t>State University of New York (SUNY) System; State University of New York (SUNY) Albany; University of Massachusetts System; University Massachusetts Dartmouth; Michigan State University</t>
  </si>
  <si>
    <t>Johnson, RD (corresponding author), SUNY Albany, Albany, NY 12222 USA.</t>
  </si>
  <si>
    <t>Johnson, Richard D/R-4628-2018</t>
  </si>
  <si>
    <t>Johnson, Richard D/0000-0001-9367-8889; Li, Yuzhu/0000-0002-7571-8258</t>
  </si>
  <si>
    <t>IGI GLOBAL</t>
  </si>
  <si>
    <t>HERSHEY</t>
  </si>
  <si>
    <t>701 E CHOCOLATE AVE, STE 200, HERSHEY, PA 17033-1240 USA</t>
  </si>
  <si>
    <t>1546-2234</t>
  </si>
  <si>
    <t>1546-5012</t>
  </si>
  <si>
    <t>J ORGAN END USER COM</t>
  </si>
  <si>
    <t>J. Organ. End User Comput.</t>
  </si>
  <si>
    <t>JAN-MAR</t>
  </si>
  <si>
    <t>Computer Science, Information Systems; Information Science &amp; Library Science; Management</t>
  </si>
  <si>
    <t>Computer Science; Information Science &amp; Library Science; Business &amp; Economics</t>
  </si>
  <si>
    <t>DD9YP</t>
  </si>
  <si>
    <t>WOS:000370281900001</t>
  </si>
  <si>
    <t>Tseng, WH; Fan, CF</t>
  </si>
  <si>
    <t>Tseng, Wan-Hui; Fan, Chin-Feng</t>
  </si>
  <si>
    <t>IEICE TRANSACTIONS ON INFORMATION AND SYSTEMS</t>
  </si>
  <si>
    <t>software process tailoring; UML; BBN</t>
  </si>
  <si>
    <t>Tailoring industrial standards is done to reduce costs and improve quality for a particular project. This paper proposes using Bayesian Belief Network (BBN) analysis to support tailoring decision-making under uncertainties. However, there are two major problems associated with the objectivity of BBNs; that is, the construction of the causal inference diagrams and the assignment of probabilities of their dependency relations. We have developed a method to solve the first problem. In general, the relations among different activities, resources, and products addressed in software standards can be expressed more directly in Unified Modeling Language (UML) diagrams than in BBN's. Such relations include association, aggregation, or inheritance relations. We have developed a schema to construct BBNs for process tailoring from given UML diagrams that model a particular standard. The proposed approach systematically constructing BBNs can also be used to assist decision-making in other software project management activities, such as planning and risk management.</t>
  </si>
  <si>
    <t>Yuan Ze Univ, Dept Comp Engn &amp; Sci, Chungli 320, Taiwan</t>
  </si>
  <si>
    <t>Yuan Ze University</t>
  </si>
  <si>
    <t>Tseng, WH (corresponding author), Yuan Ze Univ, Dept Comp Engn &amp; Sci, Chungli 320, Taiwan.</t>
  </si>
  <si>
    <t>s929403@mail.yzu.edu.tw</t>
  </si>
  <si>
    <t>IEICE-INST ELECTRONICS INFORMATION COMMUNICATIONS ENG</t>
  </si>
  <si>
    <t>TOKYO</t>
  </si>
  <si>
    <t>KIKAI-SHINKO-KAIKAN BLDG, 3-5-8, SHIBA-KOEN, MINATO-KU, TOKYO, 105-0011, JAPAN</t>
  </si>
  <si>
    <t>1745-1361</t>
  </si>
  <si>
    <t>IEICE T INF SYST</t>
  </si>
  <si>
    <t>IEICE Trans. Inf. Syst.</t>
  </si>
  <si>
    <t>E90D</t>
  </si>
  <si>
    <t>150DA</t>
  </si>
  <si>
    <t>WOS:000245194600004</t>
  </si>
  <si>
    <t>Thodi, M; Fujita, S</t>
  </si>
  <si>
    <t>Thodi, Martin; Fujita, Satoshi</t>
  </si>
  <si>
    <t>2016 FOURTH INTERNATIONAL SYMPOSIUM ON COMPUTING AND NETWORKING (CANDAR)</t>
  </si>
  <si>
    <t>International Symposium on Computing and Networking</t>
  </si>
  <si>
    <t>4th International Symposium on Computing and Networking (CANDAR)</t>
  </si>
  <si>
    <t>NOV 22-25, 2016</t>
  </si>
  <si>
    <t>Hiroshima, JAPAN</t>
  </si>
  <si>
    <t>EIC,IPS,IEICE Tech Comm Comp Syst,IPSJ Special Interest Grp Syst Architecture</t>
  </si>
  <si>
    <t>Collaboration is a huge part of modern software development. Yet most tools used in software development are aimed for single user instances. To support collaborative software practices, researchers and practitioners have presented several tools. The existing tools support collaboration either through distributed version control systems or through client/server-based concurrent text editors. Distributed version control systems do not support real-time collaboration; while the server-based concurrent editors do not support off-line work. In this paper, we propose the design of a replica-based collaborative development environment (CDE) within a peer to peer network of users. The CDE supports both real-time collaborative editing and off-line work. In addition, the CDE is scalable, resilient to the dynamic joining/leaving of collaborating users, and can be augmented into existing development environments as a plug-in. We evaluate the usability of the CDE with respect to operation propagation time, and the correctness with respect to the causality, convergence and intention preservation (CCI) criteria.</t>
  </si>
  <si>
    <t>[Thodi, Martin; Fujita, Satoshi] Hiroshima Univ, Dept Informat Engn, Kagamiyama 1-4-1, Hiroshima 7398527, Japan</t>
  </si>
  <si>
    <t>Hiroshima University</t>
  </si>
  <si>
    <t>Thodi, M (corresponding author), Hiroshima Univ, Dept Informat Engn, Kagamiyama 1-4-1, Hiroshima 7398527, Japan.</t>
  </si>
  <si>
    <t>thodi@se.hiroshima-u.ac.jp; fujita@se.hiroshima-u.ac.jp</t>
  </si>
  <si>
    <t>Fujita, Satoshi/ISS-1855-2023</t>
  </si>
  <si>
    <t>Fujita, Satoshi/0000-0001-9412-7309</t>
  </si>
  <si>
    <t>2379-1888</t>
  </si>
  <si>
    <t>978-1-5090-2655-5</t>
  </si>
  <si>
    <t>INT SYMPOS COMPUT NE</t>
  </si>
  <si>
    <t>BG9IQ</t>
  </si>
  <si>
    <t>WOS:000393284200089</t>
  </si>
  <si>
    <t>Georgievski, I; Nizamic, F; Lazovik, A; Aiello, M</t>
  </si>
  <si>
    <t>Georgievski, Ilche; Nizamic, Faris; Lazovik, Alexander; Aiello, Marco</t>
  </si>
  <si>
    <t>2017 IEEE 10TH CONFERENCE ON SERVICE-ORIENTED COMPUTING AND APPLICATIONS (SOCA)</t>
  </si>
  <si>
    <t>IEEE International Conference on Service-Oriented Computing and Applications</t>
  </si>
  <si>
    <t>10th IEEE International Conference on Service-Oriented Computing and Applications (SOCA)</t>
  </si>
  <si>
    <t>NOV 22-25, 2017</t>
  </si>
  <si>
    <t>Kanazawa, JAPAN</t>
  </si>
  <si>
    <t>IEEE,IEEE Comp Soc,IEEE Comp Soc Tech Comm Business Informat &amp; Syst</t>
  </si>
  <si>
    <t>service composition; automated planning; application configuration; software deployment; cloud computing</t>
  </si>
  <si>
    <t>DEPLOYMENT; SERVICES; SYSTEM</t>
  </si>
  <si>
    <t>Modern software applications are increasingly deployed and distributed on infrastructures in the Cloud, and then offered as a service. Before the deployment process happens, these applications are being manually - or with some predefined scripts - composed from various smaller interdependent components. With the increase in demand for, and complexity of applications, the composition process becomes an arduous task often associated with errors and a suboptimal use of computer resources. To alleviate such a process, we introduce an approach that uses planning to automatically and dynamically compose applications ready for Cloud deployment. The industry may benefit from using automated planning in terms of support for product variability, sophisticated search in large spaces, fault tolerance, near-optimal deployment plans, etc. Our approach is based on Hierarchical Task Network (HTN) planning as it supports rich domain knowledge, component modularity, hierarchical representation of causality, and speed of computation. We describe a deployment using a formal component model for the Cloud, and we propose a way to define and solve an HTN planning problem from the deployment one. We employ an existing HTN planner to experimentally evaluate the feasibility of our approach.</t>
  </si>
  <si>
    <t>[Georgievski, Ilche; Nizamic, Faris] Sustainable Bldg, Groningen, Netherlands; [Lazovik, Alexander; Aiello, Marco] Univ Groningen, Johann Bernoulli Inst, Groningen, Netherlands</t>
  </si>
  <si>
    <t>University of Groningen</t>
  </si>
  <si>
    <t>Georgievski, I (corresponding author), Sustainable Bldg, Groningen, Netherlands.</t>
  </si>
  <si>
    <t>ilche@sustainablebuildings.nl; faris@sustainablebuildings.nl; a.lazovik@rug.nl; m.aiello@rug.nl</t>
  </si>
  <si>
    <t>Aiello, Marco/AAG-8155-2020; Georgievski, Ilche/GXG-6330-2022</t>
  </si>
  <si>
    <t>Aiello, Marco/0000-0002-0764-2124; Georgievski, Ilche/0000-0001-6745-0063</t>
  </si>
  <si>
    <t>EU H FIRST project [734599]</t>
  </si>
  <si>
    <t>EU H FIRST project</t>
  </si>
  <si>
    <t>This research has been partially sponsored by the EU H2020 FIRST project, Grant No. 734599, FIRST: vF Interoperation suppoRting buSiness innovaTion.</t>
  </si>
  <si>
    <t>2163-2871</t>
  </si>
  <si>
    <t>978-1-5386-1326-9</t>
  </si>
  <si>
    <t>IEEE INT CONF SERV</t>
  </si>
  <si>
    <t>Computer Science, Information Systems; Computer Science, Interdisciplinary Applications; Engineering, Electrical &amp; Electronic</t>
  </si>
  <si>
    <t>BJ4MZ</t>
  </si>
  <si>
    <t>WOS:000425210400011</t>
  </si>
  <si>
    <t>Garousi, V; Mäntylä, MV</t>
  </si>
  <si>
    <t>Garousi, Vahid; Mantyla, Mika V.</t>
  </si>
  <si>
    <t>A systematic literature review of literature reviews in software testing</t>
  </si>
  <si>
    <t>Secondary studies; Tertiary study; Software testing; Systematic mapping; Systematic literature reviews; Surveys</t>
  </si>
  <si>
    <t>CITED ARTICLES; QUALITY; COST</t>
  </si>
  <si>
    <t>Context: Any newcomer or industrial practitioner is likely to experience difficulties in digesting large volumes of knowledge in software testing. In an ideal world, all knowledge used in industry, education and research should be based on high-quality evidence. Since no decision should be made based on a single study, secondary studies become essential in presenting the evidence. According to our search, over 101 secondary studies have been published in the area of software testing since 1994. With this high number of secondary studies, it is important to conduct a review in this area to provide an overview of the research landscape in this area. Objective: The goal of this study is to systematically map (classify) the secondary studies in software testing. We propose that tertiary studies can serve as summarizing indexes which facilitate finding the most relevant information from secondary studies and thus supporting evidence-based decision making in any given area of software engineering. Our research questions (RQs) investigate: (1) Software-testing specific areas, (2) Types of RQs investigated, (3) Numbers and Trends, and (4) Citations of the secondary studies. Method: To conduct the tertiary study, we use the systematic-mapping approach. Additionally, we contrast the testing topics to the number of Google hits to address a general popularity of a testing topic and study the most popular papers in terms of citations. We furthermore demonstrate the practicality and usefulness of our results by mapping them to ISTQB foundation syllabus and to SWEBOK to provide implications for practitioners, testing educators, and researchers. Results: After a systematic search and voting process, our study pool included 101 secondary studies in the area of software testing between 1994 and 2015. Among our results are the following: (1) In terms of number of secondary studies, model-based approach is the most popular testing method, web services are the most popular system under test (SUT), while regression testing is the most popular testing phase; (2) The quality of secondary studies, as measured by a criteria set established in the community, is slowly increasing as the years go by; and (3) Analysis of research questions, raised and studied in the pool of secondary studies, showed that there is a lack of 'causality' and 'relationship' type of research questions, a situation which needs to be improved if we, as a community, want to advance as a scientific field. (4) Among secondary studies, we found that regular surveys receive significantly more citations than SMs (p = 0.009) and SLRs (p = 0.014). Conclusion: Despite the large number of secondary studies, we found that many important areas of software testing currently lack secondary studies, e.g., test management, role of product risk in testing, human factors in software testing, beta-testing (A/B-testing), exploratory testing,. testability, test stopping criteria, and test-environment development. Having secondary studies in those areas is important for satisfying industrial and educational needs in software testing. On the other hand, education material of ISTQB foundation syllabus and SWEBOK could benefit from the inclusion of the latest research topics, namely search-based testing, use of cloud-computing for testing and symbolic execution. (C) 2016 Elsevier B.V. All rights reserved.</t>
  </si>
  <si>
    <t>[Garousi, Vahid] Hacettepe Univ, Dept Comp Engn, Software Engn Res Grp, Ankara, Turkey; [Garousi, Vahid] Maral Software Engn Consulting Corp, Calgary, AB, Canada; [Mantyla, Mika V.] Univ Oulu, Fac Informat Technol &amp; Elect Engn, M3S, Oulu, Finland</t>
  </si>
  <si>
    <t>Hacettepe University; University of Oulu</t>
  </si>
  <si>
    <t>Garousi, V (corresponding author), Hacettepe Univ, Dept Comp Engn, Software Engn Res Grp, Ankara, Turkey.</t>
  </si>
  <si>
    <t>vgarousi@gmail.com; mika.mantyla@oulu.fi</t>
  </si>
  <si>
    <t>Mäntylä, Mika V/E-7644-2012</t>
  </si>
  <si>
    <t>Garousi, Vahid/0000-0001-6590-7576; Mantyla, Mika/0000-0002-2841-5879</t>
  </si>
  <si>
    <t>Hacettepe University; Scientific and Technological Research Council of Turkey (TUBITAK) [115E805]</t>
  </si>
  <si>
    <t>Hacettepe University(Hacettepe University); Scientific and Technological Research Council of Turkey (TUBITAK)(Turkiye Bilimsel ve Teknolojik Arastirma Kurumu (TUBITAK))</t>
  </si>
  <si>
    <t>Vahid Garousi was partially supported by several internal grants by Hacettepe University and the Scientific and Technological Research Council of Turkey (TUBITAK) via grant #115E805.</t>
  </si>
  <si>
    <t>DEC</t>
  </si>
  <si>
    <t>10.1016/j.infsof.2016.09.002</t>
  </si>
  <si>
    <t>EA2GM</t>
  </si>
  <si>
    <t>WOS:000386410800012</t>
  </si>
  <si>
    <t>Hui, TZ</t>
  </si>
  <si>
    <t>Hui, Tom Z.</t>
  </si>
  <si>
    <t>Integrating Regulatory Drug Label Information to Facilitate Evaluation of Adverse Events in Pharmacovigilance</t>
  </si>
  <si>
    <t>CURRENT DRUG SAFETY</t>
  </si>
  <si>
    <t>Patient safety; drug safety; pharmacovigilance; adverse event; adverse reaction; signal detection; clinical trial; post; marketing surveillance</t>
  </si>
  <si>
    <t>SIGNAL-DETECTION; ALGORITHMS; HEALTH</t>
  </si>
  <si>
    <t>Background : Efficiency and accuracy for signal detection and evaluation activities are integral components of routine Pharmacovigilance (PV) practices. However, an Individual Case Safety Report (ICSR) may consist of a variety of confounders such as Concomitant Medications (CM), Past Medical History (PMH), and concurrent medical conditions that influence a safety officer?s evaluation of a potential Adverse Event (AE). Limited pharmacovigilance systems are currently avail- able as a tool designed to enhance the efficiency and accuracy of signal detection and management. Objective : To introduce a systemic approach to make critical safety information readily available for users in order to discern possible interferences from CM and make informed decisions on the signal evaluation process - saving time while improving quality. Methods : Oracle Empirica Signal software was utilized to extract cases with CM that are Known Implicating Medications (KIM) for each AE according to public regulatory information from drug labels - FDA Structured Product Labeling (SPL) or EMA Summary of Product Characteristics (SPC). SAS Enterprise Guide was used to further process the data generated from Oracle Empirica Signal software. Results : For any target drug being evaluated for safety purposes, a KIM reference table can be gen- erated, which summarizes all potential causality contributions from CMs. Conclusion : In addition to providing standalone KIM table as reference, adoption of this concept and automation may also be fully integrated into commercial signal detection and management software packages for easy use and accessibility and may even lead to reduced False Positive rate in signal detection within the PV space.</t>
  </si>
  <si>
    <t>[Hui, Tom Z.] Takeda Pharmaceut, Global Patient Safety Evaluat, Cambridge, MA 02139 USA</t>
  </si>
  <si>
    <t>Hui, TZ (corresponding author), Takeda Pharmaceut, Global Patient Safety Evaluat, Cambridge, MA 02139 USA.</t>
  </si>
  <si>
    <t>tom.hui@takeda.com</t>
  </si>
  <si>
    <t>Hui, Zhou/0000-0003-4990-4900</t>
  </si>
  <si>
    <t>BENTHAM SCIENCE PUBL</t>
  </si>
  <si>
    <t>BUSUM</t>
  </si>
  <si>
    <t>PO BOX 294, BUSUM, 1400 AG, NETHERLANDS</t>
  </si>
  <si>
    <t>1574-8863</t>
  </si>
  <si>
    <t>2212-3911</t>
  </si>
  <si>
    <t>CURR DRUG SAF</t>
  </si>
  <si>
    <t>Curr. Drug Saf.</t>
  </si>
  <si>
    <t>10.2174/1574886315666200224101011</t>
  </si>
  <si>
    <t>Pharmacology &amp; Pharmacy</t>
  </si>
  <si>
    <t>MG4EK</t>
  </si>
  <si>
    <t>WOS:000545985400005</t>
  </si>
  <si>
    <t>Pournaras, E; Ghulam, AN; Kunz, R; Hanggli, R</t>
  </si>
  <si>
    <t>Pournaras, Evangelos; Ghulam, Atif Nabi; Kunz, Renato; Hanggli, Regula</t>
  </si>
  <si>
    <t>IEEE PERVASIVE COMPUTING</t>
  </si>
  <si>
    <t>Data collection; Task analysis; Sensors; Smart phones; Load modeling; Geology; Open source software</t>
  </si>
  <si>
    <t>ONLINE</t>
  </si>
  <si>
    <t>Living lab outdoor experimentation using pervasive computing provides new opportunities: higher realism, external validity, and socio-spatio-temporal observations in large scale. However, experimentation in the wild is complex and costly. Noise, biases, privacy concerns, compliance with standards of ethical review boards, remote moderation, control of experimental conditions, and equipment perplex the collection of high-quality data for causal inference. This article introduces Smart Agora, a novel open-source software platform for rigorous systematic outdoor experimentation. Without writing a single line of code, highly complex experimental scenarios are visually designed and automatically deployed to smart phones. Novel geolocated survey and sensor data are collected subject of participants verifying desired experimental conditions, for instance, their localization at certain urban spots. This new approach drastically improves the quality and purposefulness of crowd sensing, tailored to conditions that confirm/reject hypotheses. The features that support this innovative functionality and the broad spectrum of its applicability are demonstrated.</t>
  </si>
  <si>
    <t>[Pournaras, Evangelos] Univ Leeds, Leeds LS2 9JT, W Yorkshire, England; [Ghulam, Atif Nabi; Kunz, Renato] Swiss Fed Inst Technol, CH-8092 Zurich, Switzerland; [Hanggli, Regula] Univ Fribourg, CH-1700 Fribourg, Switzerland</t>
  </si>
  <si>
    <t>University of Leeds; Swiss Federal Institutes of Technology Domain; ETH Zurich; University of Fribourg</t>
  </si>
  <si>
    <t>Pournaras, E (corresponding author), Univ Leeds, Leeds LS2 9JT, W Yorkshire, England.</t>
  </si>
  <si>
    <t>E.Pournaras@leeds.ac.uk; atifghulamnabi@gmail.com; renato.kunz@gess.ethz.ch; regula.haenggli@unifr.ch</t>
  </si>
  <si>
    <t>Hanggli, Regula/0000-0001-6327-6408</t>
  </si>
  <si>
    <t>SNF [407740 187249, NRP77]</t>
  </si>
  <si>
    <t>SNF</t>
  </si>
  <si>
    <t>This work was supported by the SNF NRP77 Digital Transformation project Digital Democracy: Innovations in Decision-making Processes, #407740 187249: https://www.nfp77.ch/en/portfolio/trust-and-legitimation-inthe-digital-democracy/.The authors would like to thank Prof. Dirk Helbing and the Chair of Computational Social Science for supporting this research. Edward Gaere supported the integration of Smart Agora with DIAS,19 while Dr. Alexey Gokhberg provided the Hive interfaces to Smart Agora. The authors would also like to thank the 2018 students of the course Data Science in Technosocio-economic Systems at ETH Zurich who used Smart Agora and provided invaluable feedback. Many thanks go to other Empower Polis team members as well as the Institute of Science Technology and Policy (ISTP) of ETH Zurich for running the ETH Policy Challenge and providing a venue to cultivate ideas for outdoor living lab experimentation.</t>
  </si>
  <si>
    <t>1536-1268</t>
  </si>
  <si>
    <t>1558-2590</t>
  </si>
  <si>
    <t>IEEE PERVAS COMPUT</t>
  </si>
  <si>
    <t>IEEE Pervasive Comput.</t>
  </si>
  <si>
    <t>JAN 1</t>
  </si>
  <si>
    <t>OCT 2021</t>
  </si>
  <si>
    <t>Computer Science, Information Systems; Engineering, Electrical &amp; Electronic; Telecommunications</t>
  </si>
  <si>
    <t>ZU6WW</t>
  </si>
  <si>
    <t>Green Accepted, Green Submitted</t>
  </si>
  <si>
    <t>WOS:000732353900001</t>
  </si>
  <si>
    <t>Foreman, VL; Favarò, FM; Saleh, JH</t>
  </si>
  <si>
    <t>Foreman, Veronica L.; Favaro, Francesca M.; Saleh, Joseph H.</t>
  </si>
  <si>
    <t>Analysis of Software Contributions to Military Aviation and Drone Mishaps</t>
  </si>
  <si>
    <t>2014 60TH ANNUAL RELIABILITY AND MAINTAINABILITY SYMPOSIUM (RAMS)</t>
  </si>
  <si>
    <t>Reliability and Maintainability Symposium</t>
  </si>
  <si>
    <t>60th Annual Reliability and Maintainability Symposium (RAMS)</t>
  </si>
  <si>
    <t>JAN 27-30, 2014</t>
  </si>
  <si>
    <t>Colorado Springs, CO</t>
  </si>
  <si>
    <t>ASQ, Elect &amp; Commun Div,ASQ, Reliabil Div,IEEE Reliabil Soc,SAE Int,AIAA,IIE,IEST,Soc Reliabil Engineers,SSS</t>
  </si>
  <si>
    <t>military aviation; mishap; accidents investigation; software; drones</t>
  </si>
  <si>
    <t>Software is assuming an increasing role in the aerospace industry, and by the same token it is also playing an increasing role in many recent incidents and accidents of both military and commercial vehicles. To better understand this role, we examine two case studies from the accident database of the Air Force Accident Investigation Board (AIB). We previously illustrated the limitations of the notion of software failure and developed, in its stead, the notion of software contribution to adverse events. We show here how specific operational scenarios, generally unconsidered during the software development and testing, trigger those contributions. We provide an analysis of the recurrent patterns of those mechanisms and preliminary recommendations for software development and testing. We also suggest ways to consolidate AIB reports' findings and to be more mindful of the chain of causality in the accident sequences.</t>
  </si>
  <si>
    <t>[Foreman, Veronica L.; Favaro, Francesca M.; Saleh, Joseph H.] Georgia Inst Technol, Atlanta, GA 30332 USA</t>
  </si>
  <si>
    <t>University System of Georgia; Georgia Institute of Technology</t>
  </si>
  <si>
    <t>Foreman, VL (corresponding author), Georgia Inst Technol, 270 Ferst Dr,MK 211, Atlanta, GA 30332 USA.</t>
  </si>
  <si>
    <t>vforeman3@gatech.edu; ffavaro3@gatech.edu; jsaleh@gatech.edu</t>
  </si>
  <si>
    <t>0149-144X</t>
  </si>
  <si>
    <t>978-1-4799-2847-7</t>
  </si>
  <si>
    <t>P REL MAINT S</t>
  </si>
  <si>
    <t>Engineering, Multidisciplinary; Engineering, Electrical &amp; Electronic</t>
  </si>
  <si>
    <t>BA9GL</t>
  </si>
  <si>
    <t>WOS:000339361600016</t>
  </si>
  <si>
    <t>S</t>
  </si>
  <si>
    <t>Hill, J; Linero, A; Murray, J</t>
  </si>
  <si>
    <t>Reid, N; Stigler, SM; Louis, TA</t>
  </si>
  <si>
    <t>Hill, Jennifer; Linero, Antonio; Murray, Jared</t>
  </si>
  <si>
    <t>Bayesian Additive Regression Trees: A Review and Look Forward</t>
  </si>
  <si>
    <t>ANNUAL REVIEW OF STATISTICS AND ITS APPLICATION, VOL 7, 2020</t>
  </si>
  <si>
    <t>Annual Review of Statistics and Its Application</t>
  </si>
  <si>
    <t>Review; Book Chapter</t>
  </si>
  <si>
    <t>regression; machine learning; Bayesian nonparametrics; causal inference; regularization</t>
  </si>
  <si>
    <t>CAUSAL INFERENCE; ASSESSING SENSITIVITY; MODELS; CART; PREDICTION</t>
  </si>
  <si>
    <t>Bayesian additive regression trees (BART) provides a flexible approach to fitting a variety of regression models while avoiding strong parametric assumptions. The sum-of-trees model is embedded in a Bayesian inferential framework to support uncertainty quantification and provide a principled approach to regularization through prior specification. This article presents the basic approach and discusses further development of the original algorithm that supports a variety of data structures and assumptions. We describe augmentations of the prior specification to accommodate higher dimensional data and smoother functions. Recent theoretical developments provide justifications for the performance observed in simulations and other settings. Use of BART in causal inference provides an additional avenue for extensions and applications. We discuss software options as well as challenges and future directions.</t>
  </si>
  <si>
    <t>[Hill, Jennifer] NYU, Dept Appl Stat Social Sci &amp; Humanities, New York, NY 10003 USA; [Linero, Antonio] Univ Texas Austin, Dept Stat &amp; Data Sci, Austin, TX 78712 USA; [Murray, Jared] Univ Texas Austin, McCombs Sch Business, Dept Informat Risk &amp; Operat Management, Austin, TX 78712 USA</t>
  </si>
  <si>
    <t>New York University; University of Texas System; University of Texas Austin; University of Texas System; University of Texas Austin</t>
  </si>
  <si>
    <t>Hill, J (corresponding author), NYU, Dept Appl Stat Social Sci &amp; Humanities, New York, NY 10003 USA.</t>
  </si>
  <si>
    <t>jennifer.hill@nyu.edu</t>
  </si>
  <si>
    <t>Murray, Jared/AAF-3850-2021</t>
  </si>
  <si>
    <t>Murray, Jared/0000-0003-3328-9413; Hill, Jennifer/0000-0003-4983-2206</t>
  </si>
  <si>
    <t>Office of the Secretary of Defense, Directorate of Operational Test and Evaluation; Test Resource Management Center under the Science of Test research program; National Science Foundation [NSF-DMS 1712870, NSF SES-1631970]; Institute of Education Sciences [R305D110037]; Office of Naval Research [N000141712141]; U.S. Department of Defense (DOD) [N000141712141] Funding Source: U.S. Department of Defense (DOD)</t>
  </si>
  <si>
    <t>Office of the Secretary of Defense, Directorate of Operational Test and Evaluation; Test Resource Management Center under the Science of Test research program; National Science Foundation(National Science Foundation (NSF)); Institute of Education Sciences(US Department of EducationInstitute of Education Sciences (IES)); Office of Naval Research(United States Department of DefenseUnited States NavyOffice of Naval Research); U.S. Department of Defense (DOD)(United States Department of Defense)</t>
  </si>
  <si>
    <t>This research was supported by the Office of the Secretary of Defense, Directorate of Operational Test and Evaluation, and the Test Resource Management Center under the Science of Test research program. It was also supported by the grants from the National Science Foundation (NSF-DMS 1712870 and NSF SES-1631970), the Institute of Education Sciences (R305D110037), and the Office of Naval Research (N000141712141).</t>
  </si>
  <si>
    <t>ANNUAL REVIEWS</t>
  </si>
  <si>
    <t>PALO ALTO</t>
  </si>
  <si>
    <t>4139 EL CAMINO WAY, PO BOX 10139, PALO ALTO, CA 94303-0897 USA</t>
  </si>
  <si>
    <t>2326-8298</t>
  </si>
  <si>
    <t>2326-831X</t>
  </si>
  <si>
    <t>ANNU REV STAT APPL</t>
  </si>
  <si>
    <t>10.1146/annurev-statistics-031219-041110</t>
  </si>
  <si>
    <t>Mathematics, Interdisciplinary Applications; Statistics &amp; Probability</t>
  </si>
  <si>
    <t>Book Citation Index – Science (BKCI-S); Science Citation Index Expanded (SCI-EXPANDED)</t>
  </si>
  <si>
    <t>BO5WH</t>
  </si>
  <si>
    <t>WOS:000518892900011</t>
  </si>
  <si>
    <t>Hu, YM; Luo, WJ; Hu, ZY</t>
  </si>
  <si>
    <t>Hu, Yamin; Luo, Wenjian; Hu, Zongyao</t>
  </si>
  <si>
    <t>ENGINEERING APPLICATIONS OF ARTIFICIAL INTELLIGENCE</t>
  </si>
  <si>
    <t>Software defect; Causal discovery; Defect proneness; Causal graph</t>
  </si>
  <si>
    <t>SOFTWARE; NETWORKS</t>
  </si>
  <si>
    <t>Explainable software defect prediction is practical for software quality assurance. However, it is hard to explain the predictions made by obscure machine learning models because of the lack of transparency and the unreliability of the explanations for such predictions from existing explanation methods. To provide a better understanding of the causes of defect proneness of code commits, we propose an approach called CausalDefect to construct a causal graph of defects, which provides a visual way to understand the causal relationships between different features of defects. Based on the transparent causal graph, software engineers can naturally predict defect proneness of code commits, explain the resulting predictions, and finally take feasible action to reduce defect proneness. To verify the usefulness of the generated causal graph, we conduct evaluations, and the evaluation results suggest that our causal graph can effectively and efficiently predict defect proneness of code commits and explain the resulting predictions, even if the graph is not optimized for specific software projects. Most importantly, CausalDefect is the first attempt to employ causal discovery algorithms to investigate the explainability of defect proneness by establishing a causal graph of software defects.</t>
  </si>
  <si>
    <t>[Hu, Yamin; Hu, Zongyao] Beijing Inst Technol, Sch Comp Sci &amp; Technol, Beijing 100081, Peoples R China; [Luo, Wenjian] Harbin Inst Technol, Sch Comp Sci &amp; Technol, Shenzhen 518000, Guangdong, Peoples R China</t>
  </si>
  <si>
    <t>Beijing Institute of Technology; Harbin Institute of Technology</t>
  </si>
  <si>
    <t>Luo, WJ (corresponding author), Harbin Inst Technol, Sch Comp Sci &amp; Technol, Shenzhen 518000, Guangdong, Peoples R China.</t>
  </si>
  <si>
    <t>ymhu@bit.edu.cn; luowenjian@hit.edu.cn; zyhu@bit.edu.cn</t>
  </si>
  <si>
    <t>Shi, Yaolin/JXN-8322-2024; zhang, lm/JWP-8874-2024</t>
  </si>
  <si>
    <t>PERGAMON-ELSEVIER SCIENCE LTD</t>
  </si>
  <si>
    <t>THE BOULEVARD, LANGFORD LANE, KIDLINGTON, OXFORD OX5 1GB, ENGLAND</t>
  </si>
  <si>
    <t>0952-1976</t>
  </si>
  <si>
    <t>1873-6769</t>
  </si>
  <si>
    <t>ENG APPL ARTIF INTEL</t>
  </si>
  <si>
    <t>Eng. Appl. Artif. Intell.</t>
  </si>
  <si>
    <t>AUG</t>
  </si>
  <si>
    <t>A</t>
  </si>
  <si>
    <t>Automation &amp; Control Systems; Computer Science, Artificial Intelligence; Engineering, Multidisciplinary; Engineering, Electrical &amp; Electronic</t>
  </si>
  <si>
    <t>I0EB6</t>
  </si>
  <si>
    <t>WOS:000999582000001</t>
  </si>
  <si>
    <t>Lee, JS; Kwon, KC; Cha, SD</t>
  </si>
  <si>
    <t>Software safety analysis of digital protection system requirements using a qualitative formal method</t>
  </si>
  <si>
    <t>NUCLEAR TECHNOLOGY</t>
  </si>
  <si>
    <t>software requirements; safety analysis; formal method</t>
  </si>
  <si>
    <t>The safety analysis of requirements is a key problem area in the development of software for the digital protection systems of a nuclear power plant. When specifying requirements for software of the digital protection systems and conducting safety analysis, engineers find that requirements are often known only in qualitative terms and that existing fault-tree analysis techniques provide little guidance on formulating and evaluating potential failure modes. A framework for the requirements engineering process is proposed that consists of a qualitative method for requirements specification, called the qualitative formal method (QFM), and a safety analysis method for the requirements based on causality information, called the causal requirements safety analysis (CRSA). CRSA is a technique that qualitatively evaluates causal relationships between software faults and physical hazards. This technique, extending the qualitative formal method process and utilizing information captured in the state trajectory, provides specific guidelines on how to identify failure modes and the relationship among them. The QFM and CRSA processes are described using shutdown system 2 of the Wolsong nuclear power plants as the digital protection system example.</t>
  </si>
  <si>
    <t>Korea Atom Energy Res Inst, MMIS Team, Taejon 305353, South Korea; Korea Adv Inst Sci &amp; Technol, Div Comp Sci, Dept EECE, Taejon 305701, South Korea; AITrc, Taejon 305701, South Korea</t>
  </si>
  <si>
    <t>Korea Atomic Energy Research Institute (KAERI); Korea Advanced Institute of Science &amp; Technology (KAIST); Korea Advanced Institute of Science &amp; Technology (KAIST)</t>
  </si>
  <si>
    <t>Lee, JS (corresponding author), Korea Atom Energy Res Inst, MMIS Team, 150 Duckjin Dong, Taejon 305353, South Korea.</t>
  </si>
  <si>
    <t>jslee@kaeri.re.kr</t>
  </si>
  <si>
    <t>0029-5450</t>
  </si>
  <si>
    <t>1943-7471</t>
  </si>
  <si>
    <t>NUCL TECHNOL</t>
  </si>
  <si>
    <t>Nucl. Technol.</t>
  </si>
  <si>
    <t>10.13182/NT04-A3528</t>
  </si>
  <si>
    <t>Nuclear Science &amp; Technology</t>
  </si>
  <si>
    <t>848WC</t>
  </si>
  <si>
    <t>WOS:000223497800006</t>
  </si>
  <si>
    <t>Fleming, CH; Leveson, NG</t>
  </si>
  <si>
    <t>Fleming, Cody H.; Leveson, Nancy G.</t>
  </si>
  <si>
    <t>IEEE TRANSACTIONS ON INTELLIGENT TRANSPORTATION SYSTEMS</t>
  </si>
  <si>
    <t>Safety analysis; automation; human-automation interaction; systems engineering</t>
  </si>
  <si>
    <t>As transportation systems become increasingly complex and the roles of human operators and autonomous software continue to evolve, traditional safety-related analytical methods are becoming inadequate. Traditional hazard analysis tools are based on an accident causality model that does not capture many of the complex behaviors found in modern engineered systems. Additionally, these traditional approaches are most effective during the late stages of system development, when detailed design information is available. However, system safety cannot be cost-effectively assured by discovering problems at these late stages and adding expensive updates to the design. Rather, safety should be designed into complex intelligent transportation systems from their very conception, which can be achieved by integrating powerful hazard analysis techniques into the general systems engineering process. The primary barrier to achieving this objective is the lack of effectiveness of the existing analytical tools during early concept development. This paper introduces a new technique, which is based on a systems- and control-theoretic model of accident causality that can capture behaviors that are prevalent in these complex software-intensive systems. The goals are to 1) develop rigorous systematic tools for the analysis of future concepts to identify potentially hazardous scenarios and undocumented assumptions and to 2) extend these tools to assist stakeholders in the development of concepts using a safety-driven approach. Current work focuses on air transportation, but future goals of this research are to extend to and generalize all modes of transportation.</t>
  </si>
  <si>
    <t>[Fleming, Cody H.] Univ Virginia, Dept Syst &amp; Informat Engn, Charlottesville, VA 22904 USA; [Leveson, Nancy G.] MIT, Dept Aeronaut &amp; Astronaut, Cambridge, MA 02139 USA</t>
  </si>
  <si>
    <t>University of Virginia; Massachusetts Institute of Technology (MIT)</t>
  </si>
  <si>
    <t>Fleming, CH (corresponding author), Univ Virginia, Dept Syst &amp; Informat Engn, Charlottesville, VA 22904 USA.</t>
  </si>
  <si>
    <t>NASA LEARN [NNX14AC71A]; NASA [NNX14AC71A, 686183] Funding Source: Federal RePORTER</t>
  </si>
  <si>
    <t>NASA LEARN; NASA(National Aeronautics &amp; Space Administration (NASA))</t>
  </si>
  <si>
    <t>This work was supported by NASA LEARN under Grant NNX14AC71A.</t>
  </si>
  <si>
    <t>1524-9050</t>
  </si>
  <si>
    <t>1558-0016</t>
  </si>
  <si>
    <t>IEEE T INTELL TRANSP</t>
  </si>
  <si>
    <t>IEEE Trans. Intell. Transp. Syst.</t>
  </si>
  <si>
    <t>Engineering, Civil; Engineering, Electrical &amp; Electronic; Transportation Science &amp; Technology</t>
  </si>
  <si>
    <t>Engineering; Transportation</t>
  </si>
  <si>
    <t>EE1LW</t>
  </si>
  <si>
    <t>WOS:000389344200015</t>
  </si>
  <si>
    <t>Davidson, MA</t>
  </si>
  <si>
    <t>Davidson, Mary Ann</t>
  </si>
  <si>
    <t>The Good, The Bad, And The Ugly: Stepping on the Security Scale</t>
  </si>
  <si>
    <t>25TH ANNUAL COMPUTER SECURITY APPLICATIONS CONFERENCE</t>
  </si>
  <si>
    <t>25th Annual Computer Security Applications Conference</t>
  </si>
  <si>
    <t>DEC 07-11, 2009</t>
  </si>
  <si>
    <t>Honolulu, HI</t>
  </si>
  <si>
    <t>Appl Comp Secur Assoc</t>
  </si>
  <si>
    <t>security metrics; vulnerability handling; software assurance</t>
  </si>
  <si>
    <t>Metrics are both fashionable and timely: many regulations that affect cybersecurity rely upon metrics - albeit, of the checklist variety in many cases - to ascertain compliance. However, there are far more effective uses of security metrics than external compliance exercises. The most effective use of security metrics is to manage better, which may include: Make a business case for needed change Focus scarce resource on most pressing problems (with the biggest payoff for resolution) Help spot problems early - or successes early Address outside concerns or criticisms fairly and objectively A successful security metric should: Motivate good/correct behavior (not promote evasive tactics just to make the numbers look good) Prompt additional questions (Why? How?) to understand what is influencing the numbers Answer basic questions of goodness (e.g., Are we doing better or worse?) Be objective and measurable, even if correlation may not equal causality This paper explores the qualities of good security metrics and their application in security vulnerability handling as well as a software assurance program.</t>
  </si>
  <si>
    <t>Oracle Corp, Redwood Shores, CA 94065 USA</t>
  </si>
  <si>
    <t>Oracle</t>
  </si>
  <si>
    <t>Davidson, MA (corresponding author), Oracle Corp, Redwood Shores, CA 94065 USA.</t>
  </si>
  <si>
    <t>mary.ann.davidson@oracle.com</t>
  </si>
  <si>
    <t>978-0-7695-3919-5</t>
  </si>
  <si>
    <t>BVC13</t>
  </si>
  <si>
    <t>WOS:000291011300018</t>
  </si>
  <si>
    <t>Liu, YC; Mattos, DI; Bosch, J; Olsson, HH; Lantz, J</t>
  </si>
  <si>
    <t>Liu, Yuchu; Mattos, David Issa; Bosch, Jan; Olsson, Helena Holmstrom; Lantz, Jonn</t>
  </si>
  <si>
    <t>2021 28TH ASIA-PACIFIC SOFTWARE ENGINEERING CONFERENCE (APSEC 2021)</t>
  </si>
  <si>
    <t>Asia-Pacific Software Engineering Conference</t>
  </si>
  <si>
    <t>28th Asia-Pacific Software Engineering Conference (APSEC)</t>
  </si>
  <si>
    <t>DEC 06-09, 2021</t>
  </si>
  <si>
    <t>Minist Sci &amp; Technol,Taipei Med Univ,Acad Sinica,Foxconn Technol Grp,PremiumSoft</t>
  </si>
  <si>
    <t>Automotive Software; Bayesian Propensity Score Matching; Causal Inference; Data-driven Software Development; Online Experiment</t>
  </si>
  <si>
    <t>SELECTION</t>
  </si>
  <si>
    <t>Randomised field experiments, such as A/B testing, have long been the gold standard for evaluating the value that new software brings to customers. However, running randomised field experiments is not always desired, possible or even ethical in the development of automotive embedded software. In the face of such restrictions, we propose the use of the Bayesian propensity score matching technique for causal inference of observational studies in the automotive domain. In this paper, we present a method based on the Bayesian propensity score matching framework, applied in the unique setting of automotive software engineering. This method is used to generate balanced control and treatment groups from an observational online evaluation and estimate causal treatment effects from the software changes, even with limited samples in the treatment group. We exemplify the method with a proof-of-concept in the automotive domain. In the example, we have a larger control (N-c = 1100) fleet of cars using the current software and a small treatment fleet (N-t = 38), in which we introduce a new software variant. We demonstrate a scenario that shipping of a new software to all users is restricted, as a result, a fully randomised experiment could not be conducted. Therefore, we utilised the Bayesian propensity score matching method with 14 observed covariates as inputs. The results show more balanced groups, suitable for estimating causal treatment effects from the collected observational data. We describe the method in detail and share our configuration. Furthermore, we discuss how can such a method be used for online evaluation of new software utilising small groups of samples.</t>
  </si>
  <si>
    <t>[Liu, Yuchu; Lantz, Jonn] Volvo Cars, Gothenburg, Sweden; [Mattos, David Issa; Bosch, Jan] Chalmers Univ Technol, Comp Sci &amp; Engn, Gothenburg, Sweden; [Olsson, Helena Holmstrom] Malmo Univ, Comp Sci &amp; Media Technol, Malmo, Sweden</t>
  </si>
  <si>
    <t>Volvo; Chalmers University of Technology; Malmo University</t>
  </si>
  <si>
    <t>Liu, YC (corresponding author), Volvo Cars, Gothenburg, Sweden.</t>
  </si>
  <si>
    <t>yuchu.liu@volvocars.com; davidis@chalmers.se; jan.bosch@chalmers.se; helena.holmstrom.olsson@mau.se; jonn.lantz@volvocars.com</t>
  </si>
  <si>
    <t>Olsson, Helena H/H-2193-2014</t>
  </si>
  <si>
    <t>Volvo Cars; Swedish Strategic vehicle research and innovation programme (FFI); Wallenberg AI Autonomous Systems and Software Program (WASP) - Knut and Alice Wallenberg Fundation; Software Center</t>
  </si>
  <si>
    <t>This work is supported by Volvo Cars, by the Swedish Strategic vehicle research and innovation programme (FFI), by the Wallenberg AI Autonomous Systems and Software Program (WASP) funded by the Knut and Alice Wallenberg Fundation and by the Software Center.</t>
  </si>
  <si>
    <t>1530-1362</t>
  </si>
  <si>
    <t>978-1-6654-3784-4</t>
  </si>
  <si>
    <t>ASIA PAC SOFWR ENG</t>
  </si>
  <si>
    <t>BT1SQ</t>
  </si>
  <si>
    <t>WOS:000802192700024</t>
  </si>
  <si>
    <t>Nguyen, B; Whitmore, LS; George, A; Hudson, CM</t>
  </si>
  <si>
    <t>Nguyen, Bernard; Whitmore, Leanne S.; George, Anthe; Hudson, Corey M.</t>
  </si>
  <si>
    <t>STATISTICAL ANALYSIS AND DATA MINING</t>
  </si>
  <si>
    <t>Bayesian networks; causal inference; feature selection; QSPR</t>
  </si>
  <si>
    <t>RANDOM FOREST; COUNTERFACTUALS; RELEVANCE</t>
  </si>
  <si>
    <t>In-silico screening of novel biofuel molecules based on chemical and fuel properties is a critical first step in the biofuel evaluation process due to the significant volumes of samples required for experimental testing, the destructive nature of engine tests, and the costs associated with bench-scale synthesis of novel fuels. Predictive models are limited by training sets of few existing measurements, often containing similar classes of molecules that represent just a subset of the potential molecular fuel space. Software tools can be used to generate every possible molecular descriptor for use as input features, but most of these features are largely irrelevant and training models on datasets with higher dimensionality than size tends to yield poor predictive performance. Feature selection has been shown to improve machine learning models, but correlation-based feature selection fails to provide scientific insight into the underlying mechanisms that determine structure-property relationships. The implementation of causal discovery in feature selection could potentially inform the biofuel design process while also improving model prediction accuracy and robustness to new data. In this study, we investigate the benefits causal-based feature selection might have on both model performance and identification of key molecular substructures. We found that causal-based feature selection performed on par with alternative filtration methods, and that a structural causal model provides valuable scientific insights into the relationships between molecular substructures and fuel properties.</t>
  </si>
  <si>
    <t>[Nguyen, Bernard; Whitmore, Leanne S.; George, Anthe; Hudson, Corey M.] Sandia Natl Labs, Livermore, CA 94551 USA; [Whitmore, Leanne S.] Univ Washington, Dept Immunol, Seattle, WA 98195 USA</t>
  </si>
  <si>
    <t>United States Department of Energy (DOE); Sandia National Laboratories; University of Washington; University of Washington Seattle</t>
  </si>
  <si>
    <t>Nguyen, B (corresponding author), Sandia Natl Labs, Livermore, CA 94551 USA.</t>
  </si>
  <si>
    <t>bernguy@sandia.gov</t>
  </si>
  <si>
    <t>Hudson, Corey/0000-0003-4796-538X</t>
  </si>
  <si>
    <t>U.S. Department of Energy [DE-NA0003525]; Sandia National Laboratories [SAND2020-7171C]; Bioenergy Technologies Office; Office of Energy Efficiency and Renewable Energy</t>
  </si>
  <si>
    <t>U.S. Department of Energy(United States Department of Energy (DOE)); Sandia National Laboratories(United States Department of Energy (DOE)); Bioenergy Technologies Office; Office of Energy Efficiency and Renewable Energy(United States Department of Energy (DOE))</t>
  </si>
  <si>
    <t>U.S. Department of Energy, Grant/Award Number: DE-NA0003525; Sandia National Laboratories, Grant/Award Number: SAND2020-7171C; Bioenergy Technologies Office; Office of Energy Efficiency and Renewable Energy</t>
  </si>
  <si>
    <t>1932-1864</t>
  </si>
  <si>
    <t>1932-1872</t>
  </si>
  <si>
    <t>STAT ANAL DATA MIN</t>
  </si>
  <si>
    <t>Stat. Anal. Data Min.</t>
  </si>
  <si>
    <t>Computer Science, Artificial Intelligence; Computer Science, Interdisciplinary Applications; Statistics &amp; Probability</t>
  </si>
  <si>
    <t>Computer Science; Mathematics</t>
  </si>
  <si>
    <t>WV1AE</t>
  </si>
  <si>
    <t>WOS:000648984100001</t>
  </si>
  <si>
    <t>Yan, RJ; Zhu, D; Zhang, F; Lv, YQ; Yang, JJ; Huang, K</t>
  </si>
  <si>
    <t>Havelund, K; Peleska, J; Roscoe, B; DeVink, E</t>
  </si>
  <si>
    <t>Yan, Rongjie; Zhu, Di; Zhang, Fan; Lv, Yiqi; Yang, Junjie; Huang, Kai</t>
  </si>
  <si>
    <t>Resource-Aware Design for Reliable Autonomous Applications with Multiple Periods</t>
  </si>
  <si>
    <t>FORMAL METHODS</t>
  </si>
  <si>
    <t>22nd International Symposium on Formal Methods (FM) held as Part of the Federated Logic Conference (FloC)</t>
  </si>
  <si>
    <t>JUL 15-17, 2018</t>
  </si>
  <si>
    <t>Oxford, ENGLAND</t>
  </si>
  <si>
    <t>Oxford Univ, Comp Sci Dept,Springer,Diffblue</t>
  </si>
  <si>
    <t>CONTROL-SYSTEMS</t>
  </si>
  <si>
    <t>Reliability is the most important design issue for current autonomous vehicles. How to guarantee reliability and reduce hardware cost is key for the design of such complex control systems intertwined with scenario-related multi-period timing behaviors. The paper presents a reliability and resource-aware design framework for embedded implementation of such autonomous applications, where each scenario may have its own timing constraints. The constraints are formalized with the consideration of different redundancy based fault-tolerant techniques and software to hardware allocation choices, which capture the static and various causality relations of such systems. Both exact and heuristic-based methods have been implemented to derive the lower bound of hardware usage, in terms of processor, for the given reliability requirement. The case study on a realistic autonomous vehicle controller demonstrates the effectiveness and feasibility of the framework.</t>
  </si>
  <si>
    <t>[Yan, Rongjie; Zhang, Fan; Lv, Yiqi] ISCAS, State Key Lab Comp Sci, Beijing, Peoples R China; [Zhang, Fan; Lv, Yiqi] Univ Chinese Acad Sci, Beijing, Peoples R China; [Zhu, Di; Yang, Junjie; Huang, Kai] Sun Yat Sen Univ, Key Lab Machine Intelligence &amp; Adv Comp, Minist Educ, Guangzhou, Guangdong, Peoples R China; [Zhu, Di; Yang, Junjie; Huang, Kai] Sun Yat Sen Univ, Sch Data &amp; Comp Sci, Guangzhou, Guangdong, Peoples R China</t>
  </si>
  <si>
    <t>Chinese Academy of Sciences; Institute of Software, CAS; Chinese Academy of Sciences; University of Chinese Academy of Sciences, CAS; Sun Yat Sen University; Sun Yat Sen University</t>
  </si>
  <si>
    <t>Huang, K (corresponding author), Sun Yat Sen Univ, Key Lab Machine Intelligence &amp; Adv Comp, Minist Educ, Guangzhou, Guangdong, Peoples R China.;Huang, K (corresponding author), Sun Yat Sen Univ, Sch Data &amp; Comp Sci, Guangzhou, Guangdong, Peoples R China.</t>
  </si>
  <si>
    <t>yrj@ios.ac.cn; zhud5@mail2.sysu.edu.cn; zhangf@ios.ac.cn; lvyq@ios.ac.cn; yangjj27@mail2.sysu.edu.cn; huangk36@mail.sysu.edu.cn</t>
  </si>
  <si>
    <t>li, jixiang/JXN-7599-2024; Huang, Kai/JVO-5066-2024</t>
  </si>
  <si>
    <t>Yang, Junjie/0000-0001-7856-8120</t>
  </si>
  <si>
    <t>National Key Basic Research (973) Program of China [2014CB340701]; Key Research Program of Frontier Sciences, CAS [QYZDJ-SSW-JSC036]; National Science Foundation of China [U1435220, U1711265]; Fundamental Research Funds for the Central Universities [17lgjc40]; CAS-INRIA [GJHZ1844]</t>
  </si>
  <si>
    <t>National Key Basic Research (973) Program of China(National Basic Research Program of China); Key Research Program of Frontier Sciences, CAS; National Science Foundation of China(National Natural Science Foundation of China (NSFC)); Fundamental Research Funds for the Central Universities(Fundamental Research Funds for the Central Universities); CAS-INRIA</t>
  </si>
  <si>
    <t>This work has been partly funded by the National Key Basic Research (973) Program of China under Grant No. 2014CB340701, Key Research Program of Frontier Sciences, CAS, under Grant No. QYZDJ-SSW-JSC036, the CAS-INRIA major project under No. GJHZ1844, the National Science Foundation of China under Grant No. U1435220, No. U1711265, and the Fundamental Research Funds for the Central Universities under grant No. 17lgjc40.</t>
  </si>
  <si>
    <t>978-3-319-95582-7; 978-3-319-95581-0</t>
  </si>
  <si>
    <t>BN9RW</t>
  </si>
  <si>
    <t>WOS:000489765800017</t>
  </si>
  <si>
    <t>Friedberg, R; Tibshirani, J; Athey, S; Wager, S</t>
  </si>
  <si>
    <t>Friedberg, Rina; Tibshirani, Julie; Athey, Susan; Wager, Stefan</t>
  </si>
  <si>
    <t>Local Linear Forests</t>
  </si>
  <si>
    <t>JOURNAL OF COMPUTATIONAL AND GRAPHICAL STATISTICS</t>
  </si>
  <si>
    <t>Asymptotic normality; Heterogeneous treatment effect; Smoothing and nonparametric regression</t>
  </si>
  <si>
    <t>WEIGHTED REGRESSION; CLASSIFICATION; JACKKNIFE</t>
  </si>
  <si>
    <t>Random forests are a powerful method for nonparametric regression, but are limited in their ability to fit smooth signals. Taking the perspective of random forests as an adaptive kernel method, we pair the forest kernel with a local linear regression adjustment to better capture smoothness. The resulting procedure, local linear forests, enables us to improve on asymptotic rates of convergence for random forests with smooth signals, and provides substantial gains in accuracy on both real and simulated data. We prove a central limit theorem valid under regularity conditions on the forest and smoothness constraints, and propose a computationally efficient construction for confidence intervals. Moving to a causal inference application, we discuss the merits of local regression adjustments for heterogeneous treatment effect estimation, and give an example on a dataset exploring the effect word choice has on attitudes to the social safety net. Last, we include simulation results on real and generated data. A software implementation is available in the R package grf. for this article are available online.</t>
  </si>
  <si>
    <t>[Friedberg, Rina] Stanford Univ, Dept Stat, Stanford, CA 94305 USA; [Tibshirani, Julie] Elastic NV, Mountain View, CA USA; [Athey, Susan; Wager, Stefan] Stanford Univ, Grad Sch Business, Stanford, CA 94305 USA</t>
  </si>
  <si>
    <t>Stanford University; Stanford University</t>
  </si>
  <si>
    <t>Friedberg, R (corresponding author), Stanford Univ, Dept Stat, Stanford, CA 94305 USA.</t>
  </si>
  <si>
    <t>rinafriedberg@gmail.com</t>
  </si>
  <si>
    <t>Athey, Susan/0000-0001-6934-562X</t>
  </si>
  <si>
    <t>DoD, Air Force Office of Scientific Research, National Defense Science and Engineering Graduate (NDSEG) Fellowship [32 CFR 168a]; Sloan Foundation; ONR [N00014-17-1-2131]; NSF [DMS-1916163]; Facebook Faculty Award</t>
  </si>
  <si>
    <t>DoD, Air Force Office of Scientific Research, National Defense Science and Engineering Graduate (NDSEG) Fellowship; Sloan Foundation(Alfred P. Sloan Foundation); ONR(United States Department of DefenseUnited States NavyOffice of Naval Research); NSF(National Science Foundation (NSF)); Facebook Faculty Award(Facebook Inc)</t>
  </si>
  <si>
    <t>R.F. was supported by the DoD, Air Force Office of Scientific Research, National Defense Science and Engineering Graduate (NDSEG) Fellowship, 32 CFR 168a. The authors also gratefully acknowledge support by the Sloan Foundation, ONR grant N00014-17-1-2131, and NSF grant DMS-1916163. S.W. was supported by a Facebook Faculty Award.</t>
  </si>
  <si>
    <t>1061-8600</t>
  </si>
  <si>
    <t>1537-2715</t>
  </si>
  <si>
    <t>J COMPUT GRAPH STAT</t>
  </si>
  <si>
    <t>J. Comput. Graph. Stat.</t>
  </si>
  <si>
    <t>NOV 10</t>
  </si>
  <si>
    <t>10.1080/10618600.2020.1831930</t>
  </si>
  <si>
    <t>NOV 2020</t>
  </si>
  <si>
    <t>SP1WW</t>
  </si>
  <si>
    <t>WOS:000588170300001</t>
  </si>
  <si>
    <t>Chersan, IC; Robu, IB; Mironiuc, M; Carp, M</t>
  </si>
  <si>
    <t>Soliman, KS</t>
  </si>
  <si>
    <t>Chersan, Ionela-Corina; Robu, Ioan-Bogdan; Mironiuc, Marilena; Carp, Mihai</t>
  </si>
  <si>
    <t>Analysis Of The Determinants Of The Audit Fees Within The NYSE-Quoted Companies. Empirical Evidence On Circular Causality</t>
  </si>
  <si>
    <t>CREATING GLOBAL COMPETITIVE ECONOMIES: A 360-DEGREE APPROACH, VOLS 1-4</t>
  </si>
  <si>
    <t>17th International-Business-Information-Management-Association Conference</t>
  </si>
  <si>
    <t>NOV 14-15, 2011</t>
  </si>
  <si>
    <t>Milan, ITALY</t>
  </si>
  <si>
    <t>Int Business Informat Management Assoc</t>
  </si>
  <si>
    <t>audit fees; financial performance; influence factors; circular causalities; linear regression analysis; ANOVA</t>
  </si>
  <si>
    <t>FREE CASH FLOW; NONAUDIT SERVICES; CORPORATE GOVERNANCE; BUSINESS RISK; AGENCY COSTS; MARKET; PERCEPTIONS; SIZE; FIRM</t>
  </si>
  <si>
    <t>This study aims to investigate the determinants of the audit fees within the NYSE-quoted companies. Our objective is to prove the existence of a circular causality in the connection between audit fees and the financial performance of a NYSE-quoted company. The analysis is based on a sample of the first 100 companies (NYSE quoted) of the Top 500 Fortune, except for the companies in the investment funds and insurances field. In order to test and validate the work hypotheses (H-1: the level of the audit fees is mainly influenced by the company's capacity to continue its activity; H-2: the prestige of the audited company contributes to the decrease of the audit fees; H-3: the reduced fees level, paid by the customer audited by one of the Big4 companies in this exercise, contributes to the future prestige increase), the linear regression analysis (simple and multiple) and the variance analysis (ANOVA) have been used as methods of data analysis. As a result of hypothesis testing it was found a circular causality, bidirectional, on the level of the relationship between audit fees and financial performance. The statistical software programs SPSS 19.0 and AMOS 16.0 have been used for data processing.</t>
  </si>
  <si>
    <t>[Chersan, Ionela-Corina; Robu, Ioan-Bogdan; Mironiuc, Marilena; Carp, Mihai] Alexandru Ioan Cuza Univ, AL I CUZA, Iasi, Romania</t>
  </si>
  <si>
    <t>Alexandru Ioan Cuza University</t>
  </si>
  <si>
    <t>macov@uaic.ro; bogdan.robu@feaa.uaic.ro; marilena@uaic.ro; mihai.carp@feaa.uaic.ro</t>
  </si>
  <si>
    <t>Carp, Mihai/L-9910-2019; Chersan, Ionela-Corina/AAT-8442-2020; ROBU, Ioan-Bogdan/E-4230-2016; Marilena, Mironiuc M/I-2298-2014; Carp, Mihai/U-9035-2017</t>
  </si>
  <si>
    <t>Carp, Mihai/0000-0002-3455-3119; Chersan, Ionela-Corina/0000-0001-7566-415X; ROBU, Ioan-Bogdan/0000-0002-4067-7433; Carp, Mihai/0000-0002-3455-3119</t>
  </si>
  <si>
    <t>INT BUSINESS INFORMATION MANAGEMENT ASSOC-IBIMA</t>
  </si>
  <si>
    <t>NORRISTOWN</t>
  </si>
  <si>
    <t>34 E GERMANTOWN PIKE, NO. 327, NORRISTOWN, PA 19401 USA</t>
  </si>
  <si>
    <t>978-0-9821489-6-9</t>
  </si>
  <si>
    <t>Business; Economics; Management</t>
  </si>
  <si>
    <t>Conference Proceedings Citation Index - Social Science &amp; Humanities (CPCI-SSH)</t>
  </si>
  <si>
    <t>BEO28</t>
  </si>
  <si>
    <t>WOS:000317550001044</t>
  </si>
  <si>
    <t>Hess, S</t>
  </si>
  <si>
    <t>Hess, Simon</t>
  </si>
  <si>
    <t>Randomization inference with Stata: A guide and software</t>
  </si>
  <si>
    <t>STATA JOURNAL</t>
  </si>
  <si>
    <t>st0489; ritest; randomization inference; permutation tests; treatment effects; causal inference</t>
  </si>
  <si>
    <t>Randomization inference or permutation tests are only sporadically used in economics and other social sciences-this despite a steep increase in randomization in field and laboratory experiments that provide perfect experimental setups for applying randomization inference. In the context of causal inference, such tests can handle problems often faced by applied researchers, including issues arising in the context of small samples, stratified or clustered treatment assignments, or nonstandard randomization techniques. Standard statistical software packages have either no implementation of randomization tests or very basic implementations. Whenever researchers use randomization inference, they regularly code individual program routines, risking inconsistencies and coding mistakes. In this article, I show how randomization inference can best be conducted in Stata and introduce a new command, ritest, to simplify such analyses. I illustrate this approach's usefulness by replicating the results in Fujiwara and Wantchekon (2013, American Economic Journal: Applied Economics 5: 241-255) and running simulations. The applications cover clustered and stratified assignments, with varying cluster sizes, pairwise randomization, and the computation of nonapproximate p-values. The applications also touch upon joint hypothesis testing with randomization inference.</t>
  </si>
  <si>
    <t>[Hess, Simon] Goethe Univ Frankfurt Main, Fac Econ &amp; Business Adm, Frankfurt, Germany</t>
  </si>
  <si>
    <t>Goethe University Frankfurt</t>
  </si>
  <si>
    <t>Hess, S (corresponding author), Goethe Univ Frankfurt Main, Fac Econ &amp; Business Adm, Frankfurt, Germany.</t>
  </si>
  <si>
    <t>hess@econ.uni-frankfurt.de</t>
  </si>
  <si>
    <t>Hess, Simon/0000-0003-1776-0930</t>
  </si>
  <si>
    <t>SAGE PUBLICATIONS INC</t>
  </si>
  <si>
    <t>THOUSAND OAKS</t>
  </si>
  <si>
    <t>2455 TELLER RD, THOUSAND OAKS, CA 91320 USA</t>
  </si>
  <si>
    <t>1536-867X</t>
  </si>
  <si>
    <t>1536-8734</t>
  </si>
  <si>
    <t>STATA J</t>
  </si>
  <si>
    <t>Stata J.</t>
  </si>
  <si>
    <t>Social Sciences, Mathematical Methods; Statistics &amp; Probability</t>
  </si>
  <si>
    <t>Mathematical Methods In Social Sciences; Mathematics</t>
  </si>
  <si>
    <t>GP5ZQ</t>
  </si>
  <si>
    <t>WOS:000440956700006</t>
  </si>
  <si>
    <t>Galhotra, S; Brun, Y; Meliou, A</t>
  </si>
  <si>
    <t>Bodden, E; Schafer, W; VanDeursen, A; Zisman, A</t>
  </si>
  <si>
    <t>Galhotra, Sainyam; Brun, Yuriy; Meliou, Alexandra</t>
  </si>
  <si>
    <t>Fairness Testing: Testing Software for Discrimination</t>
  </si>
  <si>
    <t>ESEC/FSE 2017: PROCEEDINGS OF THE 2017 11TH JOINT MEETING ON FOUNDATIONS OF SOFTWARE ENGINEERING</t>
  </si>
  <si>
    <t>11th Joint Meeting of European Software Engineering Conference (ESEC) / ACM SIGSOFT Symposium on the Foundations of Software Engineering (FSE)</t>
  </si>
  <si>
    <t>SEP 04-08, 2017</t>
  </si>
  <si>
    <t>Paderborn, GERMANY</t>
  </si>
  <si>
    <t>Assoc Comp Machinery,ACM SIGSOFT</t>
  </si>
  <si>
    <t>Discrimination testing; fairness testing; software bias; testing</t>
  </si>
  <si>
    <t>RELIABILITY; CAUSALITY</t>
  </si>
  <si>
    <t>This paper defines software fairness and discrimination and develops a testing-based method for measuring if and how much software discriminates, focusing on causality in discriminatory behavior. Evidence of software discrimination has been found in modern software systems that recommend criminal sentences, grant access to financial products, and determine who is allowed to participate in promotions. Our approach, Themis, generates efficient test suites to measure discrimination. Given a schema describing valid system inputs, Themis generates discrimination tests automatically and does not require an oracle. We evaluate Themis on 20 software systems, 12 of which come from prior work with explicit focus on avoiding discrimination. We find that (1) Themis is effective at discovering software discrimination, (2) state-of-the-art techniques for removing discrimination from algorithms fail in many situations, at times discriminating against as much as 98% of an input subdomain, (3) Themis optimizations are effective at producing efficient test suites for measuring discrimination, and (4) Themis is more efficient on systems that exhibit more discrimination. We thus demonstrate that fairness testing is a critical aspect of the software development cycle in domains with possible discrimination and provide initial tools for measuring software discrimination.</t>
  </si>
  <si>
    <t>[Galhotra, Sainyam; Brun, Yuriy; Meliou, Alexandra] Univ Massachusetts, Amherst, MA 01003 USA</t>
  </si>
  <si>
    <t>Galhotra, S (corresponding author), Univ Massachusetts, Amherst, MA 01003 USA.</t>
  </si>
  <si>
    <t>sainyam@cs.umass.edu; brun@cs.umass.edu; ameli@cs.umass.edu</t>
  </si>
  <si>
    <t>Brun, Yuriy/0000-0003-3027-7986; Meliou, Alexandra/0000-0001-7346-6002</t>
  </si>
  <si>
    <t>National Science Foundation [CCF-1453474, IIS-1453543, CNS-1744471]; Division Of Computer and Network Systems; Direct For Computer &amp; Info Scie &amp; Enginr [1744471] Funding Source: National Science Foundation; Division of Computing and Communication Foundations; Direct For Computer &amp; Info Scie &amp; Enginr [1453474] Funding Source: National Science Foundation; Div Of Information &amp; Intelligent Systems; Direct For Computer &amp; Info Scie &amp; Enginr [1453543] Funding Source: National Science Foundation</t>
  </si>
  <si>
    <t>National Science Foundation(National Science Foundation (NSF)); Division Of Computer and Network Systems; Direct For Computer &amp; Info Scie &amp; Enginr(National Science Foundation (NSF)NSF - Directorate for Computer &amp; Information Science &amp; Engineering (CISE)); Division of Computing and Communication Foundations; Direct For Computer &amp; Info Scie &amp; Enginr(National Science Foundation (NSF)NSF - Directorate for Computer &amp; Information Science &amp; Engineering (CISE)); Div Of Information &amp; Intelligent Systems; Direct For Computer &amp; Info Scie &amp; Enginr(National Science Foundation (NSF)NSF - Directorate for Computer &amp; Information Science &amp; Engineering (CISE))</t>
  </si>
  <si>
    <t>This work is supported by the National Science Foundation under grants no. CCF-1453474, IIS-1453543, and CNS-1744471.</t>
  </si>
  <si>
    <t>978-1-4503-5105-8</t>
  </si>
  <si>
    <t>BI7IQ</t>
  </si>
  <si>
    <t>WOS:000414279300047</t>
  </si>
  <si>
    <t>Imai, K; Kim, IS; Wang, EH</t>
  </si>
  <si>
    <t>Imai, Kosuke; Kim, In Song; Wang, Erik H.</t>
  </si>
  <si>
    <t>Matching Methods for Causal Inference with Time-Series Cross-Sectional Data</t>
  </si>
  <si>
    <t>AMERICAN JOURNAL OF POLITICAL SCIENCE</t>
  </si>
  <si>
    <t>ESTIMATORS; COVARIATE; BOOTSTRAP; FAILURE; BALANCE; MODELS</t>
  </si>
  <si>
    <t>Matching methods improve the validity of causal inference by reducing model dependence and offering intuitive diagnostics. Although they have become a part of the standard tool kit across disciplines, matching methods are rarely used when analysing time-series cross-sectional data. We fill this methodological gap. In the proposed approach, we first match each treated observation with control observations from other units in the same time period that have an identical treatment history up to the prespecified number of lags. We use standard matching and weighting methods to further refine this matched set so that the treated and matched control observations have similar covariate values. Assessing the quality of matches is done by examining covariate balance. Finally, we estimate both short-term and long-term average treatment effects using the difference-in-differences estimator, accounting for a time trend. We illustrate the proposed methodology through simulation and empirical studies. An open-source software package is available for implementing the proposed methods.</t>
  </si>
  <si>
    <t>[Imai, Kosuke] Harvard Univ, Inst Quantitat Social Sci, Dept Govt, 1737 Cambridge St, Cambridge, MA 02138 USA; [Imai, Kosuke] Harvard Univ, Inst Quantitat Social Sci, Dept Stat, 1737 Cambridge St, Cambridge, MA 02138 USA; [Kim, In Song] MIT, Dept Polit Sci, 77 Massachusetts Ave E53-407, Cambridge, MA 02142 USA; [Wang, Erik H.] Australian Natl Univ ANU, Dept Polit &amp; Social Change, Hedley Bull Bldg,130 Garran Rd, Canberra, ACT 2600, Australia</t>
  </si>
  <si>
    <t>Harvard University; Harvard University; Massachusetts Institute of Technology (MIT); Australian National University</t>
  </si>
  <si>
    <t>Imai, K (corresponding author), Harvard Univ, Inst Quantitat Social Sci, Dept Govt, 1737 Cambridge St, Cambridge, MA 02138 USA.;Imai, K (corresponding author), Harvard Univ, Inst Quantitat Social Sci, Dept Stat, 1737 Cambridge St, Cambridge, MA 02138 USA.</t>
  </si>
  <si>
    <t>Imai@Harvard.Edu; insong@mit.edu; erik.wang@anu.edu.au</t>
  </si>
  <si>
    <t>Imai, Kosuke/B-7462-2008; Song, In/B-2895-2017</t>
  </si>
  <si>
    <t>Imai, Kosuke/0000-0002-2748-1022; Song, In/0000-0002-5774-1585</t>
  </si>
  <si>
    <t>Sloan Foundation [2020-13946]; FrenchNational Research Agency (ANR) under the Investments for the Future program (Investissements d'Avenir) [ANR-17-EURE-0010]</t>
  </si>
  <si>
    <t>Sloan Foundation(Alfred P. Sloan Foundation); FrenchNational Research Agency (ANR) under the Investments for the Future program (Investissements d'Avenir)(Agence Nationale de la Recherche (ANR))</t>
  </si>
  <si>
    <t>The methods described in this article can be implemented via an open-source statistical software package, PanelMatch: MatchingMethods for Causal Inference with Time-Series Cross-Sectional Data, available at https://CRAN.R-project.org/package=PanelMatch.We thank Adam Rauh for superb research assistance. Thanks also go to Neal Beck, Matt Blackwell, David Carlson, Robert Franzese, Paul Kellstedt, Anton Strezhnev, Vera Troeger, James Raymond Vreeland and Yiqing Xu who provided useful comments and feedback. Imai thanks the Sloan Foundation for partial support (Economics Program; 2020-13946). Wang acknowledges funding from the FrenchNational Research Agency (ANR) under the Investments for the Future program (Investissements d'Avenir, grant ANR-17-EURE-0010).</t>
  </si>
  <si>
    <t>0092-5853</t>
  </si>
  <si>
    <t>1540-5907</t>
  </si>
  <si>
    <t>AM J POLIT SCI</t>
  </si>
  <si>
    <t>Am. J. Polit. Sci.</t>
  </si>
  <si>
    <t>10.1111/ajps.12685</t>
  </si>
  <si>
    <t>DEC 2021</t>
  </si>
  <si>
    <t>Political Science</t>
  </si>
  <si>
    <t>Social Science Citation Index (SSCI)</t>
  </si>
  <si>
    <t>Government &amp; Law</t>
  </si>
  <si>
    <t>M8AP6</t>
  </si>
  <si>
    <t>WOS:000729138900001</t>
  </si>
  <si>
    <t>Sakic, E; Kellerer, W</t>
  </si>
  <si>
    <t>Sakic, Ermin; Kellerer, Wolfgang</t>
  </si>
  <si>
    <t>ICC 2019 - 2019 IEEE INTERNATIONAL CONFERENCE ON COMMUNICATIONS (ICC)</t>
  </si>
  <si>
    <t>IEEE International Conference on Communications (IEEE ICC)</t>
  </si>
  <si>
    <t>MAY 20-24, 2019</t>
  </si>
  <si>
    <t>Shanghai, PEOPLES R CHINA</t>
  </si>
  <si>
    <t>IEEE,China Mobile,Huawei,ZTE,Qualcomm,Oppo,Natl Instruments</t>
  </si>
  <si>
    <t>Distributed Software Defined Networking (SDN) controllers aim to solve the issue of single-point-of-failure and improve the scalability of the control plane. Byzantine and faulty controllers, however, may enforce incorrect configurations and thus endanger the control plane correctness. Multiple Byzantine Fault Tolerance (BFT) approaches relying on Replicated State Machine (RSM) execution have been proposed in the past to cater for this issue. The scalability of such solutions is, however, limited. Additionally, the interplay between progressing the state of the distributed controllers and the consistency of the external reconfigurations of the forwarding devices has not been thoroughly investigated. In this work, we propose an agreement-and-execution group-based approach to increase the overall throughput of a BFT-enabled distributed SDN control plane. We adapt a proven sequencing-based BFT protocol, and introduce two optimized BFT protocols that preserve the uniform agreement, causality and liveness properties. A state-hashing approach which ensures causally ordered switch reconfigurations is proposed, that enables an opportunistic RSM execution without relying on strict sequencing. The proposed designs are implemented and validated for two realistic topologies, a path computation application and a set of KPIs: switch reconfiguration (response) time, signaling overhead, and acceptance rates. We show a clear decrease in the system response time and communication overhead with the proposed models, compared to a state-of-the-art approach.</t>
  </si>
  <si>
    <t>[Sakic, Ermin; Kellerer, Wolfgang] Tech Univ Munich, Munich, Germany; [Sakic, Ermin] Siemens AG, Munich, Germany</t>
  </si>
  <si>
    <t>Technical University of Munich; Siemens AG; Siemens Germany</t>
  </si>
  <si>
    <t>Sakic, E (corresponding author), Tech Univ Munich, Munich, Germany.;Sakic, E (corresponding author), Siemens AG, Munich, Germany.</t>
  </si>
  <si>
    <t>ermin.sakic@tum.de; wolfgang.kellerer@tum.de</t>
  </si>
  <si>
    <t>Sakic, Ermin/AAA-5030-2020; Kellerer, Wolfgang/E-7271-2017</t>
  </si>
  <si>
    <t>Sakic, Ermin/0000-0002-7848-7731; Kellerer, Wolfgang/0000-0003-4358-8038</t>
  </si>
  <si>
    <t>European Union's Horizon 2020 research and innovation programme, SEMIOTICS [780315]; H2020 Societal Challenges Programme [780315] Funding Source: H2020 Societal Challenges Programme</t>
  </si>
  <si>
    <t>European Union's Horizon 2020 research and innovation programme, SEMIOTICS; H2020 Societal Challenges Programme(Horizon 2020European Union (EU)H2020 Societal Challenges Programme)</t>
  </si>
  <si>
    <t>This work has received funding from the European Union's Horizon 2020 research and innovation programme under grant agreement number 780315 SEMIOTICS. We are grateful to Nemanja Deric, Arled Papa, Johannes Riedl and the reviewers for their useful feedback and comments.</t>
  </si>
  <si>
    <t>1550-3607</t>
  </si>
  <si>
    <t>978-1-5386-8088-9</t>
  </si>
  <si>
    <t>IEEE ICC</t>
  </si>
  <si>
    <t>Engineering, Electrical &amp; Electronic; Telecommunications</t>
  </si>
  <si>
    <t>Engineering; Telecommunications</t>
  </si>
  <si>
    <t>BO0MA</t>
  </si>
  <si>
    <t>WOS:000492038805080</t>
  </si>
  <si>
    <t>Chu, YY; Huang, LJ; Zhang, QX; Liang, D</t>
  </si>
  <si>
    <t>Chu, Yan-yan; Huang, Lin-jun; Zhang, Qian-xi; Liang, Dong</t>
  </si>
  <si>
    <t>System Dynamic Analysis on Behavior-based Safety in an LNG Enterprise</t>
  </si>
  <si>
    <t>2014 7TH INTERNATIONAL CONFERENCE ON INTELLIGENT COMPUTATION TECHNOLOGY AND AUTOMATION (ICICTA)</t>
  </si>
  <si>
    <t>7th International Conference Intelligent Computation Technology Automation (ICICTA)</t>
  </si>
  <si>
    <t>OCT 25-26, 2014</t>
  </si>
  <si>
    <t>Changsha, PEOPLES R CHINA</t>
  </si>
  <si>
    <t>Cent S Univ,Shenzhen Res Inst,Natl Univ Def Technol,Dept Elect Sci &amp; Technol,Xian Commun Inst</t>
  </si>
  <si>
    <t>System dynamic; behavior-based safety; simulation</t>
  </si>
  <si>
    <t>Unsafe behavior of workers is the key cause of accidents in production. Behavior-based safety model has been developed to catch all aspects of workers' behavior safety to improve the enterprise safety level. To study the complex cause-effect relationship between the safety input and workers' behavior safety in the mining enterprise, questionnaire investigations have been adopted in the mining enterprise. And mutual or recursive causality to understand the dynamics of behavior safety system has been analyzed by the information feedback in the system dynamic simulation, which is in accordance with the results of the questionnaires. Using the system dynamics software, Vensim PLE 5.4b, simulation cases about the mining enterprise workers' safety behavior system have been made to show the process of workers' behavior safety improvement and different factor increments. It is proved that the developing tendency of safety level of the mining enterprise can be predicted by system dynamic simulation and simulation results can provide support for the making of decisions on safety input.</t>
  </si>
  <si>
    <t>[Chu, Yan-yan; Liang, Dong] Sun Yat Sen Univ, Sch Engn, Guangzhou 510006, Guangdong, Peoples R China; [Chu, Yan-yan; Liang, Dong] Guangdong Prov Key Lab Fire Sci &amp; Technol, Guangzhou 510006, Guangdong, Peoples R China; [Huang, Lin-jun] Sun Yet Sen Univ Carnegie Mellon Univ Joint Inst, Guangzhou 510006, Guangdong, Peoples R China</t>
  </si>
  <si>
    <t>Sun Yat Sen University</t>
  </si>
  <si>
    <t>Huang, LJ (corresponding author), Sun Yet Sen Univ Carnegie Mellon Univ Joint Inst, Guangzhou 510006, Guangdong, Peoples R China.</t>
  </si>
  <si>
    <t>teacherjean@163.com</t>
  </si>
  <si>
    <t>978-1-4799-6636-3</t>
  </si>
  <si>
    <t>BF2NN</t>
  </si>
  <si>
    <t>WOS:000380483200177</t>
  </si>
  <si>
    <t>Vásquez-Torres, MD; Salazar, AT; López, JGF</t>
  </si>
  <si>
    <t>Del Carmen Vasquez-Torres, Maria; Tavizon Salazar, Arturo; Flores Lopez, Jose Guadalupe</t>
  </si>
  <si>
    <t>Analysis of the impact of training on the performance of Small and Medium-sized enterprises in Northwest Mexico, by applying the Structural Equations Statistical Technique (SEM-PLS)</t>
  </si>
  <si>
    <t>MANAGEMENT-POLAND</t>
  </si>
  <si>
    <t>Training; Performance; Organization; SME; development</t>
  </si>
  <si>
    <t>Small and medium enterprises (SMEs) are fundamental to the economy of all countries, representing the majority, with a considerable contribution to GDP, as well as generating jobs; for this reason, it must seek to remain in the market. The objective is to analyze the impact of training on the organizational performance of SMEs in northwestern Mexico, applying the statistical technique of structural equations model (SEM-PLS); the research was conducted to 195, considering the commercial, industrial and services, is a quantitative study, descriptive, correlational, causal, using the statistical technique of structural equations with the SMART PLS 3.3.2 software, and not experimental cross-sectional. The alternative hypothesis is accepted, since training has an effect on the organizational performance of SMEs in northwestern Mexico. It is highly significant because there is very strong evidence of the causality of the mediating variable training on the organizational performance of SMEs with 99.9% reliability. Training has the greatest effect on organizational performance because each unit that increases training will have an effect of +0.453, being the variable with the greatest cause-effect impact on organizational performance in SMEs in northwestern Mexico.</t>
  </si>
  <si>
    <t>[Del Carmen Vasquez-Torres, Maria; Flores Lopez, Jose Guadalupe] Technol Inst Sonora, Dept Adm Sci, Obregon, Sonora, Mexico; [Tavizon Salazar, Arturo] Univ Autonoma Nuevo Leon, Fac Contaduria Publ &amp; Adm, San Nicolas De Los Garza, Nuevo Leon, Mexico</t>
  </si>
  <si>
    <t>Universidad Autonoma de Nuevo Leon</t>
  </si>
  <si>
    <t>Vásquez-Torres, MD (corresponding author), Technol Inst Sonora, Dept Adm Sci, Obregon, Sonora, Mexico.</t>
  </si>
  <si>
    <t>Flores López, José Guadalupe/AHA-3010-2022; Tavizon-Salazar, Arturo/H-1092-2011</t>
  </si>
  <si>
    <t>Flores López, José Guadalupe/0000-0002-6380-5135; Tavizon-Salazar, Arturo/0000-0003-4463-7276</t>
  </si>
  <si>
    <t>UNIV ZIELONA GORA PRESS</t>
  </si>
  <si>
    <t>ZIELONA GORA</t>
  </si>
  <si>
    <t>UL PODGORNA 50, ZIELONA GORA, 65-246, POLAND</t>
  </si>
  <si>
    <t>1429-9321</t>
  </si>
  <si>
    <t>2299-193X</t>
  </si>
  <si>
    <t>MANAGE-POL</t>
  </si>
  <si>
    <t>Manag.-Pol.</t>
  </si>
  <si>
    <t>10.2478/manment-2019-0060</t>
  </si>
  <si>
    <t>Management</t>
  </si>
  <si>
    <t>YV4RD</t>
  </si>
  <si>
    <t>gold, Green Submitted</t>
  </si>
  <si>
    <t>WOS:000752716200004</t>
  </si>
  <si>
    <t>Cotroneo, D; Frattini, F; Natella, R; Pietrantuono, R</t>
  </si>
  <si>
    <t>Cotroneo, Domenico; Frattini, Flavio; Natella, Roberto; Pietrantuono, Roberto</t>
  </si>
  <si>
    <t>Performance Degradation Analysis of a Supercomputer</t>
  </si>
  <si>
    <t>2013 IEEE INTERNATIONAL SYMPOSIUM ON SOFTWARE RELIABILITY ENGINEERING WORKSHOPS (ISSREW)</t>
  </si>
  <si>
    <t>IEEE 24th International Symposium on Software Reliability Engineering Workshops (ISSREW)</t>
  </si>
  <si>
    <t>NOV 04-07, 2013</t>
  </si>
  <si>
    <t>Pasadena, CA</t>
  </si>
  <si>
    <t>Software Aging; Software Rejuvenation; High Performance Computing; Trend Analysis; Granger Causality</t>
  </si>
  <si>
    <t>We analyze performance degradation phenomena due to software aging on a real supercomputer deployed at the Federico II University of Naples, by considering a dataset of ten months of operational usage. We adopted a statistical approach for identifying when and where the supercomputer experienced a performance degradation trend. The analysis pinpointed performance degradation trends that were actually caused by the gradual error accumulation within basic software of the supercomputer.</t>
  </si>
  <si>
    <t>[Cotroneo, Domenico; Frattini, Flavio; Natella, Roberto; Pietrantuono, Roberto] Univ Naples Federico II, Dipartimento Ingn Elettr &amp; Tecnol Informaz, Via Claudio 21, I-80125 Naples, Italy</t>
  </si>
  <si>
    <t>Cotroneo, D (corresponding author), Univ Naples Federico II, Dipartimento Ingn Elettr &amp; Tecnol Informaz, Via Claudio 21, I-80125 Naples, Italy.</t>
  </si>
  <si>
    <t>cotroneo@unina.it; flavio.frattini@unina.it; roberto.natella@unina.it; roberto.pietrantuono@unina.it</t>
  </si>
  <si>
    <t>Natella, Roberto/AAT-7087-2020</t>
  </si>
  <si>
    <t>Natella, Roberto/0000-0003-1084-4824; Pietrantuono, Roberto/0000-0003-2449-1724</t>
  </si>
  <si>
    <t>978-1-4799-2552-0</t>
  </si>
  <si>
    <t>BJU93</t>
  </si>
  <si>
    <t>WOS:000330639500059</t>
  </si>
  <si>
    <t>Oyama, K; Takeuchi, A; Fujimoto, H</t>
  </si>
  <si>
    <t>Oyama, Katsunori; Takeuchi, Atsushi; Fujimoto, Hiroshi</t>
  </si>
  <si>
    <t>30TH ANNUAL INTERNATIONAL COMPUTER SOFTWARE AND APPLICATIONS CONFERENCE, VOL 1, REGULAR PAPERS/PANELS, PROCEEDINGS</t>
  </si>
  <si>
    <t>Proceedings International Computer Software and Applications Conference</t>
  </si>
  <si>
    <t>30th Annual International Computer Software and Applications Conference</t>
  </si>
  <si>
    <t>SEP 17-21, 2006</t>
  </si>
  <si>
    <t>Chicago, IL</t>
  </si>
  <si>
    <t>In large-scale, real-time systems, the software design process is still highly dependent on the skills of the developers. To enable the efficient, speedy design of reliable software products, we require a means of conveying design decisions from experts to other engineers. Our approach involves the development of the Causality of Problem-Issue-Solution (CAPIS) model which can be used to represent experts' thought processes. The CAPIS model divides a thought process that includes complexity and diversity into Problems, Issues, and Solutions (PIS), and then describes conceptual models based on the knowledge hierarchy of Data, Information, Knowledge, and Wisdom. The PIS ontology is used to describe items in the conceptual models. This paper describes a software design method that is based on this CAPIS model. As an example, we consider the thought processes involved in building reliability into a UML class diagram.</t>
  </si>
  <si>
    <t>[Oyama, Katsunori; Takeuchi, Atsushi; Fujimoto, Hiroshi] Nihon Univ, Coll Engn, Grad Sch Comp Sci, 1 Nakagawara, Koriyama, Fukushima 9638642, Japan</t>
  </si>
  <si>
    <t>Nihon University</t>
  </si>
  <si>
    <t>Oyama, K (corresponding author), Nihon Univ, Coll Engn, Grad Sch Comp Sci, 1 Nakagawara, Koriyama, Fukushima 9638642, Japan.</t>
  </si>
  <si>
    <t>oyama@csse10.ce.nihon-u.ac.jp</t>
  </si>
  <si>
    <t>0730-3157</t>
  </si>
  <si>
    <t>0-7695-2655-1</t>
  </si>
  <si>
    <t>P INT COMP SOFTW APP</t>
  </si>
  <si>
    <t>BFF95</t>
  </si>
  <si>
    <t>WOS:000241643200049</t>
  </si>
  <si>
    <t>Lei, T; Yuanyuan, D</t>
  </si>
  <si>
    <t>Lei, Tong; Yuanyuan, Dou</t>
  </si>
  <si>
    <t>Simulation study of coal mine safety investment based on system dynamics</t>
  </si>
  <si>
    <t>INTERNATIONAL JOURNAL OF MINING SCIENCE AND TECHNOLOGY</t>
  </si>
  <si>
    <t>System dynamics; Coal mine; Safety investment; Cost of accident</t>
  </si>
  <si>
    <t>To generate dynamic planning for coal mine safety investment, this study applies system dynamics to decision-making, classifying safety investments by accident type. It validates the relationship between safety investments and accident cost, by structurally analyzing the causality between safety investments and their influence factors. Our simulation model, based on Vensim software, conducts simulation analysis on a series of actual data from a coalmine in Shanxi Province. Our results indicate a lag phase in safety investments, and that increasing pre-phase safety investment reduces accident costs. We found that a 24% increase in initial safety investment could help reach the target accident costs level 14 months earlier. Our simulation test included nine kinds of variation trends of accident costs brought by different investment ratios on accident prevention. We found an optimized ratio of accident prevention investments allowing a mine to reach accident cost goals 4 months earlier, without changing its total investment. (C) 2014 Published by Elsevier B.V. on behalf of China University of Mining &amp; Technology.</t>
  </si>
  <si>
    <t>[Lei, Tong; Yuanyuan, Dou] China Univ Min &amp; Technol, Sch Management, Beijing 100083, Peoples R China</t>
  </si>
  <si>
    <t>China University of Mining &amp; Technology</t>
  </si>
  <si>
    <t>Lei, T (corresponding author), China Univ Min &amp; Technol, Sch Management, Beijing 100083, Peoples R China.</t>
  </si>
  <si>
    <t>tonglei@cumtb.edu.cn</t>
  </si>
  <si>
    <t>National Natural Science Foundation of China [51174214]</t>
  </si>
  <si>
    <t>The author acknowledges financial support from the National Natural Science Foundation of China (No. 51174214).</t>
  </si>
  <si>
    <t>ELSEVIER SCIENCE BV</t>
  </si>
  <si>
    <t>PO BOX 211, 1000 AE AMSTERDAM, NETHERLANDS</t>
  </si>
  <si>
    <t>2095-2686</t>
  </si>
  <si>
    <t>2212-6066</t>
  </si>
  <si>
    <t>INT J MIN SCI TECHNO</t>
  </si>
  <si>
    <t>Int. J. Min. Sci. Technol.</t>
  </si>
  <si>
    <t>10.1016/j.ijmst.2014.01.010</t>
  </si>
  <si>
    <t>Mining &amp; Mineral Processing</t>
  </si>
  <si>
    <t>V6T8Y</t>
  </si>
  <si>
    <t>WOS:000420610700011</t>
  </si>
  <si>
    <t>Jerzak, CT; King, G; Strezhnev, A</t>
  </si>
  <si>
    <t>Jerzak, Connor T.; King, Gary; Strezhnev, Anton</t>
  </si>
  <si>
    <t>An Improved Method of Automated Nonparametric Content Analysis for Social Science</t>
  </si>
  <si>
    <t>POLITICAL ANALYSIS</t>
  </si>
  <si>
    <t>quantification; natural language processing; non-parametric statistics</t>
  </si>
  <si>
    <t>Some scholars build models to classify documents into chosen categories. Others, especially social scientists who tend to focus on population characteristics, instead usually estimate the proportion of documents in each category-using either parametric classify-and-count methods or direct nonparametric estimation of proportions without individual classification. Unfortunately, classify-and-count methods can be highly model-dependent or generate more bias in the proportions even as the percent of documents correctly classified increases. Direct estimation avoids these problems, but can suffer when the meaning of language changes between training and test sets or is too similar across categories. We develop an improved direct estimation approach without these issues by including and optimizing continuous text features, along with a form of matching adapted from the causal inference literature. Our approach substantially improves performance in a diverse collection of 73 datasets. We also offer easy-to-use software that implements all ideas discussed herein.</t>
  </si>
  <si>
    <t>[Jerzak, Connor T.] Harvard Univ, Dept Govt, 1737 Cambridge St, Cambridge, MA 02138 USA; [King, Gary] Harvard Univ, Inst Quantitat Social Sci, 1737 Cambridge St, Cambridge, MA 02138 USA; [Strezhnev, Anton] Univ Chicago, Dept Polit Sci, 5828 S Univ Ave, Chicago, IL 60637 USA</t>
  </si>
  <si>
    <t>Harvard University; Harvard University; University of Chicago</t>
  </si>
  <si>
    <t>King, G (corresponding author), Harvard Univ, Inst Quantitat Social Sci, 1737 Cambridge St, Cambridge, MA 02138 USA.</t>
  </si>
  <si>
    <t>cjerzak@g.harvard.edu; astrezhnev@uchicago.edu</t>
  </si>
  <si>
    <t>Jerzak, Connor/GLS-8725-2022; King, Gary/K-2179-2019</t>
  </si>
  <si>
    <t>Jerzak, Connor/0000-0003-1914-8905; King, Gary/0000-0002-5327-7631</t>
  </si>
  <si>
    <t>CAMBRIDGE UNIV PRESS</t>
  </si>
  <si>
    <t>EDINBURGH BLDG, SHAFTESBURY RD, CB2 8RU CAMBRIDGE, ENGLAND</t>
  </si>
  <si>
    <t>1047-1987</t>
  </si>
  <si>
    <t>1476-4989</t>
  </si>
  <si>
    <t>POLIT ANAL</t>
  </si>
  <si>
    <t>Polit. Anal.</t>
  </si>
  <si>
    <t>PII S104719872100036X</t>
  </si>
  <si>
    <t>10.1017/pan.2021.36</t>
  </si>
  <si>
    <t>JAN 2022</t>
  </si>
  <si>
    <t>7W0MK</t>
  </si>
  <si>
    <t>WOS:000740091200001</t>
  </si>
  <si>
    <t>Cliff, OM; Bryant, AG; Lizier, JT; Tsuchiya, N; Fulcher, BD</t>
  </si>
  <si>
    <t>Cliff, Oliver M.; Bryant, Annie G.; Lizier, Joseph T.; Tsuchiya, Naotsugu; Fulcher, Ben D.</t>
  </si>
  <si>
    <t>NATURE COMPUTATIONAL SCIENCE</t>
  </si>
  <si>
    <t>FRAMEWORK</t>
  </si>
  <si>
    <t>Scientists have developed hundreds of techniques to measure the interactions between pairs of processes in complex systems, but these computational methods-from contemporaneous correlation coefficients to causal inference methods-define and formulate interactions differently, using distinct quantitative theories that remain largely disconnected. Here we introduce a large assembled library of 237 statistics of pairwise interactions, and assess their behavior on 1,053 multivariate time series from a wide range of real-world and model-generated systems. Our analysis highlights commonalities between disparate mathematical formulations of interactions, providing a unified picture of a rich interdisciplinary literature. Using three real-world case studies, we then show that simultaneously leveraging diverse methods can uncover those most suitable for addressing a given problem, facilitating interpretable understanding of the quantitative formulation of pairwise dependencies that drive successful performance. Our results and accompanying software enable comprehensive analysis of time-series interactions by drawing on decades of diverse methodological contributions.</t>
  </si>
  <si>
    <t>[Cliff, Oliver M.; Bryant, Annie G.; Fulcher, Ben D.] Univ Sydney, Sch Phys, Camperdown, NSW, Australia; [Cliff, Oliver M.; Bryant, Annie G.; Lizier, Joseph T.; Fulcher, Ben D.] Univ Sydney, Ctr Complex Syst, Camperdown, NSW, Australia; [Lizier, Joseph T.] Univ Sydney, Sch Comp Sci, Camperdown, NSW, Australia; [Tsuchiya, Naotsugu] Monash Univ, Turner Inst Brain &amp; Mental Hlth, Fac Med Nursing &amp; Hlth Sci, Melbourne, Vic, Australia; [Tsuchiya, Naotsugu] Monash Univ, Sch Psychol Sci, Fac Med Nursing &amp; Hlth Sci, Melbourne, Vic, Australia; [Tsuchiya, Naotsugu] Natl Inst Informat &amp; Commun Technol NICT, Ctr Informat &amp; Neural Networks CiNet, Suita, Osaka, Japan; [Tsuchiya, Naotsugu] Adv Telecommun Res Computat Neurosci Labs, Seika Cho, Kyoto, Japan</t>
  </si>
  <si>
    <t>University of Sydney; University of Sydney; University of Sydney; Monash University; Monash University; National Institute of Information &amp; Communications Technology (NICT) - Japan</t>
  </si>
  <si>
    <t>Fulcher, BD (corresponding author), Univ Sydney, Sch Phys, Camperdown, NSW, Australia.;Fulcher, BD (corresponding author), Univ Sydney, Ctr Complex Syst, Camperdown, NSW, Australia.</t>
  </si>
  <si>
    <t>ben.fulcher@sydney.edu.au</t>
  </si>
  <si>
    <t>Fulcher, Ben/H-8733-2019; Lizier, Joseph/B-8093-2008</t>
  </si>
  <si>
    <t>Fulcher, Ben/0000-0002-3003-4055; Lizier, Joseph/0000-0002-9910-8972</t>
  </si>
  <si>
    <t>NHMRC Ideas Grant [1183280]; Japan Society for the Promotion of Science [20H05710, 23H04830, 23H04829]; Australian Government Research Training Program Scholarship; American Australian Association Graduate Education Fund Scholarship; University of Sydney Physics Foundation</t>
  </si>
  <si>
    <t>NHMRC Ideas Grant(National Health &amp; Medical Research Council (NHMRC) of Australia); Japan Society for the Promotion of Science(Ministry of Education, Culture, Sports, Science and Technology, Japan (MEXT)Japan Society for the Promotion of Science); Australian Government Research Training Program Scholarship(Australian GovernmentDepartment of Industry, Innovation and Science); American Australian Association Graduate Education Fund Scholarship; University of Sydney Physics Foundation</t>
  </si>
  <si>
    <t>O.M.C., N.T. and B.D.F. were supported by NHMRC Ideas Grant 1183280. N.T. was supported by by Japan Society for the Promotion of Science, Grant-in-Aid for Transformative Research Areas (20H05710, 23H04830, 23H04829). A.G.B. was supported by an Australian Government Research Training Program Scholarship, an American Australian Association Graduate Education Fund Scholarship, and the University of Sydney Physics Foundation. The funders had no role in study design, data collection and analysis, decision to publish or preparation of the paper. High-performance computing facilities provided by the School of Physics, the University of Sydney contributed to our results.</t>
  </si>
  <si>
    <t>SPRINGERNATURE</t>
  </si>
  <si>
    <t>CAMPUS, 4 CRINAN ST, LONDON, N1 9XW, ENGLAND</t>
  </si>
  <si>
    <t>2662-8457</t>
  </si>
  <si>
    <t>NAT COMPUT SCI</t>
  </si>
  <si>
    <t>Nat. Comput. Sci.</t>
  </si>
  <si>
    <t>Computer Science, Interdisciplinary Applications; Computer Science, Theory &amp; Methods; Multidisciplinary Sciences</t>
  </si>
  <si>
    <t>Computer Science; Science &amp; Technology - Other Topics</t>
  </si>
  <si>
    <t>X1JE2</t>
  </si>
  <si>
    <t>WOS:001096070500021</t>
  </si>
  <si>
    <t>Berta, P; Bossi, M; Verzillo, S</t>
  </si>
  <si>
    <t>Berta, Paolo; Bossi, Matteo; Verzillo, Stefano</t>
  </si>
  <si>
    <t>%CEM: a SAS macro to perform coarsened exact matching</t>
  </si>
  <si>
    <t>JOURNAL OF STATISTICAL COMPUTATION AND SIMULATION</t>
  </si>
  <si>
    <t>Coarsened exact matching; causal inference; SAS; matching frontier</t>
  </si>
  <si>
    <t>In this paper we introduce %CEM, a macro package allowing researchers to automatically perform coarsened exact matching (CEM) in SAS environment. CEM is a non-parametric matching method widely used by researchers to avoid the confounding influence of pre-treatment control variables to improve causal inference in quasi-experimental studies. %CEM introduces a completely automated process which allows SAS users to efficiently perform CEM in fields in which large data sets are common and where SAS is the most popular statistical tool. In addition, such a macro may be used to test several coarsening combinations of numeric variables. This option also provides a visual representation of thematching frontier, thus enabling researchers to select the optimal setting which takes into account both the L-1 imbalance and the percentage of matched units. The paper concludes with an empirical application comparing computational performance and results obtained using alternative available software (SAS, R and STATA) using multiple administrative data sets from a large regional database.</t>
  </si>
  <si>
    <t>[Berta, Paolo] Univ Milano Bicocca, Dept Stat &amp; Quantitat Methods, Milan, Italy; [Berta, Paolo; Bossi, Matteo; Verzillo, Stefano] Univ Milano Bicocca, CRISP Interuniv Res Ctr Publ Serv, Piazza Ateneo Nuovo 8, I-20126 Milan, Italy; [Verzillo, Stefano] Univ Milan, Dept Econ Management &amp; Quantitat Methods, Via Conservatorio 7, I-20122 Milan, Italy</t>
  </si>
  <si>
    <t>University of Milano-Bicocca; University of Milano-Bicocca; University of Milan</t>
  </si>
  <si>
    <t>Verzillo, S (corresponding author), Univ Milano Bicocca, CRISP Interuniv Res Ctr Publ Serv, Piazza Ateneo Nuovo 8, I-20126 Milan, Italy.;Verzillo, S (corresponding author), Univ Milan, Dept Econ Management &amp; Quantitat Methods, Via Conservatorio 7, I-20122 Milan, Italy.</t>
  </si>
  <si>
    <t>stefano.verzillo@unimi.it</t>
  </si>
  <si>
    <t>Berta, Paolo/0000-0003-0984-4288; VERZILLO, STEFANO/0000-0002-1895-8554</t>
  </si>
  <si>
    <t>TAYLOR &amp; FRANCIS LTD</t>
  </si>
  <si>
    <t>ABINGDON</t>
  </si>
  <si>
    <t>2-4 PARK SQUARE, MILTON PARK, ABINGDON OR14 4RN, OXON, ENGLAND</t>
  </si>
  <si>
    <t>0094-9655</t>
  </si>
  <si>
    <t>1563-5163</t>
  </si>
  <si>
    <t>J STAT COMPUT SIM</t>
  </si>
  <si>
    <t>J. Stat. Comput. Simul.</t>
  </si>
  <si>
    <t>10.1080/00949655.2016.1203433</t>
  </si>
  <si>
    <t>Computer Science, Interdisciplinary Applications; Statistics &amp; Probability</t>
  </si>
  <si>
    <t>ED2XX</t>
  </si>
  <si>
    <t>WOS:000388714600002</t>
  </si>
  <si>
    <t>Liu, J; Zhao, HW; Capone, V; Li, ZY; Wang, J; Luo, W</t>
  </si>
  <si>
    <t>Liu, Jing; Zhao, Huiwen; Capone, Vincenza; Li, Ziyi; Wang, Jing; Luo, Wen</t>
  </si>
  <si>
    <t>Validation of the Chinese Version of the Patient's Communication Perceived Self-Efficacy Scale (PCSS) in Outpatients After Total Hip Replacement</t>
  </si>
  <si>
    <t>PATIENT PREFERENCE AND ADHERENCE</t>
  </si>
  <si>
    <t>communication; self-efficacy; total hip replacement; validation</t>
  </si>
  <si>
    <t>COEFFICIENT ALPHA; COVARIANCE; CRITERIA</t>
  </si>
  <si>
    <t>Background: Among older people in the world, older patients' communication has become a public health issue of vital importance. Such communication could be improved by different interventions. However, a means of measuring patient's communication confidence in these measures has not been established in China. This study is aimed at translating and introducing the Patient's Communication Self-Efficacy Scale for communication between doctors and patients after total hip replacement. Method: (1) A questionnaire was completed after a consultation by 167 patients (mean age = 70.04 years; SD: 6.3 years; females/males: 94/73). Translation of the original English version PCSS into the Chinese; (2) Validation of the final Chinese version of the PCSS. Measurement indexes included item generation, reliability testing, construct validity and test-retest reliability. To actualize the above test, we used SPSS 19.0 software and LISREL 8.7. We build the Bayesian Network Model of the Chinese version of the PCSS and determined predictive variables. Result: Confirmatory factor analysis showed that the Chinese version of the PCSS has fit a three-dimensional model. Meanwhile, the Chinese version of the PCSS has high internal consistency (Cronbach's a coefficient 0.929) and test-retest reliability (Kappa coefficient 0.761). Analysis using Bayesian networks shows that the important predictors are education (0.4207), PEPPI 3(0.3951), and PCSS 1(0.1139). The connections between PCSS 3 and other variables do not indicate causality, conditional dependencies or inter-relatedness. Conclusion: This is the first study to validate the Chinese version of the PCSS in outpatients after total hip replacement. Our results confirmed that the Chinese version of the scale has high internal consistency, construct validity and test-retest reliability. And the patient-doctor interaction and education are important predictors of patient's communication self-efficacy.</t>
  </si>
  <si>
    <t>[Liu, Jing; Li, Ziyi; Wang, Jing] Tianjin Hosp, Traumat Orthoped Dept, Ward Hip Joint Surg 3, Tianjin, Peoples R China; [Zhao, Huiwen; Luo, Wen] Tianjin Hosp, Ward Joint Surg 2, 406 Jiefangnan Rd, Tianjin 300211, Peoples R China; [Capone, Vincenza] Univ Naples Federico II, Dept Humanities, Naples, Italy</t>
  </si>
  <si>
    <t>Luo, W (corresponding author), Tianjin Hosp, Ward Joint Surg 2, 406 Jiefangnan Rd, Tianjin 300211, Peoples R China.</t>
  </si>
  <si>
    <t>wl1984@yahoo.com</t>
  </si>
  <si>
    <t>Capone, Vincenza/KHU-4584-2024</t>
  </si>
  <si>
    <t>Capone, Vincenza/0000-0003-4401-3578; Luo, Wen/0000-0003-0702-9925</t>
  </si>
  <si>
    <t>Tianjin Academy of Nursing (TAN) [tjhlky2020YB01]</t>
  </si>
  <si>
    <t>Tianjin Academy of Nursing (TAN)</t>
  </si>
  <si>
    <t>This study was supported by the Tianjin Academy of Nursing (TAN) Grant-in-Aid for Scientific Research (No: tjhlky2020YB01; PI: Miss Huiwen Zhao).</t>
  </si>
  <si>
    <t>DOVE MEDICAL PRESS LTD</t>
  </si>
  <si>
    <t>ALBANY</t>
  </si>
  <si>
    <t>PO BOX 300-008, ALBANY, AUCKLAND 0752, NEW ZEALAND</t>
  </si>
  <si>
    <t>1177-889X</t>
  </si>
  <si>
    <t>PATIENT PREFER ADHER</t>
  </si>
  <si>
    <t>Patient Prefer. Adherence</t>
  </si>
  <si>
    <t>10.2147/PPA.S301670</t>
  </si>
  <si>
    <t>Medicine, General &amp; Internal</t>
  </si>
  <si>
    <t>General &amp; Internal Medicine</t>
  </si>
  <si>
    <t>RB9PT</t>
  </si>
  <si>
    <t>Green Submitted, Green Published, gold</t>
  </si>
  <si>
    <t>WOS:000632437600001</t>
  </si>
  <si>
    <t>Qin, XZ; Lee, W</t>
  </si>
  <si>
    <t>Vigna, G; Jonsson, E; Kruegel, C</t>
  </si>
  <si>
    <t>RECENT ADVANCES IN INTRUSION DETECTION, PROCEEDINGS</t>
  </si>
  <si>
    <t>Article; Proceedings Paper</t>
  </si>
  <si>
    <t>6th International Symposium on Recent Advances in Intrusion Detection</t>
  </si>
  <si>
    <t>SEP 08-10, 2003</t>
  </si>
  <si>
    <t>PITTSBURGH, PA</t>
  </si>
  <si>
    <t>CERT, CMU</t>
  </si>
  <si>
    <t>intrusion detection; alert correlation; attack scenario analysis; time series analysis</t>
  </si>
  <si>
    <t>With the increasingly widespread deployment of security mechanisms, such as firewalls, intrusion detection systems (IDSs), antivirus software and authentication services, the problem of alert analysis has become very important. The large amount of alerts can overwhelm security administrators and prevent them from adequately understanding and analyzing the security state of the network, and initiating appropriate response in a timely fashion. Recently, several approaches for alert correlation and attack scenario analysis have been proposed. However, these approaches all have limited capabilities in detecting new attack scenarios. In this paper, we study the problem of security alert correlation with an emphasis on attack scenario analysis. In our framework, we use clustering techniques to process low-level alert data into high-level aggregated alerts, and conduct causal analysis based on statistical tests to discover new relationships among attacks. Our statistical causality approach complements other approaches that use hard-coded prior knowledge for pattern matching. We perform a series of experiments to validate our method using DARPA's Grand Challenge Problem (GCP) datasets and the DEF CON 9 datasets. The results show that our approach can discover new patterns of attack relationships when the alerts of attacks are statistically correlated.</t>
  </si>
  <si>
    <t>Georgia Inst Technol, Coll Comp, Atlanta, GA 30332 USA</t>
  </si>
  <si>
    <t>Georgia Inst Technol, Coll Comp, Atlanta, GA 30332 USA.</t>
  </si>
  <si>
    <t>xinzhou@cc.gatech.edu; wenke@cc.gatech.edu</t>
  </si>
  <si>
    <t>SPRINGER-VERLAG BERLIN</t>
  </si>
  <si>
    <t>HEIDELBERGER PLATZ 3, D-14197 BERLIN, GERMANY</t>
  </si>
  <si>
    <t>3-540-40878-9</t>
  </si>
  <si>
    <t>Conference Proceedings Citation Index - Science (CPCI-S); Science Citation Index Expanded (SCI-EXPANDED)</t>
  </si>
  <si>
    <t>BX78S</t>
  </si>
  <si>
    <t>WOS:000186429400005</t>
  </si>
  <si>
    <t>Yin, KL; Du, QF; Qiu, J</t>
  </si>
  <si>
    <t>Yin, Kanglin; Du, Qingfeng; Qiu, Juan</t>
  </si>
  <si>
    <t>INTERNATIONAL JOURNAL OF WEB AND GRID SERVICES</t>
  </si>
  <si>
    <t>microservice; resilience; software risk analysis; causality search and inference</t>
  </si>
  <si>
    <t>The microservice architecture has already become the mainstream architecture pattern of web service applications in recent years. However, compared with traditional software architectures, the microservice architecture has a more sophisticated deployment structure, which makes it have to face more potential risks with greater diversity of fault symptoms. Microservice practitioners started to use the word 'resilience' to describe the capability of coping with different unexpected conditions. How to judge whether a system environment disruption is a risk of microservice resilience, and how to analyse resilience risks before the system is released, are the research questions in microservice development. As the practice of chaos engineering has solved the problem of resilience risk identification, this paper focuses on how to analyse identified resilience risks in microservice architecture systems, and a resilience risk analysis method is proposed. Based on performance monitoring data collected during chaos experiments, the analysis method uses the causality search algorithm to build causality graphs of performance indicators, and generates causality chains to system operators by the causality inference algorithm. The effectiveness of the proposed approach is proved by conducting a case study on a microservice architecture system.</t>
  </si>
  <si>
    <t>[Yin, Kanglin; Du, Qingfeng; Qiu, Juan] Tongji Univ, Sch Software Engn, 4800 Caoan Highway, Shanghai, Peoples R China</t>
  </si>
  <si>
    <t>Tongji University</t>
  </si>
  <si>
    <t>Du, QF (corresponding author), Tongji Univ, Sch Software Engn, 4800 Caoan Highway, Shanghai, Peoples R China.</t>
  </si>
  <si>
    <t>14_ykl@tongji.edu.cn; du_cloud@tongji.edu.cn; juan_qiu@tongji.edu.cn</t>
  </si>
  <si>
    <t>Du, Qing/HKN-6976-2023</t>
  </si>
  <si>
    <t>INDERSCIENCE ENTERPRISES LTD</t>
  </si>
  <si>
    <t>GENEVA</t>
  </si>
  <si>
    <t>WORLD TRADE CENTER BLDG, 29 ROUTE DE PRE-BOIS, CASE POSTALE 856, CH-1215 GENEVA, SWITZERLAND</t>
  </si>
  <si>
    <t>1741-1106</t>
  </si>
  <si>
    <t>1741-1114</t>
  </si>
  <si>
    <t>INT J WEB GRID SERV</t>
  </si>
  <si>
    <t>Int. J. Web Grid Serv.</t>
  </si>
  <si>
    <t>MP0RZ</t>
  </si>
  <si>
    <t>WOS:000551922200003</t>
  </si>
  <si>
    <t>Liu, JC; Gao, JH</t>
  </si>
  <si>
    <t>Liu, Jiachen; Gao, Junhui</t>
  </si>
  <si>
    <t>ICVISP 2019: PROCEEDINGS OF THE 3RD INTERNATIONAL CONFERENCE ON VISION, IMAGE AND SIGNAL PROCESSING</t>
  </si>
  <si>
    <t>3rd International Conference on Vision, Image and Signal Processing (ICVISP)</t>
  </si>
  <si>
    <t>AUG 26-28, 2019</t>
  </si>
  <si>
    <t>Conditional Causality Test; fMRI; Topological information</t>
  </si>
  <si>
    <t>Pairwise granger causality test, which detects the causal connectivity between two nodes in a graph, has been widely used in various fields since it was proposed by economist Granger in 1969. However, pairwise granger causality test has the drawback of generating false positive causality, which is an indirect causal influence between two nodes mediated through a third node. In 1984, Geweke proposed the conditional Granger causality model, which enabled the model to eliminate false positive causal connectivity and accurately identify the causal relationships between two nodes in a high-dimensional dataset. The Matlab software tool GCCA realizes the calculation of conditional causality. For a given network, GCCA finds out all the triangular causal relationships (X -&gt; Y, Y -&gt; Z, X -&gt; Z) and calculates the causality among all three nodes. However, it is not necessary to calculate among all the three-node combinations as there may not be significant causal connectivity between any given two nodes. In additional, the full calculation of conditional granger causality could be slow. Here, we proposed a new test named Fast Causal Connectivity Analysis (FCCA) as a fast and approximative test for causal connectivity. We compared the performance of GCCA and FCCA using a time series fMRI dataset and showed that FCCA has acceptable accuracy and theoretically faster run time.</t>
  </si>
  <si>
    <t>[Liu, Jiachen] Oberlin Coll, Dept Neurosci, Oberlin, OH 44074 USA; [Gao, Junhui] Biotecan Pharmaceut Co Ltd, Shanghai Zhangjiang Inst Med Innovat, Shanghai, Peoples R China</t>
  </si>
  <si>
    <t>University System of Ohio; Oberlin College</t>
  </si>
  <si>
    <t>Gao, JH (corresponding author), Biotecan Pharmaceut Co Ltd, Shanghai Zhangjiang Inst Med Innovat, Shanghai, Peoples R China.</t>
  </si>
  <si>
    <t>jliu2@oberlin.edu; jhgao68@163.com</t>
  </si>
  <si>
    <t>978-1-4503-7625-9</t>
  </si>
  <si>
    <t>Computer Science, Artificial Intelligence; Computer Science, Information Systems; Computer Science, Interdisciplinary Applications; Engineering, Electrical &amp; Electronic; Imaging Science &amp; Photographic Technology</t>
  </si>
  <si>
    <t>Computer Science; Engineering; Imaging Science &amp; Photographic Technology</t>
  </si>
  <si>
    <t>BR1EW</t>
  </si>
  <si>
    <t>WOS:000631898400040</t>
  </si>
  <si>
    <t>Wei, FF; Feng, NP; Evans, RD; Zhao, RX; Yang, SL</t>
  </si>
  <si>
    <t>Wei, Fenfen; Feng, Nanping; Evans, Richard David; Zhao, Ruxiang; Yang, Shanlin</t>
  </si>
  <si>
    <t>IEEE TRANSACTIONS ON ENGINEERING MANAGEMENT</t>
  </si>
  <si>
    <t>Technological innovation; Collaboration; Software; Ecosystems; Symbiosis; Government; Personnel; Collaborative mode; exploitation; exploration; fuzzy-set qualitative comparative analysis (fsQCA); innovation ambidexterity; software ecosystems (SECOs)</t>
  </si>
  <si>
    <t>BALANCING EXPLORATION; EXPLOITATION; AMBIDEXTERITY; QUALITY; IMPACT</t>
  </si>
  <si>
    <t>Firm survival in dynamic software markets depends on collaboration with ecosystem complementors and exploitative and/or explorative innovation. Such activities have been widely accepted as crucial antecedents for collaboration success, but few studies have analyzed the configurational effects of collaborative modes effect on firm performance. Based on a sample of 224 software firms and fuzzy set qualitative comparative analysis, results show that four causal configurations equivalently explain high innovation performance, in which exploitation, exploration, and collaboration with academic and governmental institutes are proven to be core causal conditions. Theoretically, this article contributes to the literature on collaborative innovation in terms of causality research and collaborative pathways but also enriches the literature on software ecosystems regarding partnerships and collaborative processes. Practical guidance and flexible choices for software firms to achieve high innovation performance are provided by offering four equivalent configurations.</t>
  </si>
  <si>
    <t>[Wei, Fenfen; Feng, Nanping; Zhao, Ruxiang; Yang, Shanlin] Hefei Univ Technol, Sch Management, Hefei 230009, Peoples R China; [Feng, Nanping; Yang, Shanlin] Minist Educ, Key Lab Proc Optimizat &amp; Intelligent Decis Making, Hefei 230009, Peoples R China; [Feng, Nanping; Yang, Shanlin] Minist Educ, Engn Res Ctr Intelligent Decis Making &amp; Informa T, Hefei 230009, Peoples R China; [Evans, Richard David] Brunel Univ London, Coll Engn Design &amp; Phys Sci, Uxbridge UB8 3PH, Middx, England</t>
  </si>
  <si>
    <t>Hefei University of Technology; Brunel University</t>
  </si>
  <si>
    <t>Feng, NP (corresponding author), Hefei Univ Technol, Sch Management, Hefei 230009, Peoples R China.</t>
  </si>
  <si>
    <t>fen@mail.hfut.edu.cn; fengnp@hfut.edu.cn; richard.evans@brunel.ac.uk; zhaoruxiang@mail.hfut.edu.cn; yangsl@hfutedu.cn</t>
  </si>
  <si>
    <t>FENG, NAN/HGD-3255-2022; Wei, Fenfen/AAU-4412-2021</t>
  </si>
  <si>
    <t>Wei, Fenfen/0000-0002-1796-4266; Feng, Nanping/0000-0003-4711-8906; Evans, Richard/0000-0001-6367-0560</t>
  </si>
  <si>
    <t>National Natural Science Foundation of China [71690230, 71571060, 71622003]; Cultivation Program in Philosophy and Social Sciences of the Hefei University of Technology [JS2018HGXJ0059]; China Scholarship Council [202006690009]</t>
  </si>
  <si>
    <t>National Natural Science Foundation of China(National Natural Science Foundation of China (NSFC)); Cultivation Program in Philosophy and Social Sciences of the Hefei University of Technology; China Scholarship Council(China Scholarship Council)</t>
  </si>
  <si>
    <t>This work was supported in part by the National Natural Science Foundation of China under Grant 71690230, Grant 71571060, and Grant 71622003, in part by the Cultivation Program in Philosophy and Social Sciences of the Hefei University of Technology under Grant JS2018HGXJ0059, and in part by the China Scholarship Council under Grant 202006690009.</t>
  </si>
  <si>
    <t>0018-9391</t>
  </si>
  <si>
    <t>1558-0040</t>
  </si>
  <si>
    <t>IEEE T ENG MANAGE</t>
  </si>
  <si>
    <t>IEEE Trans. Eng. Manage.</t>
  </si>
  <si>
    <t>SEP 2021</t>
  </si>
  <si>
    <t>Business; Engineering, Industrial; Management</t>
  </si>
  <si>
    <t>Business &amp; Economics; Engineering</t>
  </si>
  <si>
    <t>5Y1MO</t>
  </si>
  <si>
    <t>WOS:000732671700001</t>
  </si>
  <si>
    <t>Santos, A; Cunha, A; Macedo, N</t>
  </si>
  <si>
    <t>Kaindl, H; Mannion, M; Maciaszek, L</t>
  </si>
  <si>
    <t>Santos, Andre; Cunha, Alcino; Macedo, Nuno</t>
  </si>
  <si>
    <t>ENASE: PROCEEDINGS OF THE 17TH INTERNATIONAL CONFERENCE ON EVALUATION OF NOVEL APPROACHES TO SOFTWARE ENGINEERING</t>
  </si>
  <si>
    <t>17th International Conference on Evaluation of Novel Approaches to Software Engineering (ENASE)</t>
  </si>
  <si>
    <t>APR 25-26, 2022</t>
  </si>
  <si>
    <t>INSTICC</t>
  </si>
  <si>
    <t>Software Testing; Formal Specifications; Specification-based Testing; Property-based Testing.</t>
  </si>
  <si>
    <t>Effective testing of message-oriented software requires describing the expected behaviour of the system and the causality relations between messages. This is often achieved with formal specifications based on temporal logics that require both first-order and metric temporal constructs - to specify constraints over data and real time. This paper proposes a technique to automatically generate tests for metric first-order temporal specifications that match well-understood specification patterns. Our approach takes in properties in a high-level specification language and identifies test schemas (strategies) that are likely to falsify the property. Schemas correspond to abstract classes of execution traces, that can be refined by introducing assumptions about the system. At the low level, concrete traces are successively produced for each schema using property-based testing principles. We instantiate this approach for a popular robotic middleware, ROS, and evaluate it on two systems, showing that schema-based test generation is effective for message-oriented software.</t>
  </si>
  <si>
    <t>[Santos, Andre] IVORTEX CoLab, Vila Nova De Gaia, Portugal; [Santos, Andre; Cunha, Alcino] INESC TEC, High Assurance Software Lab, Braga, Portugal; [Santos, Andre; Cunha, Alcino] Univ Minho, Braga, Portugal; [Macedo, Nuno] INESC TEC, High Assurance Software Lab, Porto, Portugal; [Macedo, Nuno] Univ Porto, Porto, Portugal</t>
  </si>
  <si>
    <t>INESC TEC; Universidade do Minho; INESC TEC; Universidade do Porto</t>
  </si>
  <si>
    <t>Santos, A (corresponding author), IVORTEX CoLab, Vila Nova De Gaia, Portugal.;Santos, A (corresponding author), INESC TEC, High Assurance Software Lab, Braga, Portugal.;Santos, A (corresponding author), Univ Minho, Braga, Portugal.</t>
  </si>
  <si>
    <t>Macedo, Nuno/A-1539-2013; Cunha, Alcino/I-4104-2015</t>
  </si>
  <si>
    <t>Macedo, Nuno/0000-0002-4817-948X; Cunha, Alcino/0000-0002-2714-8027; Santos, Andre/0000-0002-1985-8264</t>
  </si>
  <si>
    <t>ERDF -European Regional Development Fund through the Operational Programme for Competitiveness and Internationalisation -COMPETE 2020 Programme - Portuguese funding agency, FCT -Fundacao para a Ciencia e a Tecnologia [PTDC/CCIINF/29583/2017 (POCI-01-0145-FEDER-029583)]; STEROID -Verification and Validation of ADAS Components for Intelligent Vehicles of the Future from the European Union Financial Support (FEDER) - Norte's Regional Operational Programme (NORTE 2020) through the European Social Fund (ESF) [69989, NORTE-06-3559-FSE-000046]</t>
  </si>
  <si>
    <t>ERDF -European Regional Development Fund through the Operational Programme for Competitiveness and Internationalisation -COMPETE 2020 Programme - Portuguese funding agency, FCT -Fundacao para a Ciencia e a Tecnologia; STEROID -Verification and Validation of ADAS Components for Intelligent Vehicles of the Future from the European Union Financial Support (FEDER) - Norte's Regional Operational Programme (NORTE 2020) through the European Social Fund (ESF)</t>
  </si>
  <si>
    <t>The research leading to these results has received funding support from the projects: ERDF -European Regional Development Fund through the Operational Programme for Competitiveness and Internationalisation -COMPETE 2020 Programme; project PTDC/CCIINF/29583/2017 (POCI-01-0145-FEDER-029583) financed by National Funds through the Portuguese funding agency, FCT -Fundacao para a Ciencia e a Tecnologia; STEROID -Verification and Validation of ADAS Components for Intelligent Vehicles of the Future from the European Union Financial Support (FEDER) under grant agreement No. 69989; and NORTE-06-3559-FSE-000046 -Emprego altamente qualificado nas empresas -Contratacao de Recursos Humanos Altamente Qualificados (PME ou CoLAB) financed by the Norte's Regional Operational Programme (NORTE 2020) through the European Social Fund (ESF).</t>
  </si>
  <si>
    <t>SCITEPRESS</t>
  </si>
  <si>
    <t>SETUBAL</t>
  </si>
  <si>
    <t>AV D MANUELL, 27A 2 ESQ, SETUBAL, 2910-595, PORTUGAL</t>
  </si>
  <si>
    <t>978-989-758-568-5</t>
  </si>
  <si>
    <t>BT2WN</t>
  </si>
  <si>
    <t>Green Submitted, hybrid</t>
  </si>
  <si>
    <t>WOS:000814765400002</t>
  </si>
  <si>
    <t>Jin, F; Zhao, J; Han, ZY; Wang, W</t>
  </si>
  <si>
    <t>Jin, Feng; Zhao, Jun; Han, Zhongyang; Wang, Wei</t>
  </si>
  <si>
    <t>CONTROL ENGINEERING PRACTICE</t>
  </si>
  <si>
    <t>Steel industry; Byproduct gases; Causal interval reasoning; Joint scheduling</t>
  </si>
  <si>
    <t>PARAMETER OPTIMIZATION; LSSVM MODEL; PREDICTION; ALGORITHM; SYSTEM; PLANT</t>
  </si>
  <si>
    <t>Reasonable scheduling of the byproduct gases produced during steel making procedure is of significance to steel industry because it is helpful to save energy resources, raise economic profit, alleviate the environment pollution and ensure the safety of the production process. In this study, a causal-interval-reasoning (CIR)-based joint scheduling method is proposed for scheduling the multiple categories of byproduct gases. A causal reasoning model is constructed here to predict the gas tank level, in which not only a number of influence factors (i.e., the gas users) on the gas tanks but also the mutual influence of the online tanks are considered. The upper and lower limits of the prediction intervals (PIs) of each gas tank level are constructed based on the granularity partition of the samples and a particle swarm optimization is designed to determine the parameters of granularity. In order for the balance of the whole byproduct gas system, a four-layer causal network is established, in which the operational statuses of boilers, the heat quantity, the steam demand and the gas mixture proportion are all well involved. To further optimize the scheduling solutions, an evaluation index is accordingly proposed. The practical data coming from a steel plant are employed for the validation data experiments, and the human experience based approaches considering only one single category of gas are also conducted as comparable studies so as to indicate the superior performance of the proposed method. For the practical application, a scheduling software system is consequently developed and implemented based on the proposed method, which has been applied in this steel plant for more than 1 year.</t>
  </si>
  <si>
    <t>[Jin, Feng; Zhao, Jun; Han, Zhongyang; Wang, Wei] Dalian Univ Technol, Sch Control Sci &amp; Engn, Dalian, Peoples R China</t>
  </si>
  <si>
    <t>Dalian University of Technology</t>
  </si>
  <si>
    <t>Zhao, J (corresponding author), Dalian Univ Technol, Sch Control Sci &amp; Engn, Dalian, Peoples R China.</t>
  </si>
  <si>
    <t>zhaoj@dlut.edu.cn</t>
  </si>
  <si>
    <t>National Key R&amp;D Program of China [2017YFA0700300]; National Natural Sciences Foundation of China [61522304, 61533005, U1560102]; Fundamental Research Funds for the Central Universities [DUT17ZD231]</t>
  </si>
  <si>
    <t>National Key R&amp;D Program of China; National Natural Sciences Foundation of China(National Natural Science Foundation of China (NSFC)); Fundamental Research Funds for the Central Universities(Fundamental Research Funds for the Central Universities)</t>
  </si>
  <si>
    <t>This work was supported by the National Key R&amp;D Program of China under Grant 2017YFA0700300, the National Natural Sciences Foundation of China under Grant 61522304, Grant 61533005 and Grant U1560102, and the Fundamental Research Funds for the Central Universities under Grant DUT17ZD231.</t>
  </si>
  <si>
    <t>0967-0661</t>
  </si>
  <si>
    <t>1873-6939</t>
  </si>
  <si>
    <t>CONTROL ENG PRACT</t>
  </si>
  <si>
    <t>Control Eng. Practice</t>
  </si>
  <si>
    <t>Automation &amp; Control Systems; Engineering, Electrical &amp; Electronic</t>
  </si>
  <si>
    <t>Automation &amp; Control Systems; Engineering</t>
  </si>
  <si>
    <t>GX1NH</t>
  </si>
  <si>
    <t>WOS:000447483500016</t>
  </si>
  <si>
    <t>Shi, XJ; Gu, HB; Yao, B</t>
  </si>
  <si>
    <t>Shi, Xiaojuan; Gu, Huabei; Yao, Bing</t>
  </si>
  <si>
    <t>IEEE SENSORS JOURNAL</t>
  </si>
  <si>
    <t>Fault diagnosis; Bayes methods; Fault trees; Coal mining; Circuit faults; Cognition; Analytical models; Coal mine drainage system; fault diagnosis; fault tree (FT); fuzzy Bayesian network (FBN); modeling and inference</t>
  </si>
  <si>
    <t>With the increase of the structure and function of the coal mine drainage system, there is often a strong coupling relationship between the faults of each component, which brings some difficulties to the fault diagnosis of the system. The existing fault diagnosis methods of coal mine drainage system do not consider the integrity of the system and are only suitable for fault diagnosis of component parts. Combining the advantages of fault tree (FT) and Bayesian network (BN), the fault diagnosis method of BN based on FT is proposed and its description ability, interpret ability, and reasoning are improved. Aiming at the uncertainty of correlation strength between faults and symptoms of coal mine drainage system, fuzzy set theory (FST) is introduced into BN. The conditional probabilities between nodes are determined by the fuzzy algorithm. The system-level fault diagnosis model based on fuzzy BN (FBN) is constructed according to the mapping relationship between the FT and the BN. The causal inference and diagnosis analysis of mine drainage system are carried out by modeling and inference software. Taking the fault diagnosis of the coal mine drainage system in Shaanxi province as engineering application example, the coal mine drainage monitoring and fault diagnosis system are developed based on DSP and PC, and the feasibility and accuracy of the fault diagnosis model are verified. The results show that the average diagnosis accuracy of the FBN model is 83.5%, which is 10.3% higher than the traditional BN model.</t>
  </si>
  <si>
    <t>[Shi, Xiaojuan; Gu, Huabei; Yao, Bing] Xian Univ Sci &amp; Technol, Sch Mech Engn, Xian 710054, Peoples R China; [Shi, Xiaojuan; Gu, Huabei; Yao, Bing] Shaanxi Key Lab Mine Elect Equipment Intelligent, Xian 710054, Peoples R China</t>
  </si>
  <si>
    <t>Xi'an University of Science &amp; Technology</t>
  </si>
  <si>
    <t>Shi, XJ (corresponding author), Xian Univ Sci &amp; Technol, Sch Mech Engn, Xian 710054, Peoples R China.;Shi, XJ (corresponding author), Shaanxi Key Lab Mine Elect Equipment Intelligent, Xian 710054, Peoples R China.</t>
  </si>
  <si>
    <t>xiaoshi0705@hotmail.com; 2889032226@qq.com; yb13972457859@163.com</t>
  </si>
  <si>
    <t>Key Research and Development Plan Project of Shaanxi Province [2018GY-010]</t>
  </si>
  <si>
    <t>Key Research and Development Plan Project of Shaanxi Province</t>
  </si>
  <si>
    <t>This work was supported by the Key Research and Development Plan Project of Shaanxi Province under Grant 2018GY-010.</t>
  </si>
  <si>
    <t>1530-437X</t>
  </si>
  <si>
    <t>1558-1748</t>
  </si>
  <si>
    <t>IEEE SENS J</t>
  </si>
  <si>
    <t>IEEE Sens. J.</t>
  </si>
  <si>
    <t>MAR 15</t>
  </si>
  <si>
    <t>Engineering, Electrical &amp; Electronic; Instruments &amp; Instrumentation; Physics, Applied</t>
  </si>
  <si>
    <t>Engineering; Instruments &amp; Instrumentation; Physics</t>
  </si>
  <si>
    <t>NA3H1</t>
  </si>
  <si>
    <t>WOS:001197673400034</t>
  </si>
  <si>
    <t>Mychaleckyj, JC; Noble, JA; Moonsamy, PV; Carlson, JA; Varney, MD; Post, J; Helmberg, W; Pierce, JJ; Bonella, P; Fear, AL; Lavant, E; Louey, A; Boyle, S; Lane, JA; Sali, P; Kim, S; Rappner, R; Williams, DT; Perdue, LH; Reboussin, DM; Tait, BD; Akolkar, B; Hilner, JE; Steffes, MW; Erlich, HA</t>
  </si>
  <si>
    <t>Mychaleckyj, Josyf C.; Noble, Janelle A.; Moonsamy, Priscilla V.; Carlson, Joyce A.; Varney, Michael D.; Post, Jeff; Helmberg, Wolfgang; Pierce, June J.; Bonella, Persia; Fear, Anna Lisa; Lavant, Eva; Louey, Anthony; Boyle, Sean; Lane, Julie A.; Sali, Paul; Kim, Samuel; Rappner, Rebecca; Williams, Dustin T.; Perdue, Letitia H.; Reboussin, David M.; Tait, Brian D.; Akolkar, Beena; Hilner, Joan E.; Steffes, Michael W.; Erlich, Henry A.</t>
  </si>
  <si>
    <t>T1DGC</t>
  </si>
  <si>
    <t>HLA genotyping in the international Type 1 Diabetes Genetics Consortium</t>
  </si>
  <si>
    <t>CLINICAL TRIALS</t>
  </si>
  <si>
    <t>MULTIPLEX FAMILIES; SUSCEPTIBILITY; LINKAGE; MELLITUS; GENES; LOCI</t>
  </si>
  <si>
    <t>Background Although human leukocyte antigen (HLA) DQ and DR loci appear to confer the strongest genetic risk for type 1 diabetes, more detailed information is required for other loci within the HLA region to understand causality and stratify additional risk factors. The Type 1 Diabetes Genetics Consortium (T1DGC) study design included high-resolution genotyping of HLA-A, B, C, DRB1, DQ, and DP loci in all affected sibling pair and trio families, and cases and controls, recruited from four networks worldwide, for analysis with clinical phenotypes and immunological markers. Purpose In this article, we present the operational strategy of training, classification, reporting, and quality control of HLA genotyping in four laboratories on three continents over nearly 5 years. Methods Methods to standardize HLA genotyping at eight loci included: central training and initial certification testing; the use of uniform reagents, protocols, instrumentation, and software versions; an automated data transfer; and the use of standardized nomenclature and allele databases. We implemented a rigorous and consistent quality control process, reinforced by repeated workshops, yearly meetings, and telephone conferences. Results A total of 15,246 samples have been HLA genotyped at eight loci to four-digit resolution; an additional 6797 samples have been HLA genotyped at two loci. The genotyping repeat rate decreased significantly over time, with an estimated unresolved Mendelian inconsistency rate of 0.21%. Annual quality control exercises tested 2192 genotypes (4384 alleles) and achieved 99.82% intra-laboratory and 99.68% inter-laboratory concordances. Limitations The chosen genotyping platform was unable to distinguish many allele combinations, which would require further multiple stepwise testing to resolve. For these combinations, a standard allele assignment was agreed upon, allowing further analysis if required. Conclusions High-resolution HLA genotyping can be performed in multiple laboratories using standard equipment, reagents, protocols, software, and communication to produce consistent and reproducible data with minimal systematic error. Many of the strategies used in this study are generally applicable to other large multi-center studies. Clinical Trials 2010; 7: S75-S87. http://ctj.sagepub.com.</t>
  </si>
  <si>
    <t>[Moonsamy, Priscilla V.; Post, Jeff; Bonella, Persia; Boyle, Sean; Sali, Paul; Kim, Samuel; Erlich, Henry A.] Roche Mol Syst Inc, Pleasanton, CA 94588 USA; [Mychaleckyj, Josyf C.] Univ Virginia, Ctr Publ Hlth Gen, Charlottesville, VA USA; [Noble, Janelle A.; Fear, Anna Lisa; Lane, Julie A.; Erlich, Henry A.] Childrens Hosp Oakland Res Inst, Oakland, CA USA; [Carlson, Joyce A.; Rappner, Rebecca] Univ Hosp MAS, Malmo, Sweden; [Varney, Michael D.; Louey, Anthony; Tait, Brian D.] Australian Red Cross Blood Serv, VTIS, Melbourne, Vic, Australia; [Helmberg, Wolfgang] Med Univ, Dept Blood Grp Serol &amp; Transfus Med, Graz, Austria; [Pierce, June J.; Williams, Dustin T.; Perdue, Letitia H.; Reboussin, David M.] Wake Forest Univ Hlth Sci, Div Publ Hlth Sci, Winston Salem, NC USA; [Akolkar, Beena] NIDDK, Div Diabet Endocrinol &amp; Metab Dis, NIH, Bethesda, MD USA; [Hilner, Joan E.] Univ Alabama, Sch Publ Hlth, Dept Biostat, Birmingham, AL 35294 USA; [Steffes, Michael W.] Univ Minnesota, Sch Med, Dept Lab Med &amp; Pathol, Minneapolis, MN 55455 USA</t>
  </si>
  <si>
    <t>Roche Holding; University of Virginia; Children's Hospital Oakland Research Institute; University of California System; University of California San Francisco; UCSF Medical Center; UCSF Benioff Children's Hospital Oakland; Lund University; Skane University Hospital; Australian Red Cross Blood Service; Medical University of Graz; Wake Forest University; Wake Forest University School of Medicine; National Institutes of Health (NIH) - USA; NIH National Institute of Diabetes &amp; Digestive &amp; Kidney Diseases (NIDDK); University of Alabama System; University of Alabama Birmingham; University of Minnesota System; University of Minnesota Twin Cities</t>
  </si>
  <si>
    <t>Erlich, HA (corresponding author), Roche Mol Syst Inc, 4300 Hacienda Dr, Pleasanton, CA 94588 USA.</t>
  </si>
  <si>
    <t>henry.erlich@roche.com</t>
  </si>
  <si>
    <t>Ferry, Robert/O-6107-2016; Roep, Bart/AAD-7609-2021</t>
  </si>
  <si>
    <t>Roep, Bart O./0000-0002-3110-7391</t>
  </si>
  <si>
    <t>National Institute of Diabetes and Digestive and Kidney Diseases (NIDDK); National Institute of Allergy and Infectious Diseases (NIAID); National Human Genome Research Institute (NHGRI); National Institute of Child Health and Human Development (NICHD); Juvenile Diabetes Research Foundation International (JDRF); [U01 DK062418]</t>
  </si>
  <si>
    <t>National Institute of Diabetes and Digestive and Kidney Diseases (NIDDK)(United States Department of Health &amp; Human ServicesNational Institutes of Health (NIH) - USANIH National Institute of Diabetes &amp; Digestive &amp; Kidney Diseases (NIDDK)); National Institute of Allergy and Infectious Diseases (NIAID)(United States Department of Health &amp; Human ServicesNational Institutes of Health (NIH) - USANIH National Institute of Allergy &amp; Infectious Diseases (NIAID)); National Human Genome Research Institute (NHGRI)(United States Department of Health &amp; Human ServicesNational Institutes of Health (NIH) - USANIH National Human Genome Research Institute (NHGRI)); National Institute of Child Health and Human Development (NICHD)(United States Department of Health &amp; Human ServicesNational Institutes of Health (NIH) - USANIH Eunice Kennedy Shriver National Institute of Child Health &amp; Human Development (NICHD)); Juvenile Diabetes Research Foundation International (JDRF)(Juvenile Diabetes Research Foundation);</t>
  </si>
  <si>
    <t>This research uses resources provided by the Type 1 Diabetes Genetics Consortium, a collaborative clinical study sponsored by the National Institute of Diabetes and Digestive and Kidney Diseases (NIDDK), National Institute of Allergy and Infectious Diseases (NIAID), National Human Genome Research Institute (NHGRI), National Institute of Child Health and Human Development (NICHD), and Juvenile Diabetes Research Foundation International (JDRF) and is supported by U01 DK062418.</t>
  </si>
  <si>
    <t>1740-7745</t>
  </si>
  <si>
    <t>CLIN TRIALS</t>
  </si>
  <si>
    <t>Clin. Trials</t>
  </si>
  <si>
    <t>S75</t>
  </si>
  <si>
    <t>S87</t>
  </si>
  <si>
    <t>10.1177/1740774510373494</t>
  </si>
  <si>
    <t>Medicine, Research &amp; Experimental</t>
  </si>
  <si>
    <t>Research &amp; Experimental Medicine</t>
  </si>
  <si>
    <t>636DB</t>
  </si>
  <si>
    <t>WOS:000280707300006</t>
  </si>
  <si>
    <t>Nyberg, EP; Nicholson, AE; Korb, KB; Wybrow, M; Zukerman, I; Mascaro, S; Thakur, S; Alvandi, AO; Riley, J; Pearson, R; Morris, S; Herrmann, M; Azad, AKM; Bolger, F; Hahn, U; Lagnado, D</t>
  </si>
  <si>
    <t>Nyberg, Erik P.; Nicholson, Ann E.; Korb, Kevin B.; Wybrow, Michael; Zukerman, Ingrid; Mascaro, Steven; Thakur, Shreshth; Alvandi, Abraham Oshni; Riley, Jeff; Pearson, Ross; Morris, Shane; Herrmann, Matthieu; Azad, A. K. M.; Bolger, Fergus; Hahn, Ulrike; Lagnado, David</t>
  </si>
  <si>
    <t>RISK ANALYSIS</t>
  </si>
  <si>
    <t>Delphi process; probabilistic graphical models; probabilistic reasoning</t>
  </si>
  <si>
    <t>EXPERT KNOWLEDGE; DECISION-MAKING; DELPHI; GUIDE; TIME</t>
  </si>
  <si>
    <t>In many complex, real-world situations, problem solving and decision making require effective reasoning about causation and uncertainty. However, human reasoning in these cases is prone to confusion and error. Bayesian networks (BNs) are an artificial intelligence technology that models uncertain situations, supporting better probabilistic and causal reasoning and decision making. However, to date, BN methodologies and software require (but do not include) substantial upfront training, do not provide much guidance on either the model building process or on using the model for reasoning and reporting, and provide no support for building BNs collaboratively. Here, we contribute a detailed description and motivation for our new methodology and application, Bayesian ARgumentation via Delphi (BARD). BARD utilizes BNs and addresses these shortcomings by integrating (1) short, high-quality e-courses, tips, and help on demand; (2) a stepwise, iterative, and incremental BN construction process; (3) report templates and an automated explanation tool; and (4) a multiuser web-based software platform and Delphi-style social processes. The result is an end-to-end online platform, with associated online training, for groups without prior BN expertise to understand and analyze a problem, build a model of its underlying probabilistic causal structure, validate and reason with the causal model, and (optionally) use it to produce a written analytic report. Initial experiments demonstrate that, for suitable problems, BARD aids in reasoning and reporting. Comparing their effect sizes also suggests BARD's BN-building and collaboration combine beneficially and cumulatively.</t>
  </si>
  <si>
    <t>[Nyberg, Erik P.; Nicholson, Ann E.; Korb, Kevin B.; Wybrow, Michael; Zukerman, Ingrid; Thakur, Shreshth; Alvandi, Abraham Oshni; Riley, Jeff; Pearson, Ross; Herrmann, Matthieu; Azad, A. K. M.] Monash Univ, Dept Data Sci &amp; AI, Clayton, Vic 3800, Australia; [Mascaro, Steven] Bayesian Intelligence Pty Ltd, Melbourne, Vic, Australia; [Morris, Shane] Automat Studio Pty Ltd, Melbourne, Vic, Australia; [Bolger, Fergus] Univ Strathclyde, Strathclyde Business Sch, Glasgow, Lanark, Scotland; [Hahn, Ulrike] UCL, Dept Expt Psychol, London, England; [Lagnado, David] Birkbeck Univ London, Dept Psychol Sci, London, England</t>
  </si>
  <si>
    <t>Monash University; University of Strathclyde; University of London; University College London; University of London; Birkbeck University London</t>
  </si>
  <si>
    <t>Nicholson, AE (corresponding author), Monash Univ, Dept Data Sci &amp; AI, Clayton, Vic 3800, Australia.</t>
  </si>
  <si>
    <t>ann.nicholson@monash.edu</t>
  </si>
  <si>
    <t>Azad, AKM/JLL-1350-2023; Hahn, Ulrike/A-8947-2010</t>
  </si>
  <si>
    <t>Hahn, Ulrike/0000-0002-7744-8589; Herrmann, Matthieu/0000-0002-0074-470X; Wybrow, Michael/0000-0001-5536-7780; Bolger, Fergus/0000-0001-8812-2157; Nicholson, Ann/0000-0002-2269-9823</t>
  </si>
  <si>
    <t>Office of the Director of National Intelligence (ODNI), Intelligence Advanced Research Projects Activity (IARPA), through their CREATE program [2017-16122000003]</t>
  </si>
  <si>
    <t>Office of the Director of National Intelligence (ODNI), Intelligence Advanced Research Projects Activity (IARPA), through their CREATE program</t>
  </si>
  <si>
    <t>Funding for the BARD project was provided by the Office of the Director of National Intelligence (ODNI), Intelligence Advanced Research Projects Activity (IARPA), through their CREATE program under Contract 2017-16122000003.31</t>
  </si>
  <si>
    <t>0272-4332</t>
  </si>
  <si>
    <t>1539-6924</t>
  </si>
  <si>
    <t>RISK ANAL</t>
  </si>
  <si>
    <t>Risk Anal.</t>
  </si>
  <si>
    <t>JUN 2021</t>
  </si>
  <si>
    <t>Public, Environmental &amp; Occupational Health; Mathematics, Interdisciplinary Applications; Social Sciences, Mathematical Methods</t>
  </si>
  <si>
    <t>Public, Environmental &amp; Occupational Health; Mathematics; Mathematical Methods In Social Sciences</t>
  </si>
  <si>
    <t>2O2HT</t>
  </si>
  <si>
    <t>Green Published, Green Accepted, Green Submitted</t>
  </si>
  <si>
    <t>WOS:000663398200001</t>
  </si>
  <si>
    <t>Kebemou, A</t>
  </si>
  <si>
    <t>Rettberg, A; Zanella, MC; Rammig, FJ</t>
  </si>
  <si>
    <t>Partitioning metrics for improved performance and economy of distributed embedded systems</t>
  </si>
  <si>
    <t>From Specification to Embedded Systems Application</t>
  </si>
  <si>
    <t>INTERNATIONAL FEDERATION FOR INFORMATION PROCESSING</t>
  </si>
  <si>
    <t>International Embedded Systems Symposium (IESS)</t>
  </si>
  <si>
    <t>AUG 15-17, 2005</t>
  </si>
  <si>
    <t>Manaus, BRAZIL</t>
  </si>
  <si>
    <t>IFIP TC10, WG10 5,SIG ES,ZF Lemforder Fahrwektech GmbH &amp; Co KG</t>
  </si>
  <si>
    <t>software component; metrics; codesign; partitioning; automotive</t>
  </si>
  <si>
    <t>SOFTWARE; VALIDATION</t>
  </si>
  <si>
    <t>This paper describes some metrics which can be applied to optimize the constrained partitioning of very large distributed software/hardware systems. These metrics are tailored for software component models for UML specifications. The use of clear defined metrics allows us to capture more aspects of the design (abstraction level, aggregation and causality relations between the components). Besides, the appropriate formalization of these metrics has a great impact on the results that can be obtained from the partitioning regarding both the performance and the economy of the system under design.</t>
  </si>
  <si>
    <t>Fraunhofer Inst Software &amp; Syst Tech, D-10178 Berlin, Germany</t>
  </si>
  <si>
    <t>Kebemou, A (corresponding author), Fraunhofer Inst Software &amp; Syst Tech, Mollstr 1, D-10178 Berlin, Germany.</t>
  </si>
  <si>
    <t>SPRINGER</t>
  </si>
  <si>
    <t>233 SPRING STREET, NEW YORK, NY 10013, UNITED STATES</t>
  </si>
  <si>
    <t>1571-5736</t>
  </si>
  <si>
    <t>0-387-27557-6</t>
  </si>
  <si>
    <t>INT FED INFO PROC</t>
  </si>
  <si>
    <t>Automation &amp; Control Systems; Computer Science, Hardware &amp; Architecture; Computer Science, Information Systems; Computer Science, Interdisciplinary Applications; Computer Science, Theory &amp; Methods</t>
  </si>
  <si>
    <t>BCW55</t>
  </si>
  <si>
    <t>WOS:000231560800028</t>
  </si>
  <si>
    <t>Peters, S; Fortin, C; McSorley, G</t>
  </si>
  <si>
    <t>Junior, OC; Noel, F; Rivest, L; Bouras, A</t>
  </si>
  <si>
    <t>Peters, Stephen; Fortin, Clement; McSorley, Grant</t>
  </si>
  <si>
    <t>Investigating the Effectiveness of a Causal MBSE Software Tool in Modelling CubeSat Conceptual Design Data</t>
  </si>
  <si>
    <t>PRODUCT LIFECYCLE MANAGEMENT: GREEN AND BLUE TECHNOLOGIES TO SUPPORT SMART AND SUSTAINABLE ORGANIZATIONS, PT II</t>
  </si>
  <si>
    <t>IFIP Advances in Information and Communication Technology</t>
  </si>
  <si>
    <t>18th IFIP WG 5.1 International Conference on Product Lifecycle Management (PLM)</t>
  </si>
  <si>
    <t>JUL 11-14, 2021</t>
  </si>
  <si>
    <t>Int Federat Informat Proc Working Grp 5 1,Pontif Catholic Univ Parana</t>
  </si>
  <si>
    <t>Conceptual design; Model based systems engineering; Product lifecycle management; Behaviour; Causality</t>
  </si>
  <si>
    <t>REPRESENTATION; CHALLENGES</t>
  </si>
  <si>
    <t>This work is part of ongoing research into the adoption of the SAPPhIRE Model of Causality as a framework for the management of conceptual design data. Due to the prevalence of behavioural data and frequent iterations found in conceptual design, PLM systems can struggle to maintain a coherent product definition. Previous work has demonstrated the utility of the SAPPhIRE Model for representing causality at multiple points in a system's lifecycle, however its integration into a Model Based Systems Engineering (MBSE) environment has not been explored. This paper presents the development, testing and study results of the novel software tool named OPAL. OPAL is a MBSE software tool based on the SAPPhIRE Model for the capture, management, representation and sharing of conceptual design data. Engineering student participants used OPAL to carry out typical CubeSat conceptual design activities within a test environment. The results of the study show that the students were able to effectively utilize OPAL's functions with only a short introduction, with 85% reporting it easy to use. In contrast to their traditional file management software and practices, the visual representation of the data via the SAPPhIRE Models made it significantly easier to be able to track and find data using the causal links, regardless of the subsystem being studied. It was concluded that further development of OPAL as a proof of concept should be undertaken, to both further investigate the conceptual design phase, and to support other phases of the lifecycle.</t>
  </si>
  <si>
    <t>[Peters, Stephen; McSorley, Grant] Univ Prince Edward Isl, Charlottetown, PE C1A 3T3, Canada; [Fortin, Clement] Skolkovo Inst Technol, Moscow, Russia</t>
  </si>
  <si>
    <t>University of Prince Edward Island</t>
  </si>
  <si>
    <t>Peters, S; McSorley, G (corresponding author), Univ Prince Edward Isl, Charlottetown, PE C1A 3T3, Canada.;Fortin, C (corresponding author), Skolkovo Inst Technol, Moscow, Russia.</t>
  </si>
  <si>
    <t>sepeters@upei.ca; C.Fortin@skoltech.ru; gmcsorley@upei.ca</t>
  </si>
  <si>
    <t>Fortin, Clement/0000-0002-9761-3107; Peters, Stephen/0000-0002-0276-5694</t>
  </si>
  <si>
    <t>1868-4238</t>
  </si>
  <si>
    <t>1868-422X</t>
  </si>
  <si>
    <t>978-3-030-94399-8; 978-3-030-94398-1</t>
  </si>
  <si>
    <t>IFIP ADV INF COMM TE</t>
  </si>
  <si>
    <t>10.1007/978-3-030-94399-8_10</t>
  </si>
  <si>
    <t>Computer Science, Information Systems; Green &amp; Sustainable Science &amp; Technology; Engineering, Industrial</t>
  </si>
  <si>
    <t>Computer Science; Science &amp; Technology - Other Topics; Engineering</t>
  </si>
  <si>
    <t>BS8EA</t>
  </si>
  <si>
    <t>WOS:000771711600010</t>
  </si>
  <si>
    <t>Chen, WQ; Liu, K; Su, LJ; Liu, M; Hao, ZF; Hu, Y; Zhang, XZ</t>
  </si>
  <si>
    <t>Xhafa, F; Barolli, L; Li, J; Yoshihisa, T; Ogiela, MR</t>
  </si>
  <si>
    <t>Chen, Weiqi; Liu, Kang; Su, Lijun; Liu, Mei; Hao, Zhifeng; Hu, Yong; Zhang, Xiangzhou</t>
  </si>
  <si>
    <t>Discovering many-to-one causality in Software Project Risk Analysis</t>
  </si>
  <si>
    <t>2014 NINTH INTERNATIONAL CONFERENCE ON P2P, PARALLEL, GRID, CLOUD AND INTERNET COMPUTING (3PGCIC)</t>
  </si>
  <si>
    <t>NINTH INTERNATIONAL CONFERENCE ON P2P, PARALLEL, GRID, CLOUD AND INTERNET COMPUTING (3PGCIC)</t>
  </si>
  <si>
    <t>NOV 08-10, 2014</t>
  </si>
  <si>
    <t>BWCCA, Guangzhou, PEOPLES R CHINA</t>
  </si>
  <si>
    <t>Elect Power Res Inst,CSG,Guangzhou Univ,Univ Politecn Catalunya Barcelonatech,Fukuoka Inst Technol</t>
  </si>
  <si>
    <t>BWCCA</t>
  </si>
  <si>
    <t>software project risk management; causality discovery; additive noise model</t>
  </si>
  <si>
    <t>PERFORMANCE</t>
  </si>
  <si>
    <t>Many risk factors affect software development and risk management has become one of the major activities in software development. Discovering causal directions among risk factors and project performance are important support for risk management. The Additive Noise Model (ANM) is an effective algorithm for discovering the direction on one-to-one causalities, but ineffective on many-to-one causalities which are frequent in software project risk analysis (SPRA) process. Thus we proposed a modified ANM with Conditional Probability Table (ANMCPT) to discover the causal direction among risk factors and project performance. The experimental results show our proposed algorithm is effective to discover the many-to-one causalities in SPRM on 498 collected software project data, and it performs better than other algorithms in the prediction with discovered causes of project performance, such as logistic regression, C4.5, Naive Bayes, and general BNs. This study firstly presents an approach using ANM for many-to-one causality discovery in SPRA and then proves that it is an effective algorithm for analyzing the risk in software project.</t>
  </si>
  <si>
    <t>[Chen, Weiqi] Guangdong Univ Technol, Fac Automat, Guangzhou, Guangdong, Peoples R China; [Liu, Kang; Su, Lijun] Guangdong Univ Foreign Studies, Sch Management, Guangzhou, Guangdong, Peoples R China; [Liu, Mei] Univ Kansas, Med Ctr, Kansas City, KS 66160 USA; [Hao, Zhifeng] Guangdong Univ Technol, Dept Comp Sci, Guangzhou, Guangdong, Peoples R China; [Hu, Yong] Sun Yat Sen Univ, Guangdong Univ Foreign Studies, Business Intelligence &amp; Knowledge Discovery, Guangzhou, Guangdong, Peoples R China; [Zhang, Xiangzhou] Sun Yat Sen Univ, Sch Business, Guangzhou, Guangdong, Peoples R China</t>
  </si>
  <si>
    <t>Guangdong University of Technology; Guangdong University of Foreign Studies; University of Kansas; University of Kansas Medical Center; Guangdong University of Technology; Sun Yat Sen University; Guangdong University of Foreign Studies; Sun Yat Sen University</t>
  </si>
  <si>
    <t>Hao, ZF (corresponding author), Guangdong Univ Technol, Dept Comp Sci, Guangzhou, Guangdong, Peoples R China.</t>
  </si>
  <si>
    <t>isscwqcxz@126.com; researcher_lk@foxmail.com; onnowa@163.com; meiliu@kumc.edu; mazfhao@scut.edu.cn; henryhu200211@163.com; zhxzhou@mail2.sysu.edu.cn</t>
  </si>
  <si>
    <t>Zhang, Xiangzhou/N-3699-2013; Hao, Zhifeng/ABB-7828-2021</t>
  </si>
  <si>
    <t>Zhang, Xiangzhou/0000-0003-3752-0045;</t>
  </si>
  <si>
    <t>978-1-4799-4171-1</t>
  </si>
  <si>
    <t>BF2KA</t>
  </si>
  <si>
    <t>WOS:000380474400053</t>
  </si>
  <si>
    <t>Wang, JX; Zhang, BF; Peng, LX; Wang, JC; Xu, K; Xu, P</t>
  </si>
  <si>
    <t>Wang, Junxiang; Zhang, Binfei; Peng, Leixuan; Wang, Jiachen; Xu, Ke; Xu, Peng</t>
  </si>
  <si>
    <t>The Causal Association between Alcohol, Smoking, Coffee Consumption, and the Risk of Arthritis: A Meta-Analysis of Mendelian Randomization Studies</t>
  </si>
  <si>
    <t>NUTRIENTS</t>
  </si>
  <si>
    <t>osteoarthritis; rheumatoid arthritis; mendelian randomization; alcohol; smoking; coffee</t>
  </si>
  <si>
    <t>RHEUMATOID-ARTHRITIS; KNEE OSTEOARTHRITIS; INSTRUMENTS; NUTRITION; EDUCATION; BEHAVIOR; HEALTH; IMPACT; ADULTS; HIP</t>
  </si>
  <si>
    <t>Objective: To evaluate the genetic causality between alcohol intake, smoking, coffee consumption, and arthritis. Methods: Mendelian randomization (MR) studies with alcohol, smoking, and coffee consumption behaviors as exposures, and osteoarthritis (OA) and rheumatoid arthritis (RA) as outcomes were retrieved from up to July 2023. Two researchers with relevant professional backgrounds independently assessed the quality and extracted data from the included studies. Meanwhile, we applied MR analyses of four lifestyle exposures and five arthritis outcomes (two for OA and three for RA) with gene-wide association study (GWAS) data that were different from the included studies, and the results were also included in the meta-analysis. Statistical analyses were performed using Stata 16.0 and R software version 4.3.1. Results: A total of 84 studies were assessed. Of these, 11 were selected for meta-analysis. As a whole, the included studies were considered to be at a low risk of bias and were of high quality. Results of the meta-analysis showed no significant genetic causality between alcohol intake and arthritis (odds ratio (OR): 1.02 (0.94-1.11)). Smoking and arthritis had a positive genetic causal association (OR: 1.44 (1.27-1.64)) with both OA (1.44 (1.22-1.71)) and RA (1.37 (1.26-1.50)). Coffee consumption and arthritis also had a positive genetic causal association (OR: 1.02 (1.01-1.03)). Results from the subgroup analysis showed a positive genetic causality between coffee consumption and both OA (OR: 1.02 (1.00-1.03)) and RA (OR: 1.56 (1.19-2.05)). Conclusion: There is positive genetic causality between smoking and coffee consumption and arthritis (OA and RA), while there is insufficient evidence for genetic causality between alcohol intake and arthritis.</t>
  </si>
  <si>
    <t>[Wang, Junxiang; Zhang, Binfei; Wang, Jiachen; Xu, Ke; Xu, Peng] Xi An Jiao Tong Univ, Honghui Hosp, Dept Joint Surg, Xian 710054, Peoples R China; [Wang, Junxiang; Peng, Leixuan] Xi An Jiao Tong Univ, Sch Med, Xian 710049, Peoples R China</t>
  </si>
  <si>
    <t>Xi'an Jiaotong University; Xi'an Jiaotong University</t>
  </si>
  <si>
    <t>Xu, P (corresponding author), Xi An Jiao Tong Univ, Honghui Hosp, Dept Joint Surg, Xian 710054, Peoples R China.</t>
  </si>
  <si>
    <t>qw2712723867@stu.xjtu.edu.cn; beephoe@stu.xjtu.edu.cn; 2196320198@stu.xjtu.edu.cn; wjc8128@stu.xjtu.edu.cn; santxuke1986@126.com; sousou369@163.com</t>
  </si>
  <si>
    <t>Wang, JiaChen/0000-0002-0151-2871; Wang, Junxiang/0009-0002-4188-0932</t>
  </si>
  <si>
    <t>National Natural Science Foundation of China</t>
  </si>
  <si>
    <t>We acknowledge the studies and published public databases that were referenced and included in this analysis.</t>
  </si>
  <si>
    <t>2072-6643</t>
  </si>
  <si>
    <t>Nutrients</t>
  </si>
  <si>
    <t>10.3390/nu15235009</t>
  </si>
  <si>
    <t>Nutrition &amp; Dietetics</t>
  </si>
  <si>
    <t>AJ2R7</t>
  </si>
  <si>
    <t>WOS:001118039100001</t>
  </si>
  <si>
    <t>Guan, J; Zhao, PF</t>
  </si>
  <si>
    <t>Wang, MY; Huang, BH</t>
  </si>
  <si>
    <t>Guan Jun; Zhao Peng-fei</t>
  </si>
  <si>
    <t>Causal Relation Test of Human Capital and Hebei Province High-tech Industry Performance</t>
  </si>
  <si>
    <t>PROCEEDINGS OF THE 2009 INTERNATIONAL CONFERENCE ON PUBLIC ECONOMICS AND MANAGEMENT ICPEM 2009, VOL 6: COST BENEFITS ANALYSIS</t>
  </si>
  <si>
    <t>International Conference on Public Economics and Management (ICPEM2009)</t>
  </si>
  <si>
    <t>NOV 28-29, 2009</t>
  </si>
  <si>
    <t>Xiamen, PEOPLES R CHINA</t>
  </si>
  <si>
    <t>Xiamen Univ, Sch Econ,Econ Res Journal, Editorial Dept,World Acad Union,Minist Finance, Res Inst Fiscal Sci,Chinese Acad Social Sci, Inst Finance &amp; Trade Econ,San Francisco State Univ, Coll Behav &amp; Social Sci</t>
  </si>
  <si>
    <t>Human Capital; High-tech Industry Performance; Causal Relation</t>
  </si>
  <si>
    <t>Along with the constant increasing of industrial competition, the development of High-tech Industry more and more relies on human capital; human capital's promotion to the High-tech Industry Performance is day by day obvious. This article selected Hebei Province dates of human capital and High-tech Industry added value and analyzed the causality relation between the human capital and Hebei Province High-tech Industry Performance using eviews software, the result indicated that the human capital storage quantity is the reason which the High-tech Industry Performance achievements enhanced.</t>
  </si>
  <si>
    <t>[Guan Jun; Zhao Peng-fei] Hebei Engn Univ, Econ &amp; Management Sch, Handan 056038, Peoples R China</t>
  </si>
  <si>
    <t>hbhdgj@sohu.com</t>
  </si>
  <si>
    <t>WORLD ACAD UNION-WORLD ACAD PRESS</t>
  </si>
  <si>
    <t>LIVERPOOL</t>
  </si>
  <si>
    <t>113, ACADEMIC HOUSE, MILL LANE, WAVERTREE TECHNOLOGY PARK, LIVERPOOL, L13 4 AH, ENGLAND</t>
  </si>
  <si>
    <t>978-1-84626-076-6</t>
  </si>
  <si>
    <t>Business, Finance; Economics; Operations Research &amp; Management Science</t>
  </si>
  <si>
    <t>Business &amp; Economics; Operations Research &amp; Management Science</t>
  </si>
  <si>
    <t>BQC57</t>
  </si>
  <si>
    <t>WOS:000280695300011</t>
  </si>
  <si>
    <t>Zhang, SL; Liu, Y; Pei, D; Chen, Y; Qu, XP; Tao, SM; Zang, ZW; Jing, XW; Feng, M</t>
  </si>
  <si>
    <t>Zhang, Shenglin; Liu, Ying; Pei, Dan; Chen, Yu; Qu, Xianping; Tao, Shimin; Zang, Zhi; Jing, Xiaowei; Feng, Mei</t>
  </si>
  <si>
    <t>IEEE TRANSACTIONS ON SERVICES COMPUTING</t>
  </si>
  <si>
    <t>Software change; performance change; singular spectrum transform; difference in difference</t>
  </si>
  <si>
    <t>The detection of performance changes in software change roll-outs in Internet-based services is crucial for an operations team, because it allows timely roll-back of a software change when performance degrades unexpectedly. However, it is infeasible to manually investigate millions of performance measurements of many roll-outs. In this paper, we present an automated tool, FUNNEL, for rapid and robust impact assessment of software changes in large Internet-based services. FUNNEL automatically collects the related performance measurements for each software change. To detect significant performance behavior changes, FUNNEL adopts singular spectrum transform (SST) algorithm as the core algorithm, uses various techniques to improve its robustness and reduce its computational cost, and applies a difference-in-difference (DiD) method to differentiate the true causality from the random correlations between the performance change and the software change. Evaluation through historical data in real-word services shows that FUNNEL achieves accuracy of more than 99.7 percent. Compared with previous methods, FUNNEL's detection delay is 38.02 to 64.99 percent shorter, and its computation speed is 4.59-7,098 times faster. In real deployment, FUNNEL achieves a 98.21 percent precision, high robustness, fast detection speed, and shows its capability in detecting unexpected behavior changes.</t>
  </si>
  <si>
    <t>[Zhang, Shenglin; Liu, Ying] Tsinghua Univ, Zhang Inst Network Sci &amp; Cyberspace, Beijing 100084, Peoples R China; [Zhang, Shenglin; Liu, Ying; Pei, Dan] Tsinghua Univ, Tsinghua Natl Lab Informat Sci &amp; Technol, Beijing 100084, Peoples R China; [Pei, Dan] Tsinghua Univ, Dept Comp Sci &amp; Technol, Beijing 100084, Peoples R China; [Chen, Yu; Qu, Xianping; Tao, Shimin; Zang, Zhi] Baidu Inc, Beijing 100085, Peoples R China; [Jing, Xiaowei; Feng, Mei] PetroChina Inc, Beijing 100007, Peoples R China</t>
  </si>
  <si>
    <t>Tsinghua University; Tsinghua University; Tsinghua University; Baidu</t>
  </si>
  <si>
    <t>Zhang, SL (corresponding author), Tsinghua Univ, Zhang Inst Network Sci &amp; Cyberspace, Beijing 100084, Peoples R China.;Zhang, SL (corresponding author), Tsinghua Univ, Tsinghua Natl Lab Informat Sci &amp; Technol, Beijing 100084, Peoples R China.</t>
  </si>
  <si>
    <t>slzhangsd@gmail.com; liuying@cernet.edu.cn; peidan@tsinghua.edu.cn; chenyu034@hotmail.com; quxianping@baidu.com; taoshimin@baidu.com; zangzhi@baidu.com; jxw@petrochina.com.cn; fm@petrochina.com.cn</t>
  </si>
  <si>
    <t>ZHANG, SHENGLIN/0000-0003-0330-0028; Dan, Pei/0000-0002-5113-838X</t>
  </si>
  <si>
    <t>National Natural Science Foundation of China (NSFC) [61472214, 61402257]; National Key Basic Research Program of China (973 program) [2013CB329105]; Tsinghua University Self-determined Project [2014z21051]; State Key Program of National Science of China [61233007]; National Natural Science Foundation of China [61472210]; National High Technology Development Program of China (863 program) [2013AA013302]</t>
  </si>
  <si>
    <t>National Natural Science Foundation of China (NSFC)(National Natural Science Foundation of China (NSFC)); National Key Basic Research Program of China (973 program)(National Basic Research Program of China); Tsinghua University Self-determined Project; State Key Program of National Science of China(National Natural Science Foundation of China (NSFC)); National Natural Science Foundation of China(National Natural Science Foundation of China (NSFC)); National High Technology Development Program of China (863 program)(National High Technology Research and Development Program of China)</t>
  </si>
  <si>
    <t>The authors are grateful to Bo Wang, Bolin Yang, Wenhui Xie, Ming Hua, Wei Huang, Xiaoguang Miao, and Jiantao Chi, for their invaluable help at various stages of this project. They strongly appreciate Yosef Azzabi, Dapeng Liu, Juexing Liao, Beibei Miao, Yongqian Sun, and Xiaohui Nie for their helpful suggestions and elaborative proofreading. The work was supported by National Natural Science Foundation of China (NSFC) under Grant Nos. 61472214 and 61402257, the National Key Basic Research Program of China (973 program) under Grant No. 2013CB329105, the Tsinghua University Self-determined Project under Grant No. 2014z21051, the State Key Program of National Science of China under Grant No. 61233007, the National Natural Science Foundation of China under Grant No. 61472210, the National High Technology Development Program of China (863 program) under Grant No. 2013AA013302.</t>
  </si>
  <si>
    <t>1939-1374</t>
  </si>
  <si>
    <t>IEEE T SERV COMPUT</t>
  </si>
  <si>
    <t>IEEE Trans. Serv. Comput.</t>
  </si>
  <si>
    <t>JAN-FEB</t>
  </si>
  <si>
    <t>FV3KY</t>
  </si>
  <si>
    <t>WOS:000424468400004</t>
  </si>
  <si>
    <t>Zhou, ZX; Nie, H; Zhang, Q</t>
  </si>
  <si>
    <t>ASME</t>
  </si>
  <si>
    <t>Zhou, Zhenxu; Nie, Hao; Zhang, Qin</t>
  </si>
  <si>
    <t>DESIGN AND DEVELOPMENT OF DERISK: A FAULT TREE ANALYSIS PROGRAM PACKAGE</t>
  </si>
  <si>
    <t>PROCEEDINGS OF THE 26TH INTERNATIONAL CONFERENCE ON NUCLEAR ENGINEERING, 2018, VOL 2</t>
  </si>
  <si>
    <t>26th International Conference on Nuclear Engineering (ICONE-26)</t>
  </si>
  <si>
    <t>JUL 22-26, 2018</t>
  </si>
  <si>
    <t>London, ENGLAND</t>
  </si>
  <si>
    <t>ASME, Nucl Engn Div,Japan Soc Mech Engineers,Chinese Nucl Soc</t>
  </si>
  <si>
    <t>fault tree analysis; Dynamic Uncertain Causality Graph; program package</t>
  </si>
  <si>
    <t>ALGORITHM</t>
  </si>
  <si>
    <t>Fault tree analysis (FTA) has been proven to be a very important tool and has been successfully applied to safety/reliability studies in nuclear, chemical, military, space industries/systems. Hitherto, several useful and popular FTA software/program packages have been developed, like CAFTA+, FAUNET, RiskSpectrum, SAPHIRE, RiskA etc. Minimum Cut Set (MCS) method is the most commonly used traditional FTA method. However, it suffers from low efficiency when solving remarkably large fault trees (FTs). To overcome the shortcomings of the traditional method, several new techniques are proposed such as Binary Decision Diagram (BDD), Zero-suppressed Binary Decision Diagram, (ZBDD) Petri Net (PN), Bayesian Network (BN) and Dynamic Uncertain Causality Graph (DUCG). DUCG is a newly presented Probabilistic Graphic Model to deal with systems with dynamics, uncertainties and logic cycles. DUCG is a good choice to analyze large FTs, in our previous papers, we have proved that any FT can be mapped into a DUCG graph and additional modeling and analytical power can be achieved. DeRisk is a DUCG embedded risk analysis program package written in C# for FTA and is designed as a powerful tool to assist reliability engineers. In this paper, the design schema and the main algorithms of DeRisk are introduced. DeRisk contains five parts: (1) A Graphical User Interface (GUI) Module which interacts with users; (2) A Preprocessing Module which preprocesses FTs (3) An Input Module which allows user to input necessary data by file or by command line; (4) A Calculation Module which offers qualitative/quantitative analysis; (5) An Output Module which outputs the results required by users. Some illustrative examples are used to verify the correctness and effectiveness of DeRisk.</t>
  </si>
  <si>
    <t>[Zhou, Zhenxu; Nie, Hao; Zhang, Qin] Tsinghua Univ, Inst Nucl &amp; New Energy Technol, Beijing 100084, Peoples R China</t>
  </si>
  <si>
    <t>Tsinghua University</t>
  </si>
  <si>
    <t>Zhang, Q (corresponding author), Tsinghua Univ, Inst Nucl &amp; New Energy Technol, Beijing 100084, Peoples R China.</t>
  </si>
  <si>
    <t>Zhou, Zhenxu/T-7699-2019</t>
  </si>
  <si>
    <t>Nie, Hao/0000-0002-3031-5930</t>
  </si>
  <si>
    <t>National Natural Science Foundations of China [71671103]</t>
  </si>
  <si>
    <t>National Natural Science Foundations of China(National Natural Science Foundation of China (NSFC))</t>
  </si>
  <si>
    <t>This work is supported by the National Natural Science Foundations of China (71671103).</t>
  </si>
  <si>
    <t>AMER SOC MECHANICAL ENGINEERS</t>
  </si>
  <si>
    <t>THREE PARK AVENUE, NEW YORK, NY 10016-5990 USA</t>
  </si>
  <si>
    <t>978-0-7918-5144-9</t>
  </si>
  <si>
    <t>V002T14A008</t>
  </si>
  <si>
    <t>Engineering, Mechanical; Nuclear Science &amp; Technology</t>
  </si>
  <si>
    <t>Engineering; Nuclear Science &amp; Technology</t>
  </si>
  <si>
    <t>BM2OY</t>
  </si>
  <si>
    <t>WOS:000461265200046</t>
  </si>
  <si>
    <t>Korb, KB; Nyberg, EP; Alvandi, AO; Thakur, S; Ozmen, M; Li, Y; Pearson, R; Nicholson, AE</t>
  </si>
  <si>
    <t>Korb, Kevin B.; Nyberg, Erik P.; Alvandi, Abraham Oshni; Thakur, Shreshth; Ozmen, Mehmet; Li, Yang; Pearson, Ross; Nicholson, Ann E.</t>
  </si>
  <si>
    <t>Individuals vs. BARD: Experimental Evaluation of an Online System for Structured, Collaborative Bayesian Reasoning</t>
  </si>
  <si>
    <t>FRONTIERS IN PSYCHOLOGY</t>
  </si>
  <si>
    <t>Bayesian networks; Delphi; CREATE; BARD; reasoning; decision-making; probability; uncertainty</t>
  </si>
  <si>
    <t>DECISION-MAKING; NETWORK; DELPHI; VARIANCE; OVERCONFIDENCE; IDENTIFICATION; CONSEQUENCES; FRAMEWORK; SOFTWARE; ANOVA</t>
  </si>
  <si>
    <t>US intelligence analysts must weigh up relevant evidence to assess the probability of their conclusions, and express this reasoning clearly in written reports for decision-makers. Typically, they work alone with no special analytic tools, and sometimes succumb to common probabilistic and causal reasoning errors. So, the US government funded a major research program (CREATE) for four large academic teams to develop new structured, collaborative, software-based methods that might achieve better results. Our team's method (BARD) is the first to combine two key techniques: constructing causal Bayesian network models (BNs) to represent analyst knowledge, and small-group collaboration via the Delphi technique. BARD also incorporates compressed, high-quality online training allowing novices to use it, and checklist-inspired report templates with a rudimentary AI tool for generating text explanations from analysts' BNs. In two prior experiments, our team showed BARD's BN-building assists probabilistic reasoning when used by individuals, with a large effect (Glass' Delta 0.8) (Cruz et al.,2020), and even minimal Delphi-style interactions improve the BN structures individuals produce, with medium to very large effects (Glass' Delta 0.5-1.3) (Bolger et al.,2020). This experiment is the critical test of BARD as an integrated system and possible alternative to business-as-usual for intelligence analysis. Participants were asked to solve three probabilistic reasoning problems spread over 5 weeks, developed by our team to test both quantitative accuracy and susceptibility to tempting qualitative fallacies. Our 256 participants were randomly assigned to form 25 teams of 6-9 using BARD and 58 individuals using Google Suite and (if desired) the best pen-and-paper techniques. For each problem, BARD outperformed this control with very large to huge effects (Glass' Delta 1.4-2.2), greatly exceeding CREATE's initial target. We conclude that, for suitable problems, BARD already offers significant advantages over both business-as-usual and existing BN software. Our effect sizes also suggest BARD's BN-building and collaboration combined beneficially and cumulatively, although implementation differences decreased performances compared to Cruz et al. (2020), so interaction may have contributed. BARD has enormous potential for further development and testing of specific components and on more complex problems, and many potential applications beyond intelligence analysis.</t>
  </si>
  <si>
    <t>[Korb, Kevin B.; Nyberg, Erik P.; Alvandi, Abraham Oshni; Thakur, Shreshth; Li, Yang; Pearson, Ross; Nicholson, Ann E.] Monash Univ, Fac Informat Technol, Melbourne, Vic, Australia; [Ozmen, Mehmet] Univ Melbourne, Dept Econ, Melbourne, Vic, Australia</t>
  </si>
  <si>
    <t>Monash University; University of Melbourne</t>
  </si>
  <si>
    <t>Nicholson, AE (corresponding author), Monash Univ, Fac Informat Technol, Melbourne, Vic, Australia.</t>
  </si>
  <si>
    <t>Pearson, Ross/0000-0002-4194-023X; Li, Yang/0000-0002-1147-280X; Ozmen, Mehmet/0000-0003-2719-3706</t>
  </si>
  <si>
    <t>Funding for the BARD project, and specifically for running the experiment and analyses reported in this paper, was provided by the Office of the Director of National Intelligence (ODNI), Intelligence Advanced Research Projects Activity (IARPA), through their CREATE program under Contract [2017-16122000003]37.</t>
  </si>
  <si>
    <t>1664-1078</t>
  </si>
  <si>
    <t>FRONT PSYCHOL</t>
  </si>
  <si>
    <t>Front. Psychol.</t>
  </si>
  <si>
    <t>JUN 18</t>
  </si>
  <si>
    <t>10.3389/fpsyg.2020.01054</t>
  </si>
  <si>
    <t>Psychology, Multidisciplinary</t>
  </si>
  <si>
    <t>Psychology</t>
  </si>
  <si>
    <t>MJ9EE</t>
  </si>
  <si>
    <t>WOS:000548388300001</t>
  </si>
  <si>
    <t>Chance, G; Ghobrial, A; Lemaignan, S; Pipe, T; Eder, K</t>
  </si>
  <si>
    <t>Chance, Greg; Ghobrial, Abanoub; Lemaignan, Severin; Pipe, Tony; Eder, Kerstin</t>
  </si>
  <si>
    <t>2020 IEEE INTERNATIONAL CONFERENCE ON ARTIFICIAL INTELLIGENCE TESTING (AITEST)</t>
  </si>
  <si>
    <t>IEEE International Conference on Artificial Intelligence Testing (AITest)</t>
  </si>
  <si>
    <t>AUG 03-06, 2020</t>
  </si>
  <si>
    <t>Test Generation; Simulation; Autonomous Driving; Verification; Multi-Agent System; Test Agent</t>
  </si>
  <si>
    <t>SCENARIOS</t>
  </si>
  <si>
    <t>Simulation-based verification is beneficial for assessing otherwise dangerous or costly on-road testing of autonomous vehicles (AV). This paper addresses the challenge of efficiently generating effective tests for simulation-based AV verification using software testing agents. The multi-agent system (MAS) programming paradigm offers rational agency, causality and strategic planning between multiple agents. We exploit these aspects for test generation, focusing in particular on the generation of tests that trigger the precondition of an assertion. On the example of a key assertion we show that, by encoding a variety of different behaviours respondent to the agent's perceptions of the test environment, the agency-directed approach generates twice as many effective tests than pseudo-random test generation, while being both efficient and robust. Moreover, agents can be encoded to behave naturally without compromising the effectiveness of test generation. Our results suggest that generating tests using agency-directed testing significantly improves upon random and simultaneously provides more realistic driving scenarios.</t>
  </si>
  <si>
    <t>[Chance, Greg; Ghobrial, Abanoub; Eder, Kerstin] Univ Bristol, Trustworthy Syst Lab, Bristol, Avon, England; [Lemaignan, Severin; Pipe, Tony] Univ West England, Bristol, Avon, England; [Chance, Greg; Ghobrial, Abanoub; Lemaignan, Severin; Pipe, Tony; Eder, Kerstin] Univ West England, Bristol Robot Lab, Bristol, Avon, England</t>
  </si>
  <si>
    <t>University of Bristol; University of West England; University of Bristol; University of West England</t>
  </si>
  <si>
    <t>Chance, G (corresponding author), Univ Bristol, Trustworthy Syst Lab, Bristol, Avon, England.;Chance, G (corresponding author), Univ West England, Bristol Robot Lab, Bristol, Avon, England.</t>
  </si>
  <si>
    <t>greg.chance@bristol.ac.uk; abanoub.ghobrial@bristol.ac.uk; severin.lemaignan@brl.ac.uk; tony.pipe@brl.ac.uk; kerstin.eder@bristol.ac.uk</t>
  </si>
  <si>
    <t>Ghobrial, Abanoub/0000-0003-3699-8805; Chance, Gregory/0000-0001-5334-370X; Eder, Kerstin/0000-0001-9746-1409</t>
  </si>
  <si>
    <t>ROBOPILOT project; Innovate UK [103703, 103288]; CAPRI project; Centre for Connected and Autonomous Vehicles (CCAV); Innovate UK [103288] Funding Source: UKRI; ISCF [103703] Funding Source: UKRI</t>
  </si>
  <si>
    <t>ROBOPILOT project; Innovate UK(UK Research &amp; Innovation (UKRI)Innovate UK); CAPRI project; Centre for Connected and Autonomous Vehicles (CCAV); Innovate UK(UK Research &amp; Innovation (UKRI)Innovate UK); ISCF(UK Research &amp; Innovation (UKRI))</t>
  </si>
  <si>
    <t>This research has in part been funded by the ROBOPILOT and CAPRI projects. Both projects are part-funded by the Centre for Connected and Autonomous Vehicles (CCAV), delivered in partnership with Innovate UK under grant numbers 103703 (CAPRI) and 103288 (ROBOPILOT), respectively.</t>
  </si>
  <si>
    <t>978-1-7281-6984-2</t>
  </si>
  <si>
    <t>BQ3BR</t>
  </si>
  <si>
    <t>WOS:000583824000005</t>
  </si>
  <si>
    <t>Abdi, MK; Lounis, H; Sahraoui, H</t>
  </si>
  <si>
    <t>Abdi, M. K.; Lounis, H.; Sahraoui, H.</t>
  </si>
  <si>
    <t>2009 IEEE 33RD INTERNATIONAL COMPUTER SOFTWARE AND APPLICATIONS CONFERENCE, VOLS 1 AND 2</t>
  </si>
  <si>
    <t>IEEE 33rd International Computer Software and Applications Conference</t>
  </si>
  <si>
    <t>JUL 20-24, 2009</t>
  </si>
  <si>
    <t>Seattle, WA</t>
  </si>
  <si>
    <t>This study has to be considered as another step towards the proposal of assessment/predictive models in software quality. We consider M this work, that a probabilistic model using Bayesian nets constitutes an interesting alternative to non-probabilistic models suggested in the literature. Thus, we propose in this paper a probabilistic approach using Bayesian networks to analyze and predict change impact in object-oriented systems. An impact model is built and probabilities are assigned to network nodes. Data obtained from a real system are exploited to empirically study causality hypotheses between some software internal attributes and change impact. Several scenarios are executed on the network, and the obtained results confirm that coupling is a good indicator of change impact.</t>
  </si>
  <si>
    <t>[Abdi, M. K.; Sahraoui, H.] Univ Montreal, Dept Informat &amp; Rech Operat, CP 6128 Succ Ctr Ville, Montreal, PQ H3C 3J7, Canada; [Lounis, H.] Univ Quebec Montreal, Dept Informatique, Montreal, PQ H3C 3P, Canada</t>
  </si>
  <si>
    <t>Universite de Montreal; University of Quebec; University of Quebec Montreal</t>
  </si>
  <si>
    <t>Abdi, MK (corresponding author), Univ Montreal, Dept Informat &amp; Rech Operat, CP 6128 Succ Ctr Ville, Montreal, PQ H3C 3J7, Canada.</t>
  </si>
  <si>
    <t>abdimust@iro.umontreal.ca; hakim.lounis@uqam.ca; sahraouh@iro.umontreal.ca</t>
  </si>
  <si>
    <t>978-1-4244-4525-7</t>
  </si>
  <si>
    <t>Computer Science, Information Systems; Computer Science, Software Engineering; Computer Science, Theory &amp; Methods</t>
  </si>
  <si>
    <t>BNE37</t>
  </si>
  <si>
    <t>WOS:000274261400032</t>
  </si>
  <si>
    <t>Varshney, KR; Alemzadeh, H</t>
  </si>
  <si>
    <t>Varshney, Kush R.; Alemzadeh, Homa</t>
  </si>
  <si>
    <t>BIG DATA</t>
  </si>
  <si>
    <t>cyber-physical systems; data products; decision science; machine learning; safety</t>
  </si>
  <si>
    <t>Machine learning algorithms increasingly influence our decisions and interact with us in all parts of our daily lives. Therefore, just as we consider the safety of power plants, highways, and a variety of other engineered socio-technical systems, we must also take into account the safety of systems involving machine learning. Heretofore, the definition of safety has not been formalized in a machine learning context. In this article, we do so by defining machine learning safety in terms of risk, epistemic uncertainty, and the harm incurred by unwanted outcomes. We then use this definition to examine safety in all sorts of applications in cyber-physical systems, decision sciences, and data products. We find that the foundational principle of modern statistical machine learning, empirical risk minimization, is not always a sufficient objective. We discuss how four different categories of strategies for achieving safety in engineering, including inherently safe design, safety reserves, safe fail, and procedural safeguards can be mapped to a machine learning context. We then discuss example techniques that can be adopted in each category, such as considering interpretability and causality of predictive models, objective functions beyond expected prediction accuracy, human involvement for labeling difficult or rare examples, and user experience design of software and open data.</t>
  </si>
  <si>
    <t>[Varshney, Kush R.] IBM Thomas J Watson Res Ctr, Dept Data Sci, Yorktown Hts, NY USA; [Alemzadeh, Homa] Univ Virginia, Dept Elect &amp; Comp Engn, Charlottesville, VA USA</t>
  </si>
  <si>
    <t>International Business Machines (IBM); University of Virginia</t>
  </si>
  <si>
    <t>Varshney, KR (corresponding author), IBM Thomas J Watson Res Ctr, 1101 Kitchawan Rd, Yorktown Hts, NY 10598 USA.</t>
  </si>
  <si>
    <t>krvarshn@us.ibm.com</t>
  </si>
  <si>
    <t>MARY ANN LIEBERT, INC</t>
  </si>
  <si>
    <t>NEW ROCHELLE</t>
  </si>
  <si>
    <t>140 HUGUENOT STREET, 3RD FL, NEW ROCHELLE, NY 10801 USA</t>
  </si>
  <si>
    <t>2167-6461</t>
  </si>
  <si>
    <t>2167-647X</t>
  </si>
  <si>
    <t>BIG DATA-US</t>
  </si>
  <si>
    <t>Computer Science, Interdisciplinary Applications; Computer Science, Theory &amp; Methods</t>
  </si>
  <si>
    <t>FW0UH</t>
  </si>
  <si>
    <t>WOS:000425010500008</t>
  </si>
  <si>
    <t>Van Lancker, K; Dukes, O; Vansteelandt, S</t>
  </si>
  <si>
    <t>Van Lancker, Kelly; Dukes, Oliver; Vansteelandt, Stijn</t>
  </si>
  <si>
    <t>Ensuring valid inference for Cox hazard ratios after variable selection</t>
  </si>
  <si>
    <t>causal inference; confounding; double selection; post-selection inference; variable selection</t>
  </si>
  <si>
    <t>CONFIDENCE-REGIONS; MODEL-SELECTION; LASSO</t>
  </si>
  <si>
    <t>The problem of how to best select variables for confounding adjustment forms one of the key challenges in the evaluation of exposure effects in observational studies, and has been the subject of vigorous recent activity in causal inference. A major drawback of routine procedures is that there is no finite sample size at which they are guaranteed to deliver exposure effect estimators and associated confidence intervals with adequate performance. In this work, we will consider this problem when inferring conditional causal hazard ratios from observational studies under the assumption of no unmeasured confounding. The major complication that we face with survival data is that the key confounding variables may not be those that explain the censoring mechanism. In this paper, we overcome this problem using a novel and simple procedure that can be implemented using off-the-shelf software for penalized Cox regression. In particular, we will propose tests of the null hypothesis that the exposure has no effect on the considered survival endpoint, which are uniformly valid under standard sparsity conditions. Simulation results show that the proposed methods yield valid inferences even when covariates are high-dimensional.</t>
  </si>
  <si>
    <t>[Van Lancker, Kelly; Dukes, Oliver; Vansteelandt, Stijn] Univ Ghent, Dept Appl Math Comp Sci &amp; Stat, Ghent, Belgium; [Van Lancker, Kelly] Johns Hopkins Bloomberg Sch Publ Hlth, Dept Biostat, Baltimore, MD 21205 USA</t>
  </si>
  <si>
    <t>Ghent University; Johns Hopkins University; Johns Hopkins Bloomberg School of Public Health</t>
  </si>
  <si>
    <t>Van Lancker, K (corresponding author), Univ Ghent, Dept Appl Math Comp Sci &amp; Stat, Ghent, Belgium.;Van Lancker, K (corresponding author), Johns Hopkins Bloomberg Sch Publ Hlth, Dept Biostat, Baltimore, MD 21205 USA.</t>
  </si>
  <si>
    <t>kelly.vanlancker@ugent.be</t>
  </si>
  <si>
    <t>; Vansteelandt, Stijn/J-4072-2017</t>
  </si>
  <si>
    <t>Dukes, Oliver/0000-0002-9145-3325; Van Lancker, Kelly/0000-0003-3458-3788; Vansteelandt, Stijn/0000-0002-4207-8733</t>
  </si>
  <si>
    <t>Fulbright Association; Belgian American Educational Foundation; Fonds Wetenschappelijk Onderzoek [1222522N, G016116N]; Agentschap Innoveren en Ondernemen [HBC.2017.0219]; Bijzonder Onderzoeksfonds UGent [BOF.01P07421, BOF.01P08419]</t>
  </si>
  <si>
    <t>Fulbright Association; Belgian American Educational Foundation; Fonds Wetenschappelijk Onderzoek(FWO); Agentschap Innoveren en Ondernemen; Bijzonder Onderzoeksfonds UGent</t>
  </si>
  <si>
    <t>Fulbright Association; Belgian American Educational Foundation; Fonds Wetenschappelijk Onderzoek, Grant/Award Numbers: 1222522N, G016116N; Agentschap Innoveren en Ondernemen, Grant/Award Number: Baekeland grant agreement HBC.2017.0219; Bijzonder Onderzoeksfonds UGent, Grant/Award Numbers: BOF.01P07421, BOF.01P08419</t>
  </si>
  <si>
    <t>10.1111/biom.13889</t>
  </si>
  <si>
    <t>JUN 2023</t>
  </si>
  <si>
    <t>LI6F0</t>
  </si>
  <si>
    <t>WOS:001014425300001</t>
  </si>
  <si>
    <t>Bondarenko, OV; Pakhomova, OV; Lewoniewski, W</t>
  </si>
  <si>
    <t>Kiv, AE; Shyshkina, MP</t>
  </si>
  <si>
    <t>Bondarenko, Olga V.; Pakhomova, Olena V.; Lewoniewski, Wlodzimierz</t>
  </si>
  <si>
    <t>PROCEEDINGS OF THE 2ND INTERNATIONAL WORKSHOP ON AUGMENTED REALITY IN EDUCATION (AREDU 2019)</t>
  </si>
  <si>
    <t>CEUR Workshop Proceedings-Series</t>
  </si>
  <si>
    <t>2nd International Workshop on Augmented Reality in Education (AREdu)</t>
  </si>
  <si>
    <t>MAR 22, 2019</t>
  </si>
  <si>
    <t>Kryvyi Rih, UKRAINE</t>
  </si>
  <si>
    <t>teacher training; students; virtual information educational environment; Google Classroom</t>
  </si>
  <si>
    <t>The article clarifies the concept of virtual information educational environment (VIEE) and examines the researchers' views on its meaning exposed in the scientific literature. The article determines the didactic potential of the virtual information educational environment for the geography students training based on the analysis of the authors' experience of blended learning by means of the Google Classroom. It also specifies the features (immersion, interactivity, and dynamism, sense of presence, continuity, and causality). The authors highlighted the advantages of virtual information educational environment implementation, such as: increase of the efficiency of the educational process by intensifying the process of cognition and interpersonal interactive communication; continuous access to multimedia content both in Google Classroom and beyond; saving student time due to the absence of necessity to work out the training material manually; availability of virtual pages of the virtual class; individualization of the educational process; formation of informational culture of the geography students; and more productive learning of the educational material at the expense of IT educational facilities. Among the disadvantages the article mentions low level of computerization, insignificant quantity and low quality of software products, underestimation of the role of VI.. in the professional training of geography students, and the lack of economic stimuli, etc.</t>
  </si>
  <si>
    <t>[Bondarenko, Olga V.] Kryvyi Rih State Pedag Univ, 54 Gagarina Ave, UA-50086 Kryvyi Rih, Ukraine; [Pakhomova, Olena V.] Oles Honchar Dnipro Natl Univ, 72 Haharina Ave, UA-49000 Dnipro, Ukraine; [Lewoniewski, Wlodzimierz] Poznan Univ Econ &amp; Business, Al Niepodleglosci 10, PL-61875 Poznan, Poland</t>
  </si>
  <si>
    <t>Ministry of Education &amp; Science of Ukraine; Kryvyi Rih State Pedagogical University; Ministry of Education &amp; Science of Ukraine; Oles Honchar Dnipro National University; Poznan University of Economics &amp; Business</t>
  </si>
  <si>
    <t>Bondarenko, OV (corresponding author), Kryvyi Rih State Pedag Univ, 54 Gagarina Ave, UA-50086 Kryvyi Rih, Ukraine.</t>
  </si>
  <si>
    <t>bondarenko.olga@kdpu.edu.ua; helenpah@gmail.com; wlodzimierz.lewoniewski@ue.poznan.pl</t>
  </si>
  <si>
    <t>Bondarenko, Olga/A-8029-2018; Bondarenko, Olga/AAE-9441-2022</t>
  </si>
  <si>
    <t>Bondarenko, Olga/0000-0003-2356-2674; Bondarenko, Olga/0000-0003-2356-2674; Lewoniewski, Wlodzimierz/0000-0002-0163-5492</t>
  </si>
  <si>
    <t>RWTH AACHEN</t>
  </si>
  <si>
    <t>Aachen</t>
  </si>
  <si>
    <t>Ahornstr. 55, Aachen, *, GERMANY</t>
  </si>
  <si>
    <t>1613-0073</t>
  </si>
  <si>
    <t>CEUR WORKSHOP PROCEE</t>
  </si>
  <si>
    <t>Computer Science, Artificial Intelligence; Computer Science, Information Systems; Computer Science, Interdisciplinary Applications; Education, Scientific Disciplines</t>
  </si>
  <si>
    <t>BR5GE</t>
  </si>
  <si>
    <t>WOS:000655018600002</t>
  </si>
  <si>
    <t>Sharma, T; Singh, P; Spinellis, D</t>
  </si>
  <si>
    <t>Sharma, Tushar; Singh, Paramvir; Spinellis, Diomidis</t>
  </si>
  <si>
    <t>EMPIRICAL SOFTWARE ENGINEERING</t>
  </si>
  <si>
    <t>Maintainability; Code quality; Code smells; Architecture smells; Design smells; Inter-smell relationships; Collocation; Correlation; Causality; Refactoring</t>
  </si>
  <si>
    <t>CODE ANOMALIES; SOFTWARE; IMPACT</t>
  </si>
  <si>
    <t>Context: Architecture of a software system represents the key design decisions and therefore its quality plays an important role to keep the software maintainable. Code smells are indicators of quality issues in a software system and are classified based on their granularity, scope, and impact. Despite a plethora of existing work on smells, a detailed exploration of architecture smells, their characteristics, and their relationships with smells in other granularities is missing. Objective: The paper aims to study architecture smells characteristics, investigate correlation, collocation, and causation relationships between architecture and design smells. Method: We implement smell detection support for seven architecture smells. We mine 3 073 open-source repositories containing more than 118 million lines of C# code and empirically investigate the relationships between seven architecture and 19 design smells. Results: We find that smell density does not depend on repository size. Cumulatively, architecture smells are highly correlated with design smells. Our collocation analysis finds that the majority of design and architecture smell pairs do not exhibit collocation. Finally, our causality analysis reveals that design smells cause architecture smells.</t>
  </si>
  <si>
    <t>[Sharma, Tushar] Siemens Corp Technol, Charlotte, NC USA; [Singh, Paramvir] Univ Auckland, Sch Comp Sci, Auckland, New Zealand; [Spinellis, Diomidis] Athens Univ Econ &amp; Business, Athens, Greece</t>
  </si>
  <si>
    <t>Siemens AG; University of Auckland; Athens University of Economics &amp; Business</t>
  </si>
  <si>
    <t>Sharma, T (corresponding author), Siemens Corp Technol, Charlotte, NC USA.</t>
  </si>
  <si>
    <t>tusharsharma@ieee.org; p.singh@auckland.ac.nz; dds@aueb.gr</t>
  </si>
  <si>
    <t>Sharma, Tushar/ABI-5681-2020; Spinellis, Diomidis/E-3600-2010</t>
  </si>
  <si>
    <t>Spinellis, Diomidis/0000-0003-4231-1897; Sharma, Tushar/0000-0002-0538-052X</t>
  </si>
  <si>
    <t>seneca project, Marie Skodowska-Curie Innovative Training Networks (itn-eid) [642954]; Marie Curie Actions (MSCA) [642954] Funding Source: Marie Curie Actions (MSCA)</t>
  </si>
  <si>
    <t>seneca project, Marie Skodowska-Curie Innovative Training Networks (itn-eid); Marie Curie Actions (MSCA)(Marie Curie Actions)</t>
  </si>
  <si>
    <t>The authors would like to thank Panos Louridas and Vasiliki Efstathiou from the Athens University of Economics and Business for providing useful improvement suggestions. We also like to thank Rohit Tiwari and Amit Dogra for putting numerous hours validating Designite.; This work was partially funded by the seneca project, which is part of the Marie Skodowska-Curie Innovative Training Networks (itn-eid). Grant agreement number 642954.</t>
  </si>
  <si>
    <t>DORDRECHT</t>
  </si>
  <si>
    <t>VAN GODEWIJCKSTRAAT 30, 3311 GZ DORDRECHT, NETHERLANDS</t>
  </si>
  <si>
    <t>1382-3256</t>
  </si>
  <si>
    <t>1573-7616</t>
  </si>
  <si>
    <t>EMPIR SOFTW ENG</t>
  </si>
  <si>
    <t>Empir. Softw. Eng.</t>
  </si>
  <si>
    <t>AUG 2020</t>
  </si>
  <si>
    <t>NJ1FD</t>
  </si>
  <si>
    <t>WOS:000564958400001</t>
  </si>
  <si>
    <t>Varshney, KR</t>
  </si>
  <si>
    <t>Varshney, Kush R.</t>
  </si>
  <si>
    <t>Engineering Safety in Machine Learning</t>
  </si>
  <si>
    <t>2016 INFORMATION THEORY AND APPLICATIONS WORKSHOP (ITA)</t>
  </si>
  <si>
    <t>Information Theory and Applications Workshop</t>
  </si>
  <si>
    <t>JAN 31-FEB 05, 2016</t>
  </si>
  <si>
    <t>La Jolla, CA</t>
  </si>
  <si>
    <t>Machine learning algorithms are increasingly influencing our decisions and interacting with us in all parts of our daily lives. Therefore, just like for power plants, highways, and myriad other engineered sociotechnical systems, we must consider the safety of systems involving machine learning. In this paper, we first discuss the definition of safety in terms of risk, epistemic uncertainty, and the harm incurred by unwanted outcomes. Then we examine dimensions, such as the choice of cost function and the appropriateness of minimizing the empirical average training cost, along which certain real-world applications may not be completely amenable to the foundational principle of modern statistical machine learning: empirical risk minimization. In particular, we note an emerging dichotomy of applications: ones in which safety is important and risk minimization is not the complete story (we name these Type A applications), and ones in which safety is not so critical and risk minimization is sufficient (we name these Type B applications). Finally, we discuss how four different strategies for achieving safety in engineering (inherently safe design, safety reserves, safe fail, and procedural safeguards) can be mapped to the machine learning context through interpretability and causality of predictive models, objectives beyond expected prediction accuracy, human involvement for labeling difficult or rare examples, and user experience design of software.</t>
  </si>
  <si>
    <t>[Varshney, Kush R.] IBM Thomas J Watson Res Ctr, Math Sci &amp; Analyt Dept, Yorktown Hts, NY 10598 USA</t>
  </si>
  <si>
    <t>International Business Machines (IBM)</t>
  </si>
  <si>
    <t>Varshney, KR (corresponding author), IBM Thomas J Watson Res Ctr, Math Sci &amp; Analyt Dept, Yorktown Hts, NY 10598 USA.</t>
  </si>
  <si>
    <t>978-1-5090-2529-9</t>
  </si>
  <si>
    <t>BI1HW</t>
  </si>
  <si>
    <t>WOS:000405940800065</t>
  </si>
  <si>
    <t>Vasichenko, K; Khan, I; Wang, ZB</t>
  </si>
  <si>
    <t>Vasichenko, Kristina; Khan, Imran; Wang, Zhengbing</t>
  </si>
  <si>
    <t>Symmetric and asymmetric effect of energy consumption and CO2intensity on environmental quality: using nonlinear and asymmetric approach</t>
  </si>
  <si>
    <t>ENVIRONMENTAL SCIENCE AND POLLUTION RESEARCH</t>
  </si>
  <si>
    <t>Asymmetries; Energy consumption; CO(2)intensity; NARDL cointegration; Russian Federation</t>
  </si>
  <si>
    <t>WATER-RESOURCE MANAGEMENT; KUZNETS CURVE HYPOTHESIS; OPTIMAL LAG ORDER; ECONOMIC-GROWTH; CO2 EMISSIONS; RENEWABLE ENERGY; FINANCIAL DEVELOPMENT; ECOLOGICAL FOOTPRINT; UNIT-ROOT; ECOSYSTEM SERVICES</t>
  </si>
  <si>
    <t>This paper investigates the asymmetric impact of energy consumption and carbon dioxide (CO2) intensity on the environmental quality in Russia. The ecological footprint (a proxy for environmental quality) was used as a dependent variable, while independent variables include energy consumption, CO(2)intensity, and gross fixed capital formation as a proxy of capital for time series data spanning from 1992 to 2016. To examine the asymmetric cointegration between the selected variables, the nonlinear autoregressive distributed lag (NARDL) method was used. The structural break unit root and BDS tests were used to check data stationarity and nonlinearity, respectively. Besides, the asymmetric causality test in Gauss software was employed to check the causal relationship among the variables. Among the considered variables, the asymmetric cointegration was found. A significant unidirectional symmetric causality was found running from energy consumption to ecological footprint (Wald test = 3.956*) and from ecological footprint to capital (Wald test = 10.115**), while asymmetrically, ecological footprint granger cause energy consumption (Wald test = 6.054**) and capital (Wald test = 6.739**) respectively. On the contrary, a neutral effect was found between environmental quality and CO(2)intensity. From these findings, environmental policies are also discussed. Specifically, policymakers should support modern, controlled emission technologies, including nuclear and renewable energy sources and green portfolio investment.</t>
  </si>
  <si>
    <t>[Vasichenko, Kristina; Khan, Imran; Wang, Zhengbing] Northwest A&amp;F Univ, Coll Econ &amp; Management, 3 Taicheng Rd, Yangling 712100, Shaanxi, Peoples R China</t>
  </si>
  <si>
    <t>Northwest A&amp;F University - China</t>
  </si>
  <si>
    <t>Khan, I; Wang, ZB (corresponding author), Northwest A&amp;F Univ, Coll Econ &amp; Management, 3 Taicheng Rd, Yangling 712100, Shaanxi, Peoples R China.</t>
  </si>
  <si>
    <t>imran@nwafu.edu.cn; wwwty1996@163.com</t>
  </si>
  <si>
    <t>Wang, Zheng Bing/E-8043-2011</t>
  </si>
  <si>
    <t>Khan, Imran/0000-0003-4750-8189</t>
  </si>
  <si>
    <t>special scientific research project of Free Trade Zone Research Institute of Xi'an Jiaotong University Research on strategy and path of Shaanxi free trade zone to build international cooperation center of modern agriculture [z2017008]; project of Philosophy and Social Science Foundation Shaanxi Province based on the construction of incentive and restriction system for cadres of the two rural committees of Shaanxi Province under the background of three changes [2018s04]</t>
  </si>
  <si>
    <t>special scientific research project of Free Trade Zone Research Institute of Xi'an Jiaotong University Research on strategy and path of Shaanxi free trade zone to build international cooperation center of modern agriculture; project of Philosophy and Social Science Foundation Shaanxi Province based on the construction of incentive and restriction system for cadres of the two rural committees of Shaanxi Province under the background of three changes</t>
  </si>
  <si>
    <t>The authors extend their heartfelt thanks to the editorial team of this journal and the anonymous reviewers for their critical evaluation and suggestions that have significantly improved the manuscript. The survey was sponsored by the special scientific research project of Free Trade Zone Research Institute of Xi'an Jiaotong University Research on strategy and path of Shaanxi free trade zone to build international cooperation center of modern agriculture (No: z2017008) and the project of Philosophy and Social Science Foundation Shaanxi Province based on the construction of incentive and restriction system for cadres of the two rural committees of Shaanxi Province under the background of three changes (No: 2018s04).</t>
  </si>
  <si>
    <t>0944-1344</t>
  </si>
  <si>
    <t>1614-7499</t>
  </si>
  <si>
    <t>ENVIRON SCI POLLUT R</t>
  </si>
  <si>
    <t>Environ. Sci. Pollut. Res.</t>
  </si>
  <si>
    <t>10.1007/s11356-020-09263-5</t>
  </si>
  <si>
    <t>JUN 2020</t>
  </si>
  <si>
    <t>Environmental Sciences</t>
  </si>
  <si>
    <t>Environmental Sciences &amp; Ecology</t>
  </si>
  <si>
    <t>MX9CJ</t>
  </si>
  <si>
    <t>WOS:000539204100010</t>
  </si>
  <si>
    <t>Hossain, MB; Karim, ME</t>
  </si>
  <si>
    <t>Hossain, Md. Belal; Karim, Mohammad Ehsanul</t>
  </si>
  <si>
    <t>Key considerations for choosing a statistical method to deal with incomplete treatment adherence in pragmatic trials</t>
  </si>
  <si>
    <t>PHARMACEUTICAL STATISTICS</t>
  </si>
  <si>
    <t>non-adherence; point treatment; pragmatic trials; sustained treatment</t>
  </si>
  <si>
    <t>RANDOMIZED CLINICAL-TRIALS; INTENTION-TO-TREAT; MARGINAL STRUCTURAL MODELS; INSTRUMENTAL VARIABLE METHODS; RESIDUAL INCLUSION ESTIMATION; INVERSE-PROBABILITY WEIGHTS; CHRONIC HEART-FAILURE; CAUSAL INFERENCE; NONPARAMETRIC BOUNDS; PRACTITIONERS GUIDE</t>
  </si>
  <si>
    <t>Pragmatic trials offer practical means of obtaining real-world evidence to help improve decision-making in comparative effectiveness settings. Unfortunately, incomplete adherence is a common problem in pragmatic trials. The commonly used methods in randomized control trials often cannot handle the added complexity imposed by incomplete adherence, resulting in biased estimates. Several naive methods and advanced causal inference methods (e.g., inverse probability weighting and instrumental variable-based approaches) have been used in the literature to deal with incomplete adherence. Practitioners and applied researchers are often confused about which method to consider under a given setting. This current work is aimed to review commonly used statistical methods to deal with non-adherence along with their key assumptions, advantages, and limitations, with a particular focus on pragmatic trials. We have listed the applicable settings for these methods and provided a summary of available software. All methods were applied to two hypothetical datasets to demonstrate how these methods perform in a given scenario, along with the R codes. The key considerations include the type of intervention strategy (point treatment settings, where treatment is administered only once versus sustained treatment settings, where treatment has to be continued over time) and availability of data (e.g., the extent of measured or unmeasured covariates that are associated with adherence, dependent confounding impacted by past treatment, and potential violation of assumptions). This study will guide practitioners and applied researchers to use the appropriate statistical method to address incomplete adherence in pragmatic trial settings for both the point and sustained treatment strategies.</t>
  </si>
  <si>
    <t>[Hossain, Md. Belal; Karim, Mohammad Ehsanul] Univ British Columbia, Sch Populat &amp; Publ Hlth, Vancouver, BC, Canada; [Karim, Mohammad Ehsanul] Univ British Columbia, Ctr Hlth Evaluat &amp; Outcome Sci, Vancouver, BC, Canada</t>
  </si>
  <si>
    <t>University of British Columbia; University of British Columbia</t>
  </si>
  <si>
    <t>Karim, ME (corresponding author), Univ British Columbia, Ctr Hlth Evaluat &amp; Outcome Sci, Vancouver, BC, Canada.</t>
  </si>
  <si>
    <t>ehsan.karim@ubc.ca</t>
  </si>
  <si>
    <t>Karim, Ehsan/I-1803-2018; Hossain, Belal/V-8136-2018</t>
  </si>
  <si>
    <t>Karim, Ehsan/0000-0002-0346-2871; Hossain, Belal/0000-0003-4603-863X</t>
  </si>
  <si>
    <t>BC Support Unit's Real-World Clinical Trials Methods Cluster [2]</t>
  </si>
  <si>
    <t>BC Support Unit's Real-World Clinical Trials Methods Cluster</t>
  </si>
  <si>
    <t>This work was supported by BC Support Unit's Real-World Clinical Trials Methods Cluster, Project #2, led by Dr. Karim (with research members Paul Gustafson, Joan Hu, Hubert Wong and Derek Ouyang), and Dr. Karim's Natural Sciences and Engineering Research Council of Canada (NSERC) Discovery Accelerator Supplements.</t>
  </si>
  <si>
    <t>1539-1604</t>
  </si>
  <si>
    <t>1539-1612</t>
  </si>
  <si>
    <t>PHARM STAT</t>
  </si>
  <si>
    <t>Pharm. Stat.</t>
  </si>
  <si>
    <t>10.1002/pst.2258</t>
  </si>
  <si>
    <t>AUG 2022</t>
  </si>
  <si>
    <t>Pharmacology &amp; Pharmacy; Statistics &amp; Probability</t>
  </si>
  <si>
    <t>Pharmacology &amp; Pharmacy; Mathematics</t>
  </si>
  <si>
    <t>8A8OT</t>
  </si>
  <si>
    <t>WOS:000836938600001</t>
  </si>
  <si>
    <t>Asano, T; Sugawara, T</t>
  </si>
  <si>
    <t>Asano, Tamon; Sugawara, Takeshi</t>
  </si>
  <si>
    <t>JOURNAL OF CRYPTOGRAPHIC ENGINEERING</t>
  </si>
  <si>
    <t>Side-channel analysis; Masking; Barrel shifter; Adder; RISC-V</t>
  </si>
  <si>
    <t>Masking is a promising countermeasure against side-channel attacks, and share slicing is a masking technique that stores all shares in a single register to exploit the parallelism of Boolean instructions. However, the security of share slicing relies on the assumption of bit-independent leakage. Gao et al. recently discovered that bit-interaction leakage causes security degradation by experimentally evaluating ARM processors. However, its causality remains an open question because of the black box nature of the target processors. In this study, we approach this problem with simulation-based side-channel leakage evaluation using a RISC-V processor. More specifically, we use Western Digital's open-source SweRV EH1 core as a target platform and measure its side-channel traces by running logic simulation and counting the number of signal transitions in the synthesized netlist. We successfully replicate the bit-interaction leakage from a shifter using the simulated traces. By exploiting the flexibility of simulation-based analysis, we positively verify Gao et al.'s hypothesis on how the shifter causes the leakage. Moreover, we discover a bit-interaction leakage from an arithmetic adder caused by carry propagation. Further, we discuss hardware and software countermeasures against bit-interaction leakage.</t>
  </si>
  <si>
    <t>[Asano, Tamon; Sugawara, Takeshi] Univ Electrocommun, Dept Informat, 1-5-1 Chofugaoka, Chofu, Tokyo 1828585, Japan</t>
  </si>
  <si>
    <t>University of Electro-Communications - Japan</t>
  </si>
  <si>
    <t>Asano, T (corresponding author), Univ Electrocommun, Dept Informat, 1-5-1 Chofugaoka, Chofu, Tokyo 1828585, Japan.</t>
  </si>
  <si>
    <t>tmn87.rd@gmail.com; sugawara@uec.ac.jp</t>
  </si>
  <si>
    <t>Sugawara, Takeshi/AAF-8904-2020</t>
  </si>
  <si>
    <t>Sugawara, Takeshi/0000-0001-9356-534X</t>
  </si>
  <si>
    <t>JSPS KAKENHI [JP18H05289]; VLSI Design and Education Center (VDEC), the University of Tokyo; CADENCE Corporation; SYNOPSYS Corporation</t>
  </si>
  <si>
    <t>JSPS KAKENHI(Ministry of Education, Culture, Sports, Science and Technology, Japan (MEXT)Japan Society for the Promotion of ScienceGrants-in-Aid for Scientific Research (KAKENHI)); VLSI Design and Education Center (VDEC), the University of Tokyo; CADENCE Corporation(Cadence Design Systems); SYNOPSYS Corporation</t>
  </si>
  <si>
    <t>We would like to thank the anonymous reviewers at PROOFS 2021 and JCEN for their valuable and helpful comments. The study is supported by JSPS KAKENHI Grant Number JP18H05289. The CAD tools used in the study are supported by VLSI Design and Education Center (VDEC), the University of Tokyo, with the collaboration of CADENCE Corporation and SYNOPSYS Corporation.</t>
  </si>
  <si>
    <t>2190-8508</t>
  </si>
  <si>
    <t>2190-8516</t>
  </si>
  <si>
    <t>J CRYPTOGR ENG</t>
  </si>
  <si>
    <t>J. Cryptogr. Eng.</t>
  </si>
  <si>
    <t>2023 JUN 20</t>
  </si>
  <si>
    <t>J7QC3</t>
  </si>
  <si>
    <t>WOS:001011520700001</t>
  </si>
  <si>
    <t>Arefin, MS; Alam, MS; Islam, N; Molasy, M</t>
  </si>
  <si>
    <t>Arefin, Md Shamsul; Alam, Md Shariful; Islam, Nazrul; Molasy, Mateusz</t>
  </si>
  <si>
    <t>Organizational politics and work-family conflict: the hospitality industry in Bangladesh</t>
  </si>
  <si>
    <t>SOUTH ASIAN JOURNAL OF BUSINESS STUDIES</t>
  </si>
  <si>
    <t>Organizational politics; Work-family conflict; Task performance; Organizational citizenship behavior; Turnover intention; Tourism</t>
  </si>
  <si>
    <t>CITIZENSHIP BEHAVIOR; TURNOVER INTENTION; JOB-SATISFACTION; MODERATING ROLE; ROLE STRESSORS; MEDIATING ROLE; SCALE POPS; PERCEPTIONS; OUTCOMES; ATTITUDES</t>
  </si>
  <si>
    <t>Purpose Researchers have shown increasing interest, in recent times, in organizational politics and how it affects employees and organizations. This paper aims to investigate how perceived organizational politics (POPS) impact employee behaviors such as task performance, organizational citizenship and turnover intention, by affecting work-family conflict. Design/methodology/approach A sample of 287 full-time frontline hotel employees in Bangladesh was collected. A hierarchical regression analysis was applied to test the hypotheses. Data were analyzed using SPSS and AMOS software. Findings The results show that work-family conflict plays a mediating role in the indirect effect of POPS on task performance, organizational citizenship behavior (OCB) and turnover intention. The findings of the study also suggest that POPS has a positive association with work-family conflict and turnover intention, and negative association with task performance and OCB. Research limitations/implications This study cannot confirm causal inference, which can be the scope for future studies. Practical implications Managers may design the work environment in ways that ensure work and family interface and employee retention. Training programs can help employees deal with organizational politics and potential impact on work and nonwork problems. Managers should provide employees with the necessary support to sustain in-role and extra-role behavior in the political environment. Originality/value To the best of our knowledge, no prior studies have been carried out with this scope in the South Asian context.</t>
  </si>
  <si>
    <t>[Arefin, Md Shamsul] Bangabandhu Sheikh Mujibur Rahman Sci &amp; Technol U, Dept Management Studies, Gopalganj, Bangladesh; [Alam, Md Shariful] United Int Univ, Sch Business &amp; Econ, Dhaka, Bangladesh; [Islam, Nazrul] Canadian Univ Bangladesh, Sch Business, Dhaka, Bangladesh; [Molasy, Mateusz] Wroclaw Univ Sci &amp; Technol, Dept Laser Technol Automat &amp; Prod Org, Wroclaw, Poland</t>
  </si>
  <si>
    <t>Bangabandhu Sheikh Mujibur Rahman Science &amp; Technology University; United International University (UIU); Wroclaw University of Science &amp; Technology</t>
  </si>
  <si>
    <t>Arefin, MS (corresponding author), Bangabandhu Sheikh Mujibur Rahman Sci &amp; Technol U, Dept Management Studies, Gopalganj, Bangladesh.</t>
  </si>
  <si>
    <t>arreefin@gmail.com</t>
  </si>
  <si>
    <t>Islam, Dr. Nazrul/Z-2564-2019; Islam, Nazrul/GMW-9493-2022; Alam, Sharif/AAW-7847-2020; Arefin, Md. Shamsul/Z-2512-2019</t>
  </si>
  <si>
    <t>Islam, Dr. Nazrul/0000-0003-2762-4465; Alam, Sharif/0000-0003-2833-2333; Arefin, Md. Shamsul/0000-0001-5044-1080; Molasy, Mateusz/0000-0001-6390-9711</t>
  </si>
  <si>
    <t>2398-628X</t>
  </si>
  <si>
    <t>2398-6298</t>
  </si>
  <si>
    <t>S ASIAN J BUS STUD</t>
  </si>
  <si>
    <t>South Asian J. Bus. Stud.</t>
  </si>
  <si>
    <t>OCT 5</t>
  </si>
  <si>
    <t>10.1108/SAJBS-07-2019-0135</t>
  </si>
  <si>
    <t>JUL 2020</t>
  </si>
  <si>
    <t>Business</t>
  </si>
  <si>
    <t>OY0DE</t>
  </si>
  <si>
    <t>WOS:000547971000001</t>
  </si>
  <si>
    <t>Franco, AM; da Silva, AEM; Holton, G; Brody, T; Fonseca, MA</t>
  </si>
  <si>
    <t>Franco, Arturo Macias; da Silva, Aghata Elins Moreira; Holton, Graham; Brody, Tio; Fonseca, Mozart Alves</t>
  </si>
  <si>
    <t>Establishing the relationship between wildfire smoke and performance metrics on finished beef cattle in Western Rangelands</t>
  </si>
  <si>
    <t>TRANSLATIONAL ANIMAL SCIENCE</t>
  </si>
  <si>
    <t>Beef cattle; body weight gain; causality; feed intake; performance; wildfire smoke</t>
  </si>
  <si>
    <t>ACIDOSIS</t>
  </si>
  <si>
    <t>Identifying causal relationships is complicated. Researchers usually overlook causality behind relationships which can generate misleading associations. Herein, we carefully examine the parametric relationship and causality between wildfire smoke exposure and animal performance and behavior metrics over a period of 2 yr in Reno, Nevada. The animals in the 2020 smoke season were grain-finished (n = 12) and grass-finished (n = 12), whereas the animals during the 2021 season were fed under the same diet but finished with either a hormonal implant (n = 9), or without (n = 9). The dataset included daily records of feed intake (FI), body weight (BW), water intake (WI), average daily gain (ADG), and WI behavior (time spent drinking [TSD]; water intake events [WIE]; no-WIE [NWIE]). Variable tree length Bayesian additive regression trees (BART) were utilized to investigate the relationships between air quality index (AQI), particulate matter 2.5 mu m (PM2.5) and 10 mu m (PM10), NO2, SO2, Ozone, and CO levels in the air (sensors &lt; 1.6 km from animals) with the animal data. Additionally, linear mixed models with a 7-d lag were used to evaluate parametric relationships among the same variables. All statistical analyses were performed on R Statistical Software (). Under the linear mixed model with a 7-d lag, significant positive and negative associations were found for all parameters examined (P &lt; 0.05). Negative associations were found between FI, WI, ADG, BW, WIE, NWIE, TSD, and PM2.5 (P &lt; 0.05) for at least one animal group. Positive linear associations between wildfire smoke parameters and the metrics evaluated were more variable and dependent on year, treatment, and smoke parameters. When examining the credible intervals and the variable importance in the BART, relationships were more difficult to identify. However, some associations were found for Ozone, AQI, NO2, CO, and PM10 (P &lt; 0.05). Overall, our results carefully examine the relationship between smoke parameters and cattle performance and present interesting pathways previously unexplored that could guide early culling/finishing of animals to avoid economic losses associated with performance decrease in response to wildfire smoke exposure. Though interesting associations are found under linear mixed models, causality is difficult to establish, which highlights the need for controlled exposure experiments.</t>
  </si>
  <si>
    <t>[Franco, Arturo Macias; da Silva, Aghata Elins Moreira; Holton, Graham; Brody, Tio; Fonseca, Mozart Alves] Univ Nevada, Dept Agr Vet &amp; Rangeland Sci, Reno, NV 89557 USA; [da Silva, Aghata Elins Moreira] Auburn Univ, Dept Anim Sci, Auburn, AL 36849 USA</t>
  </si>
  <si>
    <t>Nevada System of Higher Education (NSHE); University of Nevada Reno; Auburn University System; Auburn University</t>
  </si>
  <si>
    <t>Fonseca, MA (corresponding author), Univ Nevada, Dept Agr Vet &amp; Rangeland Sci, Reno, NV 89557 USA.</t>
  </si>
  <si>
    <t>mfonseca@unr.edu</t>
  </si>
  <si>
    <t>; Fonseca, Mozart/M-2343-2016</t>
  </si>
  <si>
    <t>Macias Franco, Arturo/0000-0002-1764-2857; Fonseca, Mozart/0000-0002-7393-9508</t>
  </si>
  <si>
    <t>University of Nevada, Reno; Paul and Daisy Soros Fellowship for New Americans; Dick Kleberg Beef Breeding scholarship from the College of Agriculture Biotechnology and Natural Resources of the University of Nevada, Reno</t>
  </si>
  <si>
    <t>This project was funded through the pack partnership internal grant from the University of Nevada, Reno. The first author's financial support is primarily provided by the Paul and Daisy Soros Fellowship for New Americans and through the Dick Kleberg Beef Breeding scholarship from the College of Agriculture Biotechnology and Natural Resources of the University of Nevada, Reno.</t>
  </si>
  <si>
    <t>2573-2102</t>
  </si>
  <si>
    <t>TRANSL ANIM SCI</t>
  </si>
  <si>
    <t>Transl. Anim. Sci.</t>
  </si>
  <si>
    <t>txae022</t>
  </si>
  <si>
    <t>10.1093/tas/txae022</t>
  </si>
  <si>
    <t>Agriculture, Dairy &amp; Animal Science</t>
  </si>
  <si>
    <t>Agriculture</t>
  </si>
  <si>
    <t>LH4Z6</t>
  </si>
  <si>
    <t>WOS:001185898400001</t>
  </si>
  <si>
    <t>Recse, A; Promwongsa, N; Ebrahimzadeh, A; Afrasiabi, SN; Mouradian, C; Li, WB; Szabó, R; Glitho, RH</t>
  </si>
  <si>
    <t>Recse, Akos; Promwongsa, Nattakorn; Ebrahimzadeh, Amin; Afrasiabi, Seyedeh Negar; Mouradian, Carla; Li, Wubin; Szabo, Robert; Glitho, Roch H.</t>
  </si>
  <si>
    <t>IEEE TRANSACTIONS ON NETWORK AND SERVICE MANAGEMENT</t>
  </si>
  <si>
    <t>6G; VNF-FG embedding; latency-sensitive services; NFV resource allocation</t>
  </si>
  <si>
    <t>PLACEMENT</t>
  </si>
  <si>
    <t>Dynamic and zero-touch management is expected to be the key feature of next-generation 6G networks. Network Function Virtualization (NFV) is one of the key technologies for realizing such management through software-based networks. Despite great benefits offered by NFV, deploying network services (NSs) in NFV ecosystems remains a challenge, especially for latency-sensitive NSs, as they demand stringent latency requirements and fast service provisioning. Specifically, service graphs should be embedded into an infrastructure such that these requirements are satisfied while optimizing network operator's objectives. To cope with the scalability of optimization-based approaches, heuristic methods are known as promising alternatives to find a satisfactory solution within an acceptable execution time. However, existing VNF embedding heuristics still suffer from the so-called causality issue, which may degrade the embedding solution quality. The causality issue means that embedding decisions cannot be optimally determined before all neighboring dependencies are known. To this end, we introduce our h-horizon sequential look-ahead greedy embedding framework, which provides efficient embedding and re-embedding strategies to alleviate the impact of the causality issue. The simulation results indicate that our proposed algorithm significantly improves embedding cost, compared to the existing heuristic algorithms while being much more scalable than an optimization-based approach.</t>
  </si>
  <si>
    <t>[Recse, Akos] Eotvos Lorand Univ, Fac Informat, H-1053 Budapest, Hungary; [Promwongsa, Nattakorn; Ebrahimzadeh, Amin; Afrasiabi, Seyedeh Negar; Glitho, Roch H.] Concordia Univ, Concordia Inst Informat Syst Engn, Montreal, PQ H3G 1M8, Canada; [Mouradian, Carla; Li, Wubin] Ericsson Res, Montreal, PQ H4S 0B6, Canada; [Szabo, Robert] Ericsson Res, H-1117 Budapest, Hungary; [Glitho, Roch H.] Univ Western Cape, Comp Sci Dept, ZA-7535 Bellville, South Africa</t>
  </si>
  <si>
    <t>Eotvos Lorand University; Concordia University - Canada; Ericsson; Ericsson; University of the Western Cape</t>
  </si>
  <si>
    <t>Promwongsa, N (corresponding author), Concordia Univ, Concordia Inst Informat Syst Engn, Montreal, PQ H3G 1M8, Canada.</t>
  </si>
  <si>
    <t>n_promwo@encs.concordia.ca</t>
  </si>
  <si>
    <t>Mouradian, Carla/E-4598-2016</t>
  </si>
  <si>
    <t>Afrasiabi, Negar/0000-0003-1171-5768</t>
  </si>
  <si>
    <t>Ericsson/ENCQOR-5G Senior Industrial Research Chair on Cloud and Edge Computing for 5G and Beyond; project Strengthening the EITDigital Knowledge Innovation Community in Hungary [2021-1.2.1-EIT-KIC-2021-00006]; Ministry of Innovation and Technology of Hungary from the National Research, Development and Innovation Fund [2021-1.2.1-EIT-KIC]</t>
  </si>
  <si>
    <t>Ericsson/ENCQOR-5G Senior Industrial Research Chair on Cloud and Edge Computing for 5G and Beyond; project Strengthening the EITDigital Knowledge Innovation Community in Hungary; Ministry of Innovation and Technology of Hungary from the National Research, Development and Innovation Fund</t>
  </si>
  <si>
    <t>This work is funded by the Ericsson/ENCQOR-5G Senior Industrial Research Chair on Cloud and Edge Computing for 5G and Beyond. The research was also co-funded by the project Strengthening the EITDigital Knowledge Innovation Community in Hungary (2021-1.2.1-EIT-KIC-2021-00006), implemented with the support provided by the Ministry of Innovation and Technology of Hungary from the National Research, Development and Innovation Fund, financed under the 2021-1.2.1-EIT-KIC funding scheme. The associate editor coordinating the review of this article and approving it for publication was V. Fodor.</t>
  </si>
  <si>
    <t>1932-4537</t>
  </si>
  <si>
    <t>IEEE T NETW SERV MAN</t>
  </si>
  <si>
    <t>IEEE Trans. Netw. Serv. Manag.</t>
  </si>
  <si>
    <t>AO8V0</t>
  </si>
  <si>
    <t>WOS:001119505800042</t>
  </si>
  <si>
    <t>Kuiter, E; Krieter, S; Krüger, J; Saake, G; Leich, T</t>
  </si>
  <si>
    <t>Kuiter, Elias; Krieter, Sebastian; Krueger, Jacob; Saake, Gunter; Leich, Thomas</t>
  </si>
  <si>
    <t>Software product lines; Groupware; Feature modeling; Variability; Consistency maintenance; Collaboration</t>
  </si>
  <si>
    <t>PARTICIPANT GROUP-SIZE; USABILITY; SPECIFY</t>
  </si>
  <si>
    <t>Feature models are a helpful means to document, manage, maintain, and configure the variability of a software system, and thus are a core artifact in software product-line engineering. Due to the various purposes of feature models, they can be a cross-cutting concern in an organization, integrating technical and business aspects. For this reason, various stakeholders (e.g., developers and consultants) may get involved into modeling the features of a software product line. Currently, collaboration in such a scenario can only be done with face-to-face meetings or by combining single-user feature-model editors with additional communication and version-control systems. While face-to-face meetings are often costly and impractical, using version-control systems can cause merge conflicts and inconsistency within a model, due to the different intentions of the involved stakeholders. Advanced tools that solve these problems by enabling collaborative, real-time feature modeling, analogous to Google Docs or Overleaf for text editing, are missing. In this article, we build on a previous paper and describe (1) the extended formal foundations of collaborative, real-time feature modeling, (2) our conflict resolution algorithm in more detail, (3) proofs that our formalization converges and preserves causality as well as user intentions, (4) the implementation of our prototype, and (5) the results of an empirical evaluation to assess the prototype's usability. Our contributions provide the basis for advancing existing feature-modeling tools and practices to support collaborative feature modeling. The results of our evaluation show that our prototype is considered helpful and valuable by 17 users, also indicating potential for extending our tool and opportunities for new research directions.</t>
  </si>
  <si>
    <t>[Kuiter, Elias; Krieter, Sebastian; Krueger, Jacob; Saake, Gunter] Otto von Guericke Univ, Magdeburg, Germany; [Krieter, Sebastian; Leich, Thomas] Harz Univ Appl Sci Wernigerode, Wernigerode, Germany; [Krueger, Jacob] Univ Toronto, Toronto, ON, Canada</t>
  </si>
  <si>
    <t>Otto von Guericke University; University of Toronto</t>
  </si>
  <si>
    <t>Krieter, S (corresponding author), Otto von Guericke Univ, Magdeburg, Germany.;Krieter, S (corresponding author), Harz Univ Appl Sci Wernigerode, Wernigerode, Germany.</t>
  </si>
  <si>
    <t>kuiter@ovgu.de; skrieter@hs-harz.de; jkrueger@ovgu.de; saake@ovgu.de; tleich@hs-harz.de</t>
  </si>
  <si>
    <t>Kuiter, Elias/IAN-0538-2023</t>
  </si>
  <si>
    <t>Kuiter, Elias/0000-0003-0429-2461; Krieter, Sebastian/0000-0001-7077-7091</t>
  </si>
  <si>
    <t>Projekt DEAL</t>
  </si>
  <si>
    <t>Open Access funding enabled and organized by Projekt DEAL.</t>
  </si>
  <si>
    <t>MAR 2</t>
  </si>
  <si>
    <t>QR7CF</t>
  </si>
  <si>
    <t>WOS:000625372100001</t>
  </si>
  <si>
    <t>Wang, Y; Lou, JD; Li, J; Shi, YL; Jiang, T; Tu, LP; Xu, JT</t>
  </si>
  <si>
    <t>Wang, Yu; Lou, Jindi; Li, Jun; Shi, Yulin; Jiang, Tao; Tu, Liping; Xu, Jiatuo</t>
  </si>
  <si>
    <t>Relationship chains of subhealth physical examination indicators: a cross-sectional study using the PLS-SEM approach</t>
  </si>
  <si>
    <t>HEALTH-CARE</t>
  </si>
  <si>
    <t>Subhealth is a transitional state between health and disease, and it can be detected through routine physical check-ups. However, the complexity and diversity of physical examination items and the difficulty of quantifying subhealth manifestations are the main problems that hinder its treatment. The aim of this study was to systematically investigate the physical examination performance of the subhealthy population and further explore the deeper relationships between indicators. Indicators were obtained for 878 subjects, including basic information, Western medicine indicators, inquiries of traditional Chinese medicine and sublingual vein (SV) characteristics. Statistical differences were analysed using R software. To explore the distribution of symptoms and symptom clusters in subhealth, partial least squares-structural equation modelling (PLS-SEM) was applied to the subhealth physical examination index, and a structural model was developed to verify whether the relationship chain between the latent variables was reasonable. Finally, the reliability and validity of the PLS-SE model were assessed. The most common subclinical clinical symptoms were limb soreness (37.6%), fatigue (31.6%), shoulder and neck pain (30.5%) and dry eyes (29.2%). The redness of the SV in the subhealthy group was paler than that in the healthy group (p &lt; 0.001). This study validates the establishment of the directed acyclic relationship chain in the subhealthy group: the path from routine blood tests to lipid metabolism (t = 7.878, p &lt; 0.001), the path from lipid metabolism to obesity (t = 8.410, p &lt; 0.001), the path from obesity to SV characteristics (t = 2.237, p = 0.025), and the path from liver function to SV characteristics (t = 2.215, p = 0.027). The innovative application of PLS-SEM to the study of subhealth has revealed the existence of a chain of relationships between physical examination indicators, which will provide a basis for further exploration of subhealth mechanisms and causal inference. This study has identified the typical symptoms of subhealth, and their early management will help to advance the treatment of diseases.</t>
  </si>
  <si>
    <t>[Wang, Yu] Shanghai Univ Tradit Chinese Med, Sch Publ Hlth, 1200 Cailun Rd, Shanghai, Peoples R China; [Lou, Jindi; Li, Jun; Jiang, Tao; Tu, Liping; Xu, Jiatuo] Shanghai Univ Tradit Chinese Med, Sch Tradit Chinese Med, 1200 Cailun Rd, Shanghai, Peoples R China; [Shi, Yulin] Shanghai Univ Tradit Chinese Med, Expt Ctr Teaching &amp; Learning, 1200 Cailun Rd, Shanghai, Peoples R China</t>
  </si>
  <si>
    <t>Shanghai University of Traditional Chinese Medicine; Shanghai University of Traditional Chinese Medicine; Shanghai University of Traditional Chinese Medicine</t>
  </si>
  <si>
    <t>Xu, JT (corresponding author), Shanghai Univ Tradit Chinese Med, Sch Tradit Chinese Med, 1200 Cailun Rd, Shanghai, Peoples R China.</t>
  </si>
  <si>
    <t>xjt@fudan.edu.cn</t>
  </si>
  <si>
    <t>Wang, Jinlong/KHC-3829-2024; Wang, Yuzhen/AAI-2190-2019; Yu, Yan/KCL-1047-2024; jiang, tao/GSE-6013-2022; chen, yue/JXW-9556-2024; LI, LIXIN/KFS-0074-2024; Zhang, Xiaoyu/JXR-6386-2024; he, xi/JXN-3817-2024; Wang, Yunwen/KBR-2884-2024; Chen, Liang/JXX-7887-2024</t>
  </si>
  <si>
    <t>Wang, Yuzhen/0000-0003-1299-4519; Yu, Yan/0000-0003-2233-344X; jiang, tao/0000-0002-4438-5075; Wang, Yunwen/0009-0008-3083-7799; Wang, Yu/0000-0002-8101-6228; Li, Jun/0000-0001-5624-2146; shi, yulin/0000-0003-4379-8561; xu, jia-tuo/0000-0002-3498-2132</t>
  </si>
  <si>
    <t>AUG 22</t>
  </si>
  <si>
    <t>10.1038/s41598-023-39934-5</t>
  </si>
  <si>
    <t>P8EC1</t>
  </si>
  <si>
    <t>WOS:001052937600078</t>
  </si>
  <si>
    <t>Aach, J; Church, GM</t>
  </si>
  <si>
    <t>Aligning gene expression time series with time warping algorithms</t>
  </si>
  <si>
    <t>MOLECULAR CLASSIFICATION; CELL-CYCLE; SEQUENCE; PATTERNS; YEAST; IDENTIFICATION; HYBRIDIZATION; ARRAYS</t>
  </si>
  <si>
    <t>Motivation: Increasingly, biological processes are being studied through time series of RNA expression data collected for large numbers of genes. Because common processes may unfold at varying rates in different experiments or individuals, methods are needed that will allow corresponding expression states in different time series to be mapped to one another. Results: We present implementations of time warping algorithms applicable to RNA and protein expression data and demonstrate their application to published yeast RNA expression time series. Programs executing two warping algorithms are described, a simple warping algorithm and an interpolative algorithm, along with programs that generate graphics that visually present alignment information. We show time warping to be superior to simple clustering at mapping corresponding time states. We document the impact of statistical measurement noise and sample size on the quality of time alignments, and present issues related to statistical assessment of alignment quality through alignment scores. We also discuss directions for algorithm improvement including development of multiple time series alignments and possible applications to causality searches and non-temporal processes ('concentration warping'). Availability: Academic implementations of alignment programs genewarp and genewarpi and the graphics generation programs grphwarp and grphwarpi are available as Win32 system DOS box executables on our web site along with documentation on their use. The publicly available data on which they were demonstrated may be found at http://genome-www.stanford.edu/celloycle/. Postscript files generated by grphwarp and grphwarpi may be directly printed or viewed using GhostView software available at http://www.cs.wisc.edu/similar to ghost/.</t>
  </si>
  <si>
    <t>Harvard Univ, Sch Med, Dept Genet, Boston, MA 02115 USA; Harvard Univ, Sch Med, Lipper Ctr Computat Genet, Boston, MA 02115 USA</t>
  </si>
  <si>
    <t>Harvard University; Harvard Medical School; Harvard University; Harvard Medical School</t>
  </si>
  <si>
    <t>Church, GM (corresponding author), Harvard Univ, Sch Med, Dept Genet, 200 Longwood Ave, Boston, MA 02115 USA.</t>
  </si>
  <si>
    <t>church, george/0000-0001-6232-9969</t>
  </si>
  <si>
    <t>10.1093/bioinformatics/17.6.495</t>
  </si>
  <si>
    <t>444NC</t>
  </si>
  <si>
    <t>WOS:000169404700003</t>
  </si>
  <si>
    <t>Maher, MC; Hernandez, RD</t>
  </si>
  <si>
    <t>Maher, M. Cyrus; Hernandez, Ryan D.</t>
  </si>
  <si>
    <t>CauseMap: fast inference of causality from complex time series</t>
  </si>
  <si>
    <t>PEERJ</t>
  </si>
  <si>
    <t>Causality; Open source software; Time series methods; Dynamical systems; Personalized medicine</t>
  </si>
  <si>
    <t>Background. Establishing health-related causal relationships is a central pursuit in biomedical research. Yet, the interdependent non-linearity of biological systems renders causal dynamics laborious and at times impractical to disentangle. This pursuit is further impeded by the dearth of time series that are sufficiently long to observe and understand recurrent patterns of flux. However, as data generation costs plummet and technologies like wearable devices democratize data collection, we anticipate a coming surge in the availability of biomedically-relevant time series data. Given the life-saving potential of these burgeoning resources, it is critical to invest in the development of open source software tools that are capable of drawing meaningful insight from vast amounts of time series data. Results. Here we present CauseMap, the first open source implementation of convergent cross mapping (CCM), a method for establishing causality from long time series data (greater than or similar to 25 observations). Compared to existing time series methods, CCM has the advantage of being model-free and robust to unmeasured confounding that could otherwise induce spurious associations. CCM builds on Takens' Theorem, a well-established result from dynamical systems theory that requires only mild assumptions. This theorem allows us to reconstruct high dimensional system dynamics using a time series of only a single variable. These reconstructions can be thought of as shadows of the true causal system. If reconstructed shadows can predict points from opposing time series, we can infer that the corresponding variables are providing views of the same causal system, and so are causally related. Unlike traditional metrics, this test can establish the directionality of causation, even in the presence of feedback loops. Furthermore, since CCM can extract causal relationships from times series of, e.g., a single individual, it may be a valuable tool to personalized medicine. We implement CCM in Julia, a high-performance programming language designed for facile technical computing. Our software package, CauseMap, is platform-independent and freely available as an official Julia package. Conclusions. CauseMap is an efficient implementation of a state-of-the-art algorithm for detecting causality from time series data. We believe this tool will be a valuable resource for biomedical research and personalized medicine.</t>
  </si>
  <si>
    <t>[Maher, M. Cyrus] Univ Calif San Francisco, Dept Epidemiol &amp; Biostat, San Francisco, CA 94143 USA; [Hernandez, Ryan D.] Univ Calif San Francisco, Inst Quantitat Biosci QB3, San Francisco, CA 94143 USA</t>
  </si>
  <si>
    <t>University of California System; University of California San Francisco; University of California System; University of California San Francisco</t>
  </si>
  <si>
    <t>Maher, MC (corresponding author), Univ Calif San Francisco, Dept Epidemiol &amp; Biostat, San Francisco, CA 94143 USA.</t>
  </si>
  <si>
    <t>cyrusmaher@gmail.com</t>
  </si>
  <si>
    <t>National Institutes of Health F31 Predoctoral Fellowship [1 F31 CA180609-01]; University of California, San Francisco Lloyd M. Kozloff Fellowship; National Institutes of Health [P60MD006902, UL1RR024131, 1R21HG007233, 1R21CA178706, 1R01HL117004]; Alfred P. Sloan Foundation Research Fellowship</t>
  </si>
  <si>
    <t>National Institutes of Health F31 Predoctoral Fellowship(United States Department of Health &amp; Human ServicesNational Institutes of Health (NIH) - USAOffice of the Administrator (NIH)); University of California, San Francisco Lloyd M. Kozloff Fellowship; National Institutes of Health(United States Department of Health &amp; Human ServicesNational Institutes of Health (NIH) - USA); Alfred P. Sloan Foundation Research Fellowship(Alfred P. Sloan Foundation)</t>
  </si>
  <si>
    <t>M. Cyrus Maher was supported by the National Institutes of Health F31 Predoctoral Fellowship (grant number 1 F31 CA180609-01), and a University of California, San Francisco Lloyd M. Kozloff Fellowship. This work was also partially supported by the National Institutes of Health (grant numbers P60MD006902, UL1RR024131, 1R21HG007233, 1R21CA178706, and 1R01HL117004) and an Alfred P. Sloan Foundation Research Fellowship to Ryan D. Hernandez. The funders had no role in study design, data collection and analysis, decision to publish, or preparation of the manuscript.</t>
  </si>
  <si>
    <t>PEERJ INC</t>
  </si>
  <si>
    <t>341-345 OLD ST, THIRD FLR, LONDON, EC1V 9LL, ENGLAND</t>
  </si>
  <si>
    <t>2167-8359</t>
  </si>
  <si>
    <t>PeerJ</t>
  </si>
  <si>
    <t>MAR 5</t>
  </si>
  <si>
    <t>e824</t>
  </si>
  <si>
    <t>10.7717/peerj.824</t>
  </si>
  <si>
    <t>CD0LU</t>
  </si>
  <si>
    <t>gold, Green Submitted, Green Published</t>
  </si>
  <si>
    <t>WOS:000350765400008</t>
  </si>
  <si>
    <t>Imai, K; Ratkovic, M</t>
  </si>
  <si>
    <t>Imai, Kosuke; Ratkovic, Marc</t>
  </si>
  <si>
    <t>Robust Estimation of Inverse Probability Weights for Marginal Structural Models</t>
  </si>
  <si>
    <t>Causal inference; Covariate balancing propensity score; Inverse propensity score weighting; Observational studies; Sequential ignorability; Time-dependent treatments</t>
  </si>
  <si>
    <t>CAUSAL INFERENCE; BIAS</t>
  </si>
  <si>
    <t>Marginal structural models (MSMs) are becoming increasingly popular as a tool for causal inference from longitudinal data. Unlike standard regression models, MSMs can adjust for time-dependent observed confounders while avoiding the bias due to the direct adjustment for covariates affected by the treatment. Despite their theoretical appeal, a main practical difficulty of MSMs is the required estimation of inverse probability weights. Previous studies have found that MSMs can be highly sensitive to misspecification of treatment assignment model even when the number of time periods is moderate. To address this problem, we generalize the covariate balancing propensity score (CBPS) methodology of Imai and Ratkovic to longitudinal analysis settings. The CBPS estimates the inverse probability weights such that the resulting covariate balance is improved. Unlike the standard approach, the proposed methodology incorporates all covariate balancing conditions across multiple time periods. Since the number of these conditions grows exponentially as the number of time period increases, we also propose a low-rank approximation to ease the computational burden. Our simulation and empirical studies suggest that the CBPS significantly improves the empirical performance of MSMs by making the treatment assignment model more robust to misspecification. Open-source software is available for implementing the proposed methods.</t>
  </si>
  <si>
    <t>[Imai, Kosuke; Ratkovic, Marc] Princeton Univ, Dept Polit, Princeton, NJ 08544 USA</t>
  </si>
  <si>
    <t>Princeton University</t>
  </si>
  <si>
    <t>Imai, K (corresponding author), Princeton Univ, Dept Polit, Princeton, NJ 08544 USA.</t>
  </si>
  <si>
    <t>kimai@princeton.edu; ratkovic@princeton.edu</t>
  </si>
  <si>
    <t>Imai, Kosuke/0000-0002-2748-1022</t>
  </si>
  <si>
    <t>AMER STATISTICAL ASSOC</t>
  </si>
  <si>
    <t>ALEXANDRIA</t>
  </si>
  <si>
    <t>732 N WASHINGTON ST, ALEXANDRIA, VA 22314-1943 USA</t>
  </si>
  <si>
    <t>10.1080/01621459.2014.956872</t>
  </si>
  <si>
    <t>CW6YO</t>
  </si>
  <si>
    <t>WOS:000365144600013</t>
  </si>
  <si>
    <t>Israr, T; Woodside, M; Franks, G</t>
  </si>
  <si>
    <t>Israr, Tauseef; Woodside, Murray; Franks, Greg</t>
  </si>
  <si>
    <t>JOURNAL OF SYSTEMS AND SOFTWARE</t>
  </si>
  <si>
    <t>5th International Workshop on Software and Performance (WOSP 2005)</t>
  </si>
  <si>
    <t>JUL 11-14, 2005</t>
  </si>
  <si>
    <t>Palma de Mallorca, SPAIN</t>
  </si>
  <si>
    <t>software performance; performance modelling; performance tracing; reverse engineering; software architecture</t>
  </si>
  <si>
    <t>SOFTWARE; SYSTEMS; DESIGN</t>
  </si>
  <si>
    <t>Models of software architecture and software performance both depend on identifying and describing the interactions between the components, during typical responses. This work identifies the components and interactions that are active during a tracing experiment, hence the name effective architecture and also derives layered performance models. The System Architecture and Model Extraction Technique (SAMEtech) described here overcomes a weakness of previous work with angio traces in two ways. It only requires standard trace formats (rather than a custom format which captures causality) and it uses a simpler algorithm which scales up linearly for very large traces. It accepts some limitations: components must not have internal parallelism with forking and joining of the flow of execution. SAMEtech uses pattern matching based on interaction trees for detecting various types of interactions (asynchronous, blocking synchronous, nested synchronous, and forwarding). With this information it builds architecture and performance models. (c) 2006 Elsevier Inc. All rights reserved.</t>
  </si>
  <si>
    <t>Carleton Univ, Dept Syst &amp; Comp Engn, Ottawa, ON K1S 5B6, Canada; IBM Canada, Global Business Serv, Ottawa, ON K2V 1C8, Canada</t>
  </si>
  <si>
    <t>Carleton University; International Business Machines (IBM)</t>
  </si>
  <si>
    <t>Woodside, M (corresponding author), Carleton Univ, Dept Syst &amp; Comp Engn, 1125 Colonel By Dr, Ottawa, ON K1S 5B6, Canada.</t>
  </si>
  <si>
    <t>tisrar@ca.ibm.com; cmw@sce.carleton.ca; greg@sce.carleton.ca</t>
  </si>
  <si>
    <t>ELSEVIER SCIENCE INC</t>
  </si>
  <si>
    <t>360 PARK AVE SOUTH, NEW YORK, NY 10010-1710 USA</t>
  </si>
  <si>
    <t>0164-1212</t>
  </si>
  <si>
    <t>1873-1228</t>
  </si>
  <si>
    <t>J SYST SOFTWARE</t>
  </si>
  <si>
    <t>J. Syst. Softw.</t>
  </si>
  <si>
    <t>APR</t>
  </si>
  <si>
    <t>Science Citation Index Expanded (SCI-EXPANDED); Conference Proceedings Citation Index - Science (CPCI-S)</t>
  </si>
  <si>
    <t>158DP</t>
  </si>
  <si>
    <t>WOS:000245771700004</t>
  </si>
  <si>
    <t>Covariate balancing propensity score</t>
  </si>
  <si>
    <t>JOURNAL OF THE ROYAL STATISTICAL SOCIETY SERIES B-STATISTICAL METHODOLOGY</t>
  </si>
  <si>
    <t>Causal inference; Instrumental variables; Inverse propensity score weighting; Marginal structural models; Observational studies; Propensity score matching; Randomized experiments</t>
  </si>
  <si>
    <t>DEMYSTIFYING DOUBLE ROBUSTNESS; LARGE-SAMPLE PROPERTIES; CAUSAL INFERENCE; ALTERNATIVE STRATEGIES; EMPIRICAL-LIKELIHOOD; MATCHING ESTIMATORS; STRUCTURAL MODELS; REGRESSION; INFORMATION; EFFICIENT</t>
  </si>
  <si>
    <t>The propensity score plays a central role in a variety of causal inference settings. In particular, matching and weighting methods based on the estimated propensity score have become increasingly common in the analysis of observational data. Despite their popularity and theoretical appeal, the main practical difficulty of these methods is that the propensity score must be estimated. Researchers have found that slight misspecification of the propensity score model can result in substantial bias of estimated treatment effects. We introduce covariate balancing propensity score (CBPS) methodology, which models treatment assignment while optimizing the covariate balance. The CBPS exploits the dual characteristics of the propensity score as a covariate balancing score and the conditional probability of treatment assignment. The estimation of the CBPS is done within the generalized method-of-moments or empirical likelihood framework. We find that the CBPS dramatically improves the poor empirical performance of propensity score matching and weighting methods reported in the literature. We also show that the CBPS can be extended to other important settings, including the estimation of the generalized propensity score for non-binary treatments and the generalization of experimental estimates to a target population. Open source software is available for implementing the methods proposed.</t>
  </si>
  <si>
    <t>[Imai, Kosuke; Ratkovic, Marc] Princeton Univ, Princeton, NJ 08544 USA</t>
  </si>
  <si>
    <t>kimai@princeton.edu</t>
  </si>
  <si>
    <t>National Science Foundation [SES-0550873, SES-0752050]</t>
  </si>
  <si>
    <t>Financial support from the National Science Foundation (grants SES-0550873; SES-0752050) is acknowledged. Jeffrey Smith and Petra Todd generously provided the data that are analysed in this paper. We thank Jens Hainmueller, Mark Handcock, Gary King, Dylan Small, Richard Wyss and seminar participants at the Inter-American Development Bank, the Joint Statistical Meetings, University of California at Los Angeles, and Princeton University for helpful suggestions.</t>
  </si>
  <si>
    <t>1369-7412</t>
  </si>
  <si>
    <t>1467-9868</t>
  </si>
  <si>
    <t>J R STAT SOC B</t>
  </si>
  <si>
    <t>J. R. Stat. Soc. Ser. B-Stat. Methodol.</t>
  </si>
  <si>
    <t>10.1111/rssb.12027</t>
  </si>
  <si>
    <t>284DS</t>
  </si>
  <si>
    <t>WOS:000329296900012</t>
  </si>
  <si>
    <t>Letouze, P; Teixeira, MM</t>
  </si>
  <si>
    <t>Letouze, P.; Teixeira, M. M.</t>
  </si>
  <si>
    <t>Project-Based Transplant Management as a Research Statistical Support</t>
  </si>
  <si>
    <t>TRANSPLANTATION PROCEEDINGS</t>
  </si>
  <si>
    <t>7th Portuguese-Brazilian Transplantation Conference</t>
  </si>
  <si>
    <t>OCT 01-04, 2008</t>
  </si>
  <si>
    <t>Algarve, PORTUGAL</t>
  </si>
  <si>
    <t>RISK-FACTORS</t>
  </si>
  <si>
    <t>This paper proposes a transplant management method based on project management concepts applied to organ transplantation processes in all phases to provide statistical support for evidence based medicine (EBM) research. The transplant is viewed as a project composed by phases: (1) Initiation starts with the acknowledgement of transplant necessity. Also, the restrictions and hypothesis are determined thereby defining the medical protocols, the psychosocial attendance strategies, and performance criteria. (2) Planning formulates and revises transplant protocols that contain schedules, activities, risk identification, staff assignment, medication, examinations, evaluations, and operative interventions. Transplant requirements and stakeholders are identified to establish a resource management plan and transplant control. (3) Executing includes committing resources and coordinating implementation of transplant protocols and plans. The patient's progress is constantly evaluated in relation to quality assurance procedures. (4) Controlling performance measures and parameters with limits are used to take corrective actions subject to effectiveness evaluations that monitor transplant activities. (5) The closing reviews the collected documentation to avert potential problems with future transplants. Software was developed for transplant management based on the proposed methodology with a database and functional that statistically support primary and secondary studies, which provide parameters and definite variables for research focused on treatment, diagnoses, tracking, prognoses, and causality. The proposed methodology for transplant management gives statistical support for EBM research in the form of randomized clinical trials, cohort, case-controlled, transverse studies, and case reports. The software may be improved to provide a national/international database and research tool.</t>
  </si>
  <si>
    <t>[Letouze, P.] Univ Fed Tocantins, Curso Ciencia Computacao, Dept Comp Sci, BR-77001090 Palmas, TO, Brazil</t>
  </si>
  <si>
    <t>Universidade Federal do Tocantins (UFT)</t>
  </si>
  <si>
    <t>Letouze, P (corresponding author), Univ Fed Tocantins, Curso Ciencia Computacao, Dept Comp Sci, Av NS 15,ALCNO 14,109 Norte,Caixa Postal 114, BR-77001090 Palmas, TO, Brazil.</t>
  </si>
  <si>
    <t>patrick.letouze@gmail.com</t>
  </si>
  <si>
    <t>Teixeira, Mauro M/A-4587-2008</t>
  </si>
  <si>
    <t>0041-1345</t>
  </si>
  <si>
    <t>TRANSPL P</t>
  </si>
  <si>
    <t>Transplant. Proc.</t>
  </si>
  <si>
    <t>10.1016/j.transproceed.2009.01.058</t>
  </si>
  <si>
    <t>Immunology; Surgery; Transplantation</t>
  </si>
  <si>
    <t>437RJ</t>
  </si>
  <si>
    <t>WOS:000265504300019</t>
  </si>
  <si>
    <t>Lorincz-Comi, N; Yang, YH; Zhu, XF</t>
  </si>
  <si>
    <t>Lorincz-Comi, Noah; Yang, Yihe; Zhu, Xiaofeng</t>
  </si>
  <si>
    <t>simmrd: An open-source tool to perform simulations in Mendelian randomization</t>
  </si>
  <si>
    <t>GENETIC EPIDEMIOLOGY</t>
  </si>
  <si>
    <t>bias; causal inference; instrumental variables; Mendelian randomization; simulation</t>
  </si>
  <si>
    <t>VARIANCE WEIGHTED ESTIMATOR; WEAK INSTRUMENTS; GENETIC-VARIANTS; BIAS; ROBUST</t>
  </si>
  <si>
    <t>Mendelian randomization (MR) has become a popular tool for inferring causality of risk factors on disease. There are currently over 45 different methods available to perform MR, reflecting this extremely active research area. It would be desirable to have a standard simulation environment to objectively evaluate the existing and future methods. We present simmrd, an open-source software for performing simulations to evaluate the performance of MR methods in a range of scenarios encountered in practice. Researchers can directly modify the simmrd source code so that the research community may arrive at a widely accepted framework for researchers to evaluate the performance of different MR methods.</t>
  </si>
  <si>
    <t>[Lorincz-Comi, Noah; Yang, Yihe; Zhu, Xiaofeng] Case Western Reserve Univ, Dept Populat &amp; Quantitat Hlth Sci, Cleveland Hts, OH 44106 USA</t>
  </si>
  <si>
    <t>Lorincz-Comi, N (corresponding author), Case Western Reserve Univ, Dept Populat &amp; Quantitat Hlth Sci, Cleveland Hts, OH 44106 USA.</t>
  </si>
  <si>
    <t>njl96@case.edu</t>
  </si>
  <si>
    <t>Zhu, Xiaofeng/ABH-5003-2020; Yang, Yihe/KII-8806-2024</t>
  </si>
  <si>
    <t>Zhu, Xiaofeng/0000-0003-0154-3317; Zhu, Xiaofeng/0000-0003-0037-411X; Lorincz-Comi, Noah/0000-0002-0517-2499</t>
  </si>
  <si>
    <t>National Human Genome Research Institute (NHGRI); National Heart, Lung, and Blood Institute (NHLBI) [T32 HL007567]; [HG011052]; [HG011052-03S1]</t>
  </si>
  <si>
    <t>National Human Genome Research Institute (NHGRI)(United States Department of Health &amp; Human ServicesNational Institutes of Health (NIH) - USANIH National Human Genome Research Institute (NHGRI)); National Heart, Lung, and Blood Institute (NHLBI)(United States Department of Health &amp; Human ServicesNational Institutes of Health (NIH) - USANIH National Heart Lung &amp; Blood Institute (NHLBI)); ;</t>
  </si>
  <si>
    <t>This work was supported by grants HG011052 and HG011052-03S1 (to X.Z.) from the National Human Genome Research Institute (NHGRI). NLC was partially supported by grant T32 HL007567 from the National Heart, Lung, and Blood Institute (NHLBI).</t>
  </si>
  <si>
    <t>0741-0395</t>
  </si>
  <si>
    <t>1098-2272</t>
  </si>
  <si>
    <t>GENET EPIDEMIOL</t>
  </si>
  <si>
    <t>Genet. Epidemiol.</t>
  </si>
  <si>
    <t>10.1002/gepi.22544</t>
  </si>
  <si>
    <t>JAN 2024</t>
  </si>
  <si>
    <t>Genetics &amp; Heredity; Mathematical &amp; Computational Biology</t>
  </si>
  <si>
    <t>JK7B1</t>
  </si>
  <si>
    <t>WOS:001147536600001</t>
  </si>
  <si>
    <t>Merayo, MG; Hierons, RM; Núñez, M</t>
  </si>
  <si>
    <t>Merayo, Mercedes G.; Hierons, Robert M.; Nunez, M.</t>
  </si>
  <si>
    <t>DISTRIBUTED COMPUTING</t>
  </si>
  <si>
    <t>Model-based testing; Distributed systems; Timed systems</t>
  </si>
  <si>
    <t>REGULAR EXPRESSIONS; TIMED AUTOMATA; SYSTEMS; MODEL; PROTOCOLS; MACHINES; TOOLS</t>
  </si>
  <si>
    <t>We develop a formal passive testing framework for software systems where parties communicate asynchronously. Monitors, placed in between the entities, check that a certain property holds over the observations of the interaction between users and the system under test (SUT). Due to the asynchronous nature of communications, the trace observed by the monitor might differ from the one produced by the SUT: the monitor observes inputs before they are received by the SUT and outputs are observed after they are sent by the SUT. It is necessary to take this into account in passive testing; otherwise we might obtain false positives or false negatives. In order to better assess the real causality between actions, we consider the case where each action is labelled with a timestamp giving the time when it was observed at the monitor. We also assume that we know bounds on network latency and so the timestamps allow us to determine additional causalities between actions. Our monitors are implemented as automata that take into account communications being asynchronous. Our solution checks properties against traces in polynomial time and has low storage requirements. Therefore, our proposal is suitable for real-time passive testing.</t>
  </si>
  <si>
    <t>[Merayo, Mercedes G.; Nunez, M.] Univ Complutense Madrid, Dept Sistemas Informat &amp; Comp, Madrid, Spain; [Hierons, Robert M.] Brunel Univ, Dept Informat Syst &amp; Comp, Uxbridge UB8 3PH, Middx, England</t>
  </si>
  <si>
    <t>Complutense University of Madrid; Brunel University</t>
  </si>
  <si>
    <t>Núñez, M (corresponding author), Univ Complutense Madrid, Dept Sistemas Informat &amp; Comp, Madrid, Spain.</t>
  </si>
  <si>
    <t>mgmerayo@fdi.ucm.es; Rob.Hierons@brunel.ac.uk; mn@sip.ucm.es</t>
  </si>
  <si>
    <t>Núñez, Manuel/B-6889-2008; GARCIA MERAYO, MARIA DE LAS MERCEDES/T-4990-2018</t>
  </si>
  <si>
    <t>Núñez, Manuel/0000-0001-9808-6401; GARCIA MERAYO, MARIA DE LAS MERCEDES/0000-0002-4634-4082; Hierons, Robert/0000-0002-4771-1446</t>
  </si>
  <si>
    <t>project DArDOS (MINECO/FEDER) [TIN2015-65845-C3-1-R]; SICOMORo-CM [S2013/ICE-3006]</t>
  </si>
  <si>
    <t>project DArDOS (MINECO/FEDER); SICOMORo-CM</t>
  </si>
  <si>
    <t>Research partially supported by the projects DArDOS (TIN2015-65845-C3-1-R (MINECO/FEDER)) and SICOMORo-CM (S2013/ICE-3006).</t>
  </si>
  <si>
    <t>233 SPRING ST, NEW YORK, NY 10013 USA</t>
  </si>
  <si>
    <t>0178-2770</t>
  </si>
  <si>
    <t>1432-0452</t>
  </si>
  <si>
    <t>DISTRIB COMPUT</t>
  </si>
  <si>
    <t>Distrib. Comput.</t>
  </si>
  <si>
    <t>GO3UA</t>
  </si>
  <si>
    <t>WOS:000439920400001</t>
  </si>
  <si>
    <t>Alavi, H; Bortolini, R; Forcada, N</t>
  </si>
  <si>
    <t>Alavi, Hamidreza; Bortolini, Rafaela; Forcada, Nuria</t>
  </si>
  <si>
    <t>AUTOMATION IN CONSTRUCTION</t>
  </si>
  <si>
    <t>Building information modelling; Data model; Unified modelling language; Bayesian networks; Building condition; Facility management; Decision support; Visualization</t>
  </si>
  <si>
    <t>FACILITY MANAGEMENT; FAULT-DETECTION; SYSTEM; MAINTENANCE; MODEL; INTEGRATION; FRAMEWORK; REQUIREMENTS; GIS</t>
  </si>
  <si>
    <t>Building condition assessment requires the integration of various types of data such as building characteristics, the properties of elements/systems and maintenance records. Previous research has focused on identifying these data and developing a building condition risk assessment model based on Bayesian networks (BN). However, due to interoperability issues, the process of transferring the data is performed manually, which requires considerable time and effort. To address this issue, this paper presents a data model to integrate the building condition risk assessment model into BIM. The proposed data model is implemented in existing software as a case study and tested and evaluated on three scenarios. Addressing interoperability will leverage the BIM tool as a data repository to automate the data transfer process and improve its consistency and reliability. It will also enable BIM to be a more effective tool for building condition and causality analysis visualization.</t>
  </si>
  <si>
    <t>[Alavi, Hamidreza; Bortolini, Rafaela; Forcada, Nuria] Univ Politecn Catalunya UPC, Dept Project &amp; Construct Engn DPCE, Grp Construct Res &amp; Innovat GRIC, Colom 11,Ed TR5, Barcelona 08222, Spain; [Bortolini, Rafaela] Univ Fed Pelotas, Sch Architecture &amp; Urbanism, Pelotas, RS, Brazil</t>
  </si>
  <si>
    <t>Universitat Politecnica de Catalunya; Universidade Federal de Pelotas</t>
  </si>
  <si>
    <t>Alavi, H (corresponding author), Univ Politecn Catalunya UPC, Dept Project &amp; Construct Engn DPCE, Grp Construct Res &amp; Innovat GRIC, Colom 11,Ed TR5, Barcelona 08222, Spain.</t>
  </si>
  <si>
    <t>seyed.hamidreza.alavi@upc.edu</t>
  </si>
  <si>
    <t>Alavi, Hamidreza/AAN-1425-2021; Bortolini, Rafaela/S-4878-2019</t>
  </si>
  <si>
    <t>Alavi, Hamidreza/0000-0003-4573-3286; Bortolini, Rafaela/0000-0002-6911-4423</t>
  </si>
  <si>
    <t>Agencia de Gestio d'Ajuts Universitaris i de Recerca (AGAUR) from Generalitat de Catalunya [2019 FI_B00064]</t>
  </si>
  <si>
    <t>Agencia de Gestio d'Ajuts Universitaris i de Recerca (AGAUR) from Generalitat de Catalunya</t>
  </si>
  <si>
    <t>This work was supported by Agencia de Gestio d'Ajuts Universitaris i de Recerca (AGAUR) from Generalitat de Catalunya under Grant 2019 FI_B00064.</t>
  </si>
  <si>
    <t>0926-5805</t>
  </si>
  <si>
    <t>1872-7891</t>
  </si>
  <si>
    <t>AUTOMAT CONSTR</t>
  </si>
  <si>
    <t>Autom. Constr.</t>
  </si>
  <si>
    <t>0K8KL</t>
  </si>
  <si>
    <t>hybrid, Green Published</t>
  </si>
  <si>
    <t>WOS:000781037600002</t>
  </si>
  <si>
    <t>Keselman, A</t>
  </si>
  <si>
    <t>Supporting inquiry learning by promoting normative understanding of multivariable causality</t>
  </si>
  <si>
    <t>JOURNAL OF RESEARCH IN SCIENCE TEACHING</t>
  </si>
  <si>
    <t>STUDENTS; SCIENCE; EXPERIMENTATION; SIMULATION; SKILLS; MODEL</t>
  </si>
  <si>
    <t>Early adolescents may lack the cognitive and metacognitive skills necessary for effective inquiry learning. In particular, they are likely to have a nonnormative mental model of multivariable causality in which effects of individual variables are neither additive nor consistent. Described here is a software-based intervention designed to facilitate students' metalevel and performance-level inquiry skills by enhancing their understanding of multivariable causality. Relative to an exploration-only group, sixth graders who practiced predicting an outcome (earthquake risk) based on multiple factors demonstrated increased attention to evidence, improved metalevel appreciation of effective strategies, and a trend toward consistent use of a controlled comparison strategy. Sixth graders who also received explicit instruction in making predictions based on multiple factors showed additional improvement in their ability to compare multiple instances as a basis for inferences and constructed the most accurate knowledge of the system. Gains were maintained in transfer tasks. The cognitive skills and metalevel understanding examined here are essential to inquiry learning. (C) 2003 Wiley Periodicals, Inc.</t>
  </si>
  <si>
    <t>Columbia Univ, Coll Phys &amp; Surg, Dept Biomed Informat, New York, NY 10032 USA</t>
  </si>
  <si>
    <t>Columbia University</t>
  </si>
  <si>
    <t>Columbia Univ, Coll Phys &amp; Surg, Dept Biomed Informat, 622 W 168th St,VC-5, New York, NY 10032 USA.</t>
  </si>
  <si>
    <t>van Joolingen, Wouter R/A-7148-2011</t>
  </si>
  <si>
    <t>van Joolingen, Wouter R/0000-0002-4271-2861</t>
  </si>
  <si>
    <t>0022-4308</t>
  </si>
  <si>
    <t>1098-2736</t>
  </si>
  <si>
    <t>J RES SCI TEACH</t>
  </si>
  <si>
    <t>J. Res. Sci. Teach.</t>
  </si>
  <si>
    <t>10.1002/tea.10115</t>
  </si>
  <si>
    <t>741CH</t>
  </si>
  <si>
    <t>WOS:000186440800003</t>
  </si>
  <si>
    <t>Trujillano, D; Oprea, GE; Schmitz, Y; Bertoli-Avella, AM; Abou Jamra, R; Rolfs, A</t>
  </si>
  <si>
    <t>Trujillano, Daniel; Oprea, Gabriela-Elena; Schmitz, Yvonne; Bertoli-Avella, Aida M.; Abou Jamra, Rami; Rolfs, Arndt</t>
  </si>
  <si>
    <t>A comprehensive global genotype-phenotype database for rare diseases</t>
  </si>
  <si>
    <t>MOLECULAR GENETICS &amp; GENOMIC MEDICINE</t>
  </si>
  <si>
    <t>Clinical diagnostics; HPO; rare disease; variant database</t>
  </si>
  <si>
    <t>SEQUENCE VARIANTS; CATALOG; GLDC</t>
  </si>
  <si>
    <t>BackgroundThe ability to discover genetic variants in a patient runs far ahead of the ability to interpret them. Databases with accurate descriptions of the causal relationship between the variants and the phenotype are valuable since these are critical tools in clinical genetic diagnostics. Here, we introduce a comprehensive and global genotype-phenotype database focusing on rare diseases. MethodsThis database (CentoMD((R))) is a browser-based tool that enables access to a comprehensive, independently curated system utilizing stringent high-quality criteria and a quickly growing repository of genetic and human phenotype ontology (HPO)-based clinical information. Its main goals are to aid the evaluation of genetic variants, to enhance the validity of the genetic analytical workflow, to increase the quality of genetic diagnoses, and to improve evaluation of treatment options for patients with hereditary diseases. The database software correlates clinical information from consented patients and probands of different geographical backgrounds with a large dataset of genetic variants and, when available, biomarker information. An automated follow-up tool is incorporated that informs all users whenever a variant classification has changed. These unique features fully embedded in a CLIA/CAP-accredited quality management system allow appropriate data quality and enhanced patient safety. ResultsMore than 100,000 genetically screened individuals are documented in the database, resulting in more than 470 million variant detections. Approximately, 57% of the clinically relevant and uncertain variants in the database are novel. Notably, 3% of the genetic variants identified and previously reported in the literature as being associated with a particular rare disease were reclassified, based on internal evidence, as clinically irrelevant. ConclusionsThe database offers a comprehensive summary of the clinical validity and causality of detected gene variants with their associated phenotypes, and is a valuable tool for identifying new disease genes through the correlation of novel genetic variants with specific, well-defined phenotypes.</t>
  </si>
  <si>
    <t>[Trujillano, Daniel; Oprea, Gabriela-Elena; Schmitz, Yvonne; Bertoli-Avella, Aida M.; Abou Jamra, Rami; Rolfs, Arndt] Centogene AG, Schillingallee 68, D-18057 Rostock, Germany; [Abou Jamra, Rami] Univ Leipzig Hosp &amp; Clin, Inst Human Genet, Leipzig, Germany; [Rolfs, Arndt] Med Univ Rostock, Albrecht Kossel Inst Neuroregenerat, Rostock, Germany</t>
  </si>
  <si>
    <t>CENTOGENE AG; Leipzig University; University of Rostock</t>
  </si>
  <si>
    <t>Trujillano, D (corresponding author), Centogene AG, Schillingallee 68, D-18057 Rostock, Germany.</t>
  </si>
  <si>
    <t>daniel.trujillano@centogene.com</t>
  </si>
  <si>
    <t>Oprea, Gabriela Elena/AAM-5356-2020; Abou Jamra, Rami/AAC-8192-2019; Bertoli-Avella, Aida/AAW-2751-2020</t>
  </si>
  <si>
    <t>Abou Jamra, Rami/0000-0002-1542-1399; Bertoli-Avella, Aida/0000-0001-9544-1877; Oprea, Gabriela Elena/0000-0001-5467-5247</t>
  </si>
  <si>
    <t>Centogene AG</t>
  </si>
  <si>
    <t>This project was completely funded by Centogene AG.</t>
  </si>
  <si>
    <t>2324-9269</t>
  </si>
  <si>
    <t>MOL GENET GENOM MED</t>
  </si>
  <si>
    <t>Mol. Genet. Genom. Med.</t>
  </si>
  <si>
    <t>10.1002/mgg3.262</t>
  </si>
  <si>
    <t>Genetics &amp; Heredity</t>
  </si>
  <si>
    <t>EL2LT</t>
  </si>
  <si>
    <t>WOS:000394451900008</t>
  </si>
  <si>
    <t>Vyatkin, V; Pang, C; Tripakis, S</t>
  </si>
  <si>
    <t>Vyatkin, Valeriy; Pang, Cheng; Tripakis, Stavros</t>
  </si>
  <si>
    <t>Towards Cyber-Physical Agnosticism by Enhancing IEC 61499 with PTIDES Model of Computations</t>
  </si>
  <si>
    <t>IECON 2015 - 41ST ANNUAL CONFERENCE OF THE IEEE INDUSTRIAL ELECTRONICS SOCIETY</t>
  </si>
  <si>
    <t>IEEE Industrial Electronics Society</t>
  </si>
  <si>
    <t>41st Annual Conference of the IEEE-Industrial-Electronics-Society (IECON)</t>
  </si>
  <si>
    <t>NOV 09-12, 2015</t>
  </si>
  <si>
    <t>Yokohama, JAPAN</t>
  </si>
  <si>
    <t>IEEE Ind Elect Soc,SICE,Robot Soc Japan,IEEJ,IEEJ Cias,JSPE,JSME,EiC,SAE Japan</t>
  </si>
  <si>
    <t>distributed automation; time-stamped events; IEC 61499; PTIDES; Ptolemy II</t>
  </si>
  <si>
    <t>This paper addresses software design for cyberphysical automation systems that enables invariant properties of the physical system in case of software reallocation to different hardware. The proposed approach is based on the distributed reference architecture of IEC 61499 standard enhanced with a time-stamping mechanism. It is demonstrated that the proposed approach complements the abilities of IEC 61499 to maintain correct causality of distributed system execution with improved performance of physical system property called cyber-physical agnosticism. The time-stamped event semantics of IEC 61499 is introduced and mapped to the PTIDES execution model of Ptolemy II. We have experimentally validated that changing the model of computation in distributed automation to a time-stamped event-driven one can bring substantial improvements in flexibility and reconfigurability of cyber-physical automation systems.</t>
  </si>
  <si>
    <t>[Vyatkin, Valeriy; Pang, Cheng] Aalto Univ, Dept Elect Engn &amp; Automat, Espoo, Finland; [Tripakis, Stavros] Aalto Univ, Dept Comp Sci, Espoo, Finland; [Vyatkin, Valeriy] Lulea Univ Technol, Dept Comp Sci Elect &amp; Space Engn, Lulea, Sweden; [Tripakis, Stavros] Univ Calif Berkeley, Dept Elect Engn &amp; Comp Sci, Berkeley, CA 94720 USA</t>
  </si>
  <si>
    <t>Aalto University; Aalto University; Lulea University of Technology; University of California System; University of California Berkeley</t>
  </si>
  <si>
    <t>Vyatkin, V (corresponding author), Aalto Univ, Dept Elect Engn &amp; Automat, Espoo, Finland.</t>
  </si>
  <si>
    <t>vyatkin@ieee.org; cheng.pang.phd@ieee.org; stavros@eecs.berkeley.edu</t>
  </si>
  <si>
    <t>Pang, Cheng/N-1962-2013</t>
  </si>
  <si>
    <t>Tripakis, Stavros/0000-0002-1777-493X</t>
  </si>
  <si>
    <t>1553-572X</t>
  </si>
  <si>
    <t>978-1-4799-1762-4</t>
  </si>
  <si>
    <t>IEEE IND ELEC</t>
  </si>
  <si>
    <t>Automation &amp; Control Systems; Engineering, Industrial; Engineering, Electrical &amp; Electronic</t>
  </si>
  <si>
    <t>BF6CB</t>
  </si>
  <si>
    <t>WOS:000382950702009</t>
  </si>
  <si>
    <t>Wang, F; Turner, SJ; Wang, LH</t>
  </si>
  <si>
    <t>Davidsson, P; Logan, B; Takadama, K</t>
  </si>
  <si>
    <t>Agent communication in distributed Simulations</t>
  </si>
  <si>
    <t>MULTI-AGENT AND MULTI-AGENT-BASED SIMULATION</t>
  </si>
  <si>
    <t>Joint Workshop on Multi-Agent and Multi-Agent-Based Simulation</t>
  </si>
  <si>
    <t>JUL 19, 2004</t>
  </si>
  <si>
    <t>New York, NY</t>
  </si>
  <si>
    <t>multi-agent systems; distributed simulation; high level architecture; communication; causality; synchronization</t>
  </si>
  <si>
    <t>Multi-Agent Systems (MASs) provide a valuable tool for handling increasing software complexity and supporting rapid and accurate decision making. Various environments for testing, analyzing and developing MASs have been developed. This paper describes an approach to integrating agents into distributed simulations. Using the JADE toolkit and the HLA (High Level Architecture), a general architecture is obtained, where both the high level agent specific services and the underlying middleware comply with international standards. In this paper, we show how an MAS may be used to represent entities in a simulation, focusing on the issue of agent to agent communication, as this is one of the key characteristics of MASs. The causality problem in agent communication is described, and conditions for ensuring consistency are identified. A prototype system has been implemented to demonstrate the feasibility of our solution and some experimental results are presented.</t>
  </si>
  <si>
    <t>Nanyang Technol Univ, Sch Comp Engn, Parallel &amp; Distributed Comp Ctr, Singapore 639798, Singapore</t>
  </si>
  <si>
    <t>Nanyang Technological University</t>
  </si>
  <si>
    <t>Nanyang Technol Univ, Sch Comp Engn, Parallel &amp; Distributed Comp Ctr, Singapore 639798, Singapore.</t>
  </si>
  <si>
    <t>Turner, Stephen/GXM-4654-2022</t>
  </si>
  <si>
    <t>Turner, Stephen John/0000-0002-7421-9801</t>
  </si>
  <si>
    <t>3-540-25262-2</t>
  </si>
  <si>
    <t>BCF14</t>
  </si>
  <si>
    <t>WOS:000229000500002</t>
  </si>
  <si>
    <t>Smith, MJ; Phillips, RV; Luque-Fernandez, MA; Maringe, C</t>
  </si>
  <si>
    <t>Smith, Matthew J.; Phillips, Rachael V.; Luque-Fernandez, Miguel Angel; Maringe, Camille</t>
  </si>
  <si>
    <t>Application of targeted maximum likelihood estimation in public health and epidemiological studies: a systematic review</t>
  </si>
  <si>
    <t>ANNALS OF EPIDEMIOLOGY</t>
  </si>
  <si>
    <t>Epidemiology; Observational studies; Causal inference; Systematic review</t>
  </si>
  <si>
    <t>CAUSAL INFERENCE; ANTIRETROVIRAL THERAPY; EFFICIENT ESTIMATION; RANDOMIZED-TRIALS; DENGUE VACCINE; DOUBLY ROBUST; IMPACT; RISK; POPULATION; OUTCOMES</t>
  </si>
  <si>
    <t>Purpose: The targeted maximum likelihood estimation (TMLE) statistical data analysis framework integrates machine learning, statistical theory, and statistical inference to provide a least biased, efficient, and robust strategy for estimation and inference of a variety of statistical and causal parameters. We describe and evaluate the epidemiological applications that have benefited from recent methodological developments.Methods: We conducted a systematic literature review in PubMed for articles that applied any form of TMLE in observational studies. We summarized the epidemiological discipline, geographical location, expertize of the authors, and TMLE methods over time. We used the Roadmap of Targeted Learning and Causal Inference to extract key methodological aspects of the publications. We showcase the contributions to the literature of these TMLE results. Results: Of the 89 publications included, 33% originated from the University of California at Berkeley, where the framework was first developed by Professor Mark van der Laan. By 2022, 59% of the publications originated from outside the United States and explored up to seven different epidemiological disciplines in 2021-2022. Double-robustness, bias reduction, and model misspecification were the main motivations that drew researchers toward the TMLE framework. Through time, a wide variety of methodological, tutorial, and software-specific articles were cited, owing to the constant growth of methodological developments around TMLE. Conclusions: There is a clear dissemination trend of the TMLE framework to various epidemiological disciplines and to increasing numbers of geographical areas. The availability of R packages, publication of tutorial papers, and involvement of methodological experts in applied publications have contributed to an exponential increase in the number of studies that understood the benefits and adoption of TMLE.(c) 2023 The Author(s). Published by Elsevier Inc. This is an open access article under the CC BY license (http://creativecommons.org/licenses/by/4.0/).</t>
  </si>
  <si>
    <t>[Smith, Matthew J.; Luque-Fernandez, Miguel Angel; Maringe, Camille] London Sch Hyg &amp; Trop Med, Inequal Canc Outcomes Network, London, England; [Phillips, Rachael V.] Univ Calif Berkeley, Sch Publ Hlth, Div Biostat, Berkeley, CA USA; [Luque-Fernandez, Miguel Angel] Univ Granada, Dept Stat &amp; Operat Res, Granada, Spain; [Smith, Matthew J.] London Sch Hyg &amp; Trop Med, Keppel St, London WC1E 7HT, England</t>
  </si>
  <si>
    <t>University of London; London School of Hygiene &amp; Tropical Medicine; University of California System; University of California Berkeley; University of Granada; University of London; London School of Hygiene &amp; Tropical Medicine</t>
  </si>
  <si>
    <t>Smith, MJ (corresponding author), London Sch Hyg &amp; Trop Med, Keppel St, London WC1E 7HT, England.</t>
  </si>
  <si>
    <t>matt.smith@lshtm.ac.uk</t>
  </si>
  <si>
    <t>; LUQUE FERNANDEZ, MIGUEL ANGEL/AAK-7183-2021</t>
  </si>
  <si>
    <t>Smith, Matthew/0000-0002-8502-0056; LUQUE FERNANDEZ, MIGUEL ANGEL/0000-0001-6683-5164</t>
  </si>
  <si>
    <t>Medical Research Council [MR/W021021/1]; Cancer Research UK Population Research Committee Program Award [C7923/A29018]; MRC [MR/W021021/1] Funding Source: UKRI</t>
  </si>
  <si>
    <t>Medical Research Council(UK Research &amp; Innovation (UKRI)Medical Research Council UK (MRC)); Cancer Research UK Population Research Committee Program Award; MRC(UK Research &amp; Innovation (UKRI)Medical Research Council UK (MRC))</t>
  </si>
  <si>
    <t>This work was supported by the Medical Research Council [grant number MR/W021021/1]. A CC BY or equivalent license is applied to the Author Accepted Manuscript (AAM) arising from this submission, in accordance with the grant's open access conditions. Camille Maringe is supported by a Cancer Research UK Population Research Committee Program Award (C7923/A29018).</t>
  </si>
  <si>
    <t>STE 800, 230 PARK AVE, NEW YORK, NY 10169 USA</t>
  </si>
  <si>
    <t>1047-2797</t>
  </si>
  <si>
    <t>1873-2585</t>
  </si>
  <si>
    <t>ANN EPIDEMIOL</t>
  </si>
  <si>
    <t>Ann. Epidemiol.</t>
  </si>
  <si>
    <t>10.1016/j.annepidem.2023.06.004</t>
  </si>
  <si>
    <t>SEP 2023</t>
  </si>
  <si>
    <t>CB2X3</t>
  </si>
  <si>
    <t>Green Accepted, hybrid, Green Submitted</t>
  </si>
  <si>
    <t>WOS:001122736600001</t>
  </si>
  <si>
    <t>Henao, Y; Parrado, IY; Ospina, M; Botero, PL</t>
  </si>
  <si>
    <t>Henao, Yuly; Yadira Parrado, Ilsa; Ospina, Mauren; Lucia Botero, Piedad</t>
  </si>
  <si>
    <t>Description of the Causality Categories of possible therapeutic failures reported to the Parmacovigilance Program of AUDIFARMA S.A.</t>
  </si>
  <si>
    <t>PHARMACEUTICAL CARE ESPANA</t>
  </si>
  <si>
    <t>Spanish</t>
  </si>
  <si>
    <t>pharmacovigilance; algorithm; therapeutic ineffectiveness; causality</t>
  </si>
  <si>
    <t>INEFFECTIVENESS</t>
  </si>
  <si>
    <t>Background: Therapeutic ineffectiveness is a common drug-related problem; it can occur in a variety of situations and can be caused by different mechanisms. Objective: To describe the causality categories of the therapeutic failures (TF) reported to the pharmacovigilance program of the company Audifarma S.A in Colombia. Methods: Descriptive retrospective cross-sectional study, period: January 2012-December 2014. Suspicions TF were collected and analyzed using a pharmacovigilance software (Auditor V. 14.9.9). Causality was determined using the algorithm proposed by Vaca et al. Results: During the study period 455 (5.6%) suspected cases of TF were reported, mainly related to losartan (11.6%), bupivacaine (6.4%), Etanercept (5.1%) and warfarin (48%). 60.9% of the patients were women; the average age was 50.5 years and the most prevalent diseases were: hypertension (18.0%), rheumatoid arthritis (12.3%) and anesthesia induction (10.5%). Causality was attributed to drug misuse in 42.9% of the cases whereas in 22.6% of them, notification was possibly induced. In 20.0% there was not enough information for the analysis and 14.5% of the whole were a possible report induced by business interests. The factors related to a significant portion of errors caused by drug misuse included inadequate use by the patient (n= 80; 17.6%), inadequate prescription (n= 47; 10.3%) and factors linked to the drug itself such as complex pharmacokinetic (n= 68; 14.9%) and interactions of clinical relevance (n= 25; 5.5%). None of the TF was attributed to a possible association with a biopharmaceutical problem (quality). Conclusion: This study described the causality categories of TF reports notified to the pharmacovigilance program of Audifarma S. A., showing that the main causal factor is the misuse of drugs.</t>
  </si>
  <si>
    <t>[Henao, Yuly; Ospina, Mauren; Lucia Botero, Piedad] Audifarma SA, Grp Farmacoepidemiol, Quim Farmaceut Apoyo, Pereira, Colombia; [Yadira Parrado, Ilsa] Audifarma SA, Grp Farmacoepidemiol, Atenc Farmaceut, Pereira, Colombia</t>
  </si>
  <si>
    <t>Henao, Y (corresponding author), Audifarma SA, Grp Farmacoepidemiol, Quim Farmaceut Apoyo, Pereira, Colombia.</t>
  </si>
  <si>
    <t>yulyh@audifarma.com.co</t>
  </si>
  <si>
    <t>FUNDACION PHARMACEUTICAL CARE ESPANA</t>
  </si>
  <si>
    <t>BARCELONA</t>
  </si>
  <si>
    <t>C ROSELLON 331-333, ENTLO 2A, BARCELONA, 08037, SPAIN</t>
  </si>
  <si>
    <t>1139-6202</t>
  </si>
  <si>
    <t>PHARM CARE ESP</t>
  </si>
  <si>
    <t>Pharm. Care Esp.</t>
  </si>
  <si>
    <t>DV1TU</t>
  </si>
  <si>
    <t>WOS:000382704900002</t>
  </si>
  <si>
    <t>Di Gravio, G; Costantino, F; Falegnami, A; Patriarca, R</t>
  </si>
  <si>
    <t>Di Gravio, Giulio; Costantino, Francesco; Falegnami, Andrea; Patriarca, Riccardo</t>
  </si>
  <si>
    <t>2019 4TH INTERNATIONAL CONFERENCE ON SYSTEM RELIABILITY AND SAFETY (ICSRS 2019)</t>
  </si>
  <si>
    <t>4th Annual International Conference on System Reliability and Safety (ICSRS)</t>
  </si>
  <si>
    <t>NOV 20-22, 2019</t>
  </si>
  <si>
    <t>Rome, ITALY</t>
  </si>
  <si>
    <t>FRAM; resilience engineering; safety management; socio-technical systems; complexity; IT tool</t>
  </si>
  <si>
    <t>RESONANCE ANALYSIS METHOD; FUNCTIONAL RESONANCE; RESILIENCE; FRAM</t>
  </si>
  <si>
    <t>Complex systems require dedicated models, methods and techniques since safety management in socio-technical systems no longer should rely just on causality principles and structural decomposition. The overall behavior of the system should be considered as emerging from the non-linear interaction of the underlying subsystems. The Functional Resonance Analysis Method (FRAM) is one systemic approach allowing for the construction of deeply informative models. Such semantic richness entails a complexity of the resulting models significantly reflecting a useful portion of systems' reality. Unfortunately, as soon as the analyzed systems are little more than mundane, this richness of information becomes unmanageable whenever it is relying only upon qualitative methods. This paper presents myFRAM version 1.0.3, a free Excel add-on that paves the way for a multitude of systematic analysis types ranging from statistics to complex network analysis and simulation. The trust put in myFRAM by many safety experts who have already adopted it, confirms that it is a valuable tool to sustain the FRAM method. This application builds bridges to several different software and techniques currently available, expanding the potential of the method itself.</t>
  </si>
  <si>
    <t>[Di Gravio, Giulio; Costantino, Francesco; Falegnami, Andrea; Patriarca, Riccardo] Sapienza Univ Rome, Dept Mech &amp; Aerosp Engn, Via Eudossiana 18, I-00184 Rome, Italy</t>
  </si>
  <si>
    <t>Sapienza University Rome</t>
  </si>
  <si>
    <t>Di Gravio, G (corresponding author), Sapienza Univ Rome, Dept Mech &amp; Aerosp Engn, Via Eudossiana 18, I-00184 Rome, Italy.</t>
  </si>
  <si>
    <t>giulio.digravio@uniroma1.it; francesco.costantino@studenti.uniroma1.it; andrea.falegnami@uniroma1.it; riccardo.patriarca@uniroma1.it</t>
  </si>
  <si>
    <t>Costantino, Francesco/H-3492-2012; Patriarca, Riccardo/M-9893-2017</t>
  </si>
  <si>
    <t>Patriarca, Riccardo/0000-0001-5299-9993; Di Gravio, Giulio/0000-0001-9241-9121</t>
  </si>
  <si>
    <t>978-1-7281-4781-9</t>
  </si>
  <si>
    <t>10.1109/icsrs48664.2019.8987725</t>
  </si>
  <si>
    <t>BP2XQ</t>
  </si>
  <si>
    <t>WOS:000545634000078</t>
  </si>
  <si>
    <t>Garety, P; Edwards, CJ; Ward, T; Emsley, R; Huckvale, M; McCrone, P; Rus-Calafell, M; Fornells-Ambrojo, M; Gumley, A; Haddock, G; Bucci, S; McLeod, H; Hardy, A; Peters, E; Myin-Germeys, I; Craig, T</t>
  </si>
  <si>
    <t>Garety, Philippa; Edwards, Clementine J.; Ward, Thomas; Emsley, Richard; Huckvale, Mark; McCrone, Paul; Rus-Calafell, Mar; Fornells-Ambrojo, Miriam; Gumley, Andrew; Haddock, Gillian; Bucci, Sandra; McLeod, Hamish; Hardy, Amy; Peters, Emmanuelle; Myin-Germeys, Inez; Craig, Thomas</t>
  </si>
  <si>
    <t>Optimising AVATAR therapy for people who hear distressing voices: study protocol for the AVATAR2 multi-centre randomised controlled trial</t>
  </si>
  <si>
    <t>TRIALS</t>
  </si>
  <si>
    <t>Auditory hallucinations; Psychosis; Psychological intervention; Digital health technology; Randomised controlled trial</t>
  </si>
  <si>
    <t>COGNITIVE-BEHAVIORAL THERAPY; SYMPTOM RATING-SCALES; AUDITORY HALLUCINATIONS; SCHIZOPHRENIA; DIMENSIONS; MODEL; SENSE</t>
  </si>
  <si>
    <t>BackgroundAVATAR therapy is a novel intervention targeting distressing auditory verbal hallucinations (henceforth 'voices'). A digital simulation (avatar) of the voice is created and used in a three-way dialogue between participant, avatar and therapist. To date, therapy has been delivered over 6 sessions, comprising an initial phase, focusing on standing up to a hostile avatar, and a second phase in which the avatar concedes and focus shifts to individualised treatment targets, including beliefs about voices. The first fully powered randomised trial found AVATAR therapy resulted in a rapid and substantial fall in voice frequency and associated distress that was superior to supportive counselling at 12 weeks. The main objective of this AVATAR2 trial is to test the efficacy of two forms of AVATAR therapy in reducing voice-related distress: AVATAR-brief (standardised focus on exposure, assertiveness and self-esteem) and AVATAR-extended (phase 1 mirroring AVATAR-brief augmented by a formulation-driven phase 2). Secondary objectives include the examination of additional voice, wellbeing and mood outcomes, the exploration of mediators and moderators of therapy response, and examining cost-effectiveness of both forms of therapy compared with usual treatment (TAU).MethodsThis multi-site parallel group randomised controlled trial will independently randomise 345 individuals to receive AVATAR-brief (6 sessions) plus TAU or AVATAR-extended (12 sessions) plus TAU or TAU alone (1:1:1 allocation). Participants will be people with a diagnosis of schizophrenia spectrum and other psychotic disorders who have heard distressing voices for more than 6months. The primary outcome is the PSYRATS Auditory Hallucinations Distress dimension score at 16 and 28weeks, conducted by blinded assessors. Statistical analysis will follow the intention-to-treat principle and data will be analysed using linear mixed models. Mediation and moderation analyses using contemporary causal inference methods will be conducted as secondary analyses. Service costs will be calculated, and cost-effectiveness assessed in terms of quality-adjusted life years accrued.DiscussionThis study will clarify optimal therapy delivery, test efficacy in a multi-site study and enable the testing of the AVATAR software platform, therapy training and provision in NHS settings.Trial registrationISRCTN registry ISRCTN55682735. Registered on 22 January 2020. The trial is funded by the Wellcome Trust (WT).</t>
  </si>
  <si>
    <t>[Garety, Philippa; Edwards, Clementine J.; Ward, Thomas; Emsley, Richard; Hardy, Amy; Peters, Emmanuelle; Craig, Thomas] Kings Coll London, Inst Psychiat Psychol &amp; Neurosci, London, England; [Garety, Philippa; Edwards, Clementine J.; Ward, Thomas; Hardy, Amy; Peters, Emmanuelle; Craig, Thomas] South London &amp; Maudsley NHS Fdn Trust, London, England; [Huckvale, Mark; Fornells-Ambrojo, Miriam] UCL, London, England; [McCrone, Paul] Univ Greenwich, London, England; [Rus-Calafell, Mar] Ruhr Univ Bochum, Fac Psychol, Mental Hlth Res &amp; Treatment Ctr, Bochum, Germany; [Fornells-Ambrojo, Miriam] South London &amp; Maudsley NHS Fdn Trust, London, Germany; [Gumley, Andrew; McLeod, Hamish] Univ Glasgow, Glasgow, Lanark, Scotland; [Gumley, Andrew; McLeod, Hamish] NHS Greater Glasgow &amp; Clyde, Glasgow, Lanark, Scotland; [Haddock, Gillian; Bucci, Sandra] Univ Manchester, Manchester, Lancs, England; [Haddock, Gillian; Bucci, Sandra] Manchester Acad Hlth Sci Ctr, Manchester, Lancs, England; [Haddock, Gillian; Bucci, Sandra] Greater Manchester Mental Hlth NHS Fdn Trust, Manchester, Lancs, England; [Myin-Germeys, Inez] Katholieke Univ Leuven, Leuven, Belgium</t>
  </si>
  <si>
    <t>University of London; King's College London; South London &amp; Maudsley NHS Trust; University of London; University College London; University of Greenwich; Ruhr University Bochum; University of Glasgow; University of Manchester; University of Manchester; KU Leuven</t>
  </si>
  <si>
    <t>Edwards, CJ (corresponding author), Kings Coll London, Inst Psychiat Psychol &amp; Neurosci, London, England.;Edwards, CJ (corresponding author), South London &amp; Maudsley NHS Fdn Trust, London, England.</t>
  </si>
  <si>
    <t>clementine.edwards@kcl.ac.uk</t>
  </si>
  <si>
    <t>Edwards, Ceiridwen J/F-8855-2010; Peters, Emmanuelle R/F-6508-2010; Rus Calafell, Mar/HKV-5173-2023; Ward, Thomas/ABB-9710-2021; Garety, Philippa A/F-9755-2014; Myin Germeys, Inez/HIR-3364-2022; McLeod, Hamish/AFH-8149-2022; Emsley, Richard/N-1342-2016</t>
  </si>
  <si>
    <t>Rus Calafell, Mar/0000-0003-2293-3875; Ward, Thomas/0000-0002-7608-5755; Garety, Philippa A/0000-0002-5637-1340; Myin Germeys, Inez/0000-0002-3731-4930; McLeod, Hamish/0000-0002-4225-1815; Edwards, Clementine/0000-0001-9949-2401; Hardy, Amy/0000-0002-6044-6093; Emsley, Richard/0000-0002-1218-675X; Fornells-Ambrojo, Miriam/0000-0001-5789-5675; Peters, Emmanuelle/0000-0003-3327-9223; Haddock, Professor Gillian/0000-0001-6234-5774</t>
  </si>
  <si>
    <t>Wellcome Trust Ltd., through an Innovations Project award [215471/Z/19/Z]; National Institute for Health Research (NIHR) Biomedical Research Centre at South London and Maudsley NHS Foundation Trust and King's College London; NIHR Research Professorship [NIHR300051]; Sofja Kovalevskaja Award (Alexander von Humbold Foundation); Sofja Kovalevskaja Award (Ministry of Education and Research, Germany); NIHR Senior Investigator Award [NIHR201393]; Wellcome Trust [215471/Z/19/Z] Funding Source: Wellcome Trust; National Institutes of Health Research (NIHR) [NIHR300051] Funding Source: National Institutes of Health Research (NIHR)</t>
  </si>
  <si>
    <t>Wellcome Trust Ltd., through an Innovations Project award(Wellcome Trust); National Institute for Health Research (NIHR) Biomedical Research Centre at South London and Maudsley NHS Foundation Trust and King's College London; NIHR Research Professorship; Sofja Kovalevskaja Award (Alexander von Humbold Foundation); Sofja Kovalevskaja Award (Ministry of Education and Research, Germany); NIHR Senior Investigator Award; Wellcome Trust(Wellcome Trust); National Institutes of Health Research (NIHR)(National Institutes of Health Research (NIHR))</t>
  </si>
  <si>
    <t>This study is funded by The Wellcome Trust Ltd., through an Innovations Project award (grant reference 215471/Z/19/Z).; The work was also supported in part by the National Institute for Health Research (NIHR) Biomedical Research Centre at South London and Maudsley NHS Foundation Trust and King's College London (Prof Philippa Garety and Prof Richard Emsley). Prof Emsley is supported by an NIHR Research Professorship, (NIHR300051).; Dr Mar Rus-Calafell acknowledges individual funding from the Sofja Kovalevskaja Award (Alexander von Humbold Foundation and Ministry of Education and Research, Germany).; Professor Gillian Haddock acknowledges individual funding from an NIHR Senior Investigator Award (NIHR201393).</t>
  </si>
  <si>
    <t>1745-6215</t>
  </si>
  <si>
    <t>Trials</t>
  </si>
  <si>
    <t>MAY 25</t>
  </si>
  <si>
    <t>10.1186/s13063-021-05301-w</t>
  </si>
  <si>
    <t>SL0GG</t>
  </si>
  <si>
    <t>WOS:000656594500004</t>
  </si>
  <si>
    <t>Wealands, SR; Webb, JA; Stewardson, MJ</t>
  </si>
  <si>
    <t>Anderssen, RS; Braddock, RD; Newham, LTH</t>
  </si>
  <si>
    <t>Wealands, S. R.; Webb, J. A.; Stewardson, M. J.</t>
  </si>
  <si>
    <t>Evidence-based model structure: The role of causal analysis in hydro-ecological modelling</t>
  </si>
  <si>
    <t>18TH WORLD IMACS CONGRESS AND MODSIM09 INTERNATIONAL CONGRESS ON MODELLING AND SIMULATION: INTERFACING MODELLING AND SIMULATION WITH MATHEMATICAL AND COMPUTATIONAL SCIENCES</t>
  </si>
  <si>
    <t>IMACS World Congress/Modelling and Simulation Society-of-Australia-and-New-Zealand (MSSANZ)/18th MODSIM09 Biennial Conference on Modelling and Simulation</t>
  </si>
  <si>
    <t>JUL 13-17, 2009</t>
  </si>
  <si>
    <t>Cairns, AUSTRALIA</t>
  </si>
  <si>
    <t>IMACS,MSSANZ,CSIRO,Australian Math Sci Inst,Griffith Univ,eWater Cooperat Res Ctr,Dept Sustainabil &amp; Environm,HEMA Consulting,Hellenic European Res Comp Math &amp; Applicat,Int Council Ind Appl Math,Int Soc Grid Generat (ISGG),Int Soc Photogrammetry &amp; Remote Sensing (ISPRS),Japan Soc Simulat Technol,Pacific Rim Math Assoc,Rutgers, State Univ New Jersey</t>
  </si>
  <si>
    <t>Causal criteria; tools; levels of evidence; conceptual models; model structure</t>
  </si>
  <si>
    <t>FLOW; RIVER</t>
  </si>
  <si>
    <t>Understanding the mechanisms by which human interventions affect environmental values is fundamental to sound environmental decision-making and the development of environmental response models used in decision making. The structure of an environmental response model, either conceptual or mathematical, should be based on pathways of causation linking input variables to model outputs and predictions. In ecological systems, these causal pathways are often not well-established, resulting in model structures that are based largely on expert opinion. The published literature can provide considerable qualitative and quantitative evidence to support the development of more rigorously-based model structures. However, collating that literature in a rigorous, repeatable and easily collated manner is difficult. Through the use of tools developed by the eWater CRC, we believe modellers can begin to better test their model structures and demonstrate that their conceptual representation of ecological systems is well supported. The tools allow for the testing of causality using evidence available in the literature. Available causal evidence from the literature is collated in a searchable on-line database. This evidence can then be evaluated in a transparent and repeatable way using analysis software to assess the level of support for causality. The database and software use a set of 'Causal Criteria' adapted from epidemiology in assessing the available evidence. This approach encourages the use of existing knowledge in a well-documented, transparent, repeatable and quantitative manner - something that is done poorly in most branches of science. The tools make the existing knowledge and evaluation methods accessible to a broad range of users. This paper gives a detailed explanation of the suggested methodology for using causal criteria for model development. The causal criteria methodology and tools are explained via a case study about modelling ecological response to flow modification (e.g. an environmental flow).</t>
  </si>
  <si>
    <t>[Wealands, S. R.; Webb, J. A.; Stewardson, M. J.] Univ Melbourne, eWater CRC, Melbourne, Vic 3010, Australia</t>
  </si>
  <si>
    <t>University of Melbourne</t>
  </si>
  <si>
    <t>Wealands, SR (corresponding author), Univ Melbourne, eWater CRC, Melbourne, Vic 3010, Australia.</t>
  </si>
  <si>
    <t>sweal@unimelb.edu.au</t>
  </si>
  <si>
    <t>Webb, James Angus/F-8001-2011; Stewardson, Michael/C-8678-2015</t>
  </si>
  <si>
    <t>Webb, James Angus/0000-0003-0857-7878; Stewardson, Michael/0000-0003-1356-0472</t>
  </si>
  <si>
    <t>MODELLING &amp; SIMULATION SOC AUSTRALIA &amp; NEW ZEALAND INC</t>
  </si>
  <si>
    <t>CHRISTCHURCH</t>
  </si>
  <si>
    <t>MSSANZ, CHRISTCHURCH, 00000, NEW ZEALAND</t>
  </si>
  <si>
    <t>978-0-9758400-7-8</t>
  </si>
  <si>
    <t>Computer Science, Interdisciplinary Applications; Operations Research &amp; Management Science; Mathematics, Applied; Mathematics, Interdisciplinary Applications</t>
  </si>
  <si>
    <t>Computer Science; Operations Research &amp; Management Science; Mathematics</t>
  </si>
  <si>
    <t>BUQ27</t>
  </si>
  <si>
    <t>WOS:000290045002078</t>
  </si>
  <si>
    <t>Tan, CS; Stoer, NC; Chen, Y; Andersson, M; Ning, YL; Wee, HL; Khoo, EYH; Tai, ES; Kao, SL; Reilly, M</t>
  </si>
  <si>
    <t>Tan, Chuen Seng; Stoer, Nathalie C.; Chen, Ying; Andersson, Marielle; Ning, Yilin; Wee, Hwee-Lin; Khoo, Eric Yin Hao; Tai, E-Shyong; Kao, Shih Ling; Reilly, Marie</t>
  </si>
  <si>
    <t>A stratification approach using logit-based models for confounder adjustment in the study of continuous outcomes</t>
  </si>
  <si>
    <t>STATISTICAL METHODS IN MEDICAL RESEARCH</t>
  </si>
  <si>
    <t>Epidemiological designs; rank-ordered logit; linear model; normal errors; extreme value type 1 distribution; breast cancer; mammographic density; diabetes mellitus; glucometrics</t>
  </si>
  <si>
    <t>GENERALIZED ADDITIVE-MODELS; CAUSAL INFERENCE; MATCHING METHODS; EXPOSURE; SMOKING</t>
  </si>
  <si>
    <t>The control of confounding is an area of extensive epidemiological research, especially in the field of causal inference for observational studies. Matched cohort and case-control study designs are commonly implemented to control for confounding effects without specifying the functional form of the relationship between the outcome and confounders. This paper extends the commonly used regression models in matched designs for binary and survival outcomes (i.e. conditional logistic and stratified Cox proportional hazards) to studies of continuous outcomes through a novel interpretation and application of logit-based regression models from the econometrics and marketing research literature. We compare the performance of the maximum likelihood estimators using simulated data and propose a heuristic argument for obtaining the residuals for model diagnostics. We illustrate our proposed approach with two real data applications. Our simulation studies demonstrate that our stratification approach is robust to model misspecification and that the distribution of the estimated residuals provides a useful diagnostic when the strata are of moderate size. In our applications to real data, we demonstrate that parity and menopausal status are associated with percent mammographic density, and that the mean level and variability of inpatient blood glucose readings vary between medical and surgical wards within a national tertiary hospital. Our work highlights how the same class of regression models, available in most statistical software, can be used to adjust for confounding in the study of binary, time-to-event and continuous outcomes.</t>
  </si>
  <si>
    <t>[Tan, Chuen Seng; Chen, Ying; Wee, Hwee-Lin] Natl Univ Singapore, Saw Swee Hock Sch Publ Hlth, Tahir Fdn Bldg,12 Sci Dr 2 10-01, Singapore 117549, Singapore; [Tan, Chuen Seng; Chen, Ying; Wee, Hwee-Lin] Natl Univ Hlth Syst, Singapore, Singapore; [Stoer, Nathalie C.; Andersson, Marielle; Reilly, Marie] Karolinska Inst, Dept Med Epidemiol &amp; Biostat, Stockholm, Sweden; [Stoer, Nathalie C.] Oslo Univ Hosp, Norwegian Natl Advisory Unit Womens Hlth, Oslo, Norway; [Ning, Yilin] Natl Univ Singapore, NUS Grad Sch Integrat Sci &amp; Engn, Singapore, Singapore; [Ning, Yilin] Natl Univ Singapore, Yong Loo Lin Sch Med, Dept Surg, Singapore, Singapore; [Wee, Hwee-Lin] Natl Univ Singapore, Fac Sci, Dept Pharm, Singapore, Singapore; [Khoo, Eric Yin Hao; Tai, E-Shyong; Kao, Shih Ling] Natl Univ Singapore, Yong Loo Lin Sch Med, Dept Med, Singapore, Singapore; [Khoo, Eric Yin Hao; Tai, E-Shyong; Kao, Shih Ling] Natl Univ Hlth Syst, Univ Med Cluster, Div Endocrinol, Singapore, Singapore</t>
  </si>
  <si>
    <t>National University of Singapore; National University of Singapore; Karolinska Institutet; University of Oslo; National University of Singapore; National University of Singapore; National University of Singapore; National University of Singapore; National University of Singapore</t>
  </si>
  <si>
    <t>Tan, CS (corresponding author), Natl Univ Singapore, Saw Swee Hock Sch Publ Hlth, Tahir Fdn Bldg,12 Sci Dr 2 10-01, Singapore 117549, Singapore.</t>
  </si>
  <si>
    <t>ephtcs@nus.edu.sg</t>
  </si>
  <si>
    <t>Wee, Hwee Lin/D-4126-2012; Wee, H/JXY-0919-2024; Ning, Yilin/AAK-5090-2021; Khoo, Eric YH/K-1146-2013; Wee, Hwee Lin/U-4778-2019; Tan, Chuen Seng/I-6854-2019; Ning, Yilin/JFJ-2551-2023; Ying, Chen/GRX-5695-2022</t>
  </si>
  <si>
    <t>Wee, Hwee Lin/0000-0002-7150-1801; Tan, Chuen Seng/0000-0002-6513-2309; Chen, Ying/0000-0001-7876-4877; Stoer, Nathalie C./0000-0001-8994-9332; Ning, Yilin/0000-0002-6758-4472; Tai, E Shyong/0000-0003-2929-8966</t>
  </si>
  <si>
    <t>National University of Singapore; National University Health Systems Pte Ltd [SBRO14/NS01G]; Swedish Cancer Society (Cancerfonden) [16 0497]; National Medical Research Council of Singapore</t>
  </si>
  <si>
    <t>National University of Singapore(National University of Singapore); National University Health Systems Pte Ltd; Swedish Cancer Society (Cancerfonden)(Swedish Cancer Society); National Medical Research Council of Singapore(National Medical Research Council, Singapore)</t>
  </si>
  <si>
    <t>The author(s) disclosed receipt of the following financial support for the research, authorship, and/or publication of this article: This research is supported by: (i) the National University of Singapore Start-up Grant, (ii) the Centre for Health Services and Policy Research SBRO14/NS01G from the National University Health Systems Pte Ltd, and (iii) the grant (contract 16 0497) from the Swedish Cancer Society (Cancerfonden). E-Shyong Tai is funded under the clinician scientist award scheme from the National Medical Research Council of Singapore.</t>
  </si>
  <si>
    <t>0962-2802</t>
  </si>
  <si>
    <t>1477-0334</t>
  </si>
  <si>
    <t>STAT METHODS MED RES</t>
  </si>
  <si>
    <t>Stat. Methods Med. Res.</t>
  </si>
  <si>
    <t>10.1177/0962280217747309</t>
  </si>
  <si>
    <t>Health Care Sciences &amp; Services; Mathematical &amp; Computational Biology; Medical Informatics; Statistics &amp; Probability</t>
  </si>
  <si>
    <t>Health Care Sciences &amp; Services; Mathematical &amp; Computational Biology; Medical Informatics; Mathematics</t>
  </si>
  <si>
    <t>HR6BW</t>
  </si>
  <si>
    <t>WOS:000463234000009</t>
  </si>
  <si>
    <t>Cingolani, D; Ianni, M; Pellegrini, A; Quaglia, F</t>
  </si>
  <si>
    <t>Devitt, S; Lanese, I</t>
  </si>
  <si>
    <t>Cingolani, Davide; Ianni, Mauro; Pellegrini, Alessandro; Quaglia, Francesco</t>
  </si>
  <si>
    <t>Mixing Hardware and Software Reversibility for Speculative Parallel Discrete Event Simulation</t>
  </si>
  <si>
    <t>REVERSIBLE COMPUTATION, RC 2016</t>
  </si>
  <si>
    <t>8th International Conference on Reversible Computation (RC)</t>
  </si>
  <si>
    <t>JUL 07-08, 2016</t>
  </si>
  <si>
    <t>Univ Bologna, Comp Sci Dept, Bologna, ITALY</t>
  </si>
  <si>
    <t>Univ Bologna, Comp Sci Dept</t>
  </si>
  <si>
    <t>Speculative parallel discrete event simulation requires a support for reversing processed events, also called state recovery, when causal inconsistencies are revealed. In this article we present an approach where state recovery relies on a mix of hardware-and software-based techniques. We exploit the Hardware Transactional Memory (HTM) support, as offered by Intel Haswell CPUs, to process events as in-memory transactions, which are possibly committed only after their causal consistency is verified. At the same time, we exploit an innovative software-based reversibility technique, fully relying on transparent software instrumentation targeting x86/ELF objects, which enables undoing side effects by events with no actual backward re-computation. Each thread within our speculative processing engine dynamically (on a per-event basis) selects which recovery mode to rely on (hardware vs software) depending on varying runtime dynamics. The latter are captured by a lightweight analytic model indicating to what extent the HTM support (not paying any instrumentation cost) is efficient, and after what level of events' parallelism it starts degrading its performance, e.g., due to excessive data conflicts while manipulating causality meta-data within HTM-based transactions. We released our implementation as open source software and provide experimental results for an assessment of its effectiveness.</t>
  </si>
  <si>
    <t>[Cingolani, Davide; Ianni, Mauro; Pellegrini, Alessandro; Quaglia, Francesco] Univ Rome, DIAG Sapienza, Rome, Italy</t>
  </si>
  <si>
    <t>Cingolani, D (corresponding author), Univ Rome, DIAG Sapienza, Rome, Italy.</t>
  </si>
  <si>
    <t>cingolani@dis.uniroma1.it; mianni@dis.uniroma1.it; pellegrini@dis.uniroma1.it; quaglia@dis.uniroma1.it</t>
  </si>
  <si>
    <t>Pellegrini, Alessandro/S-6105-2018</t>
  </si>
  <si>
    <t>Pellegrini, Alessandro/0000-0002-0179-9868</t>
  </si>
  <si>
    <t>978-3-319-40578-0; 978-3-319-40577-3</t>
  </si>
  <si>
    <t>BG2XX</t>
  </si>
  <si>
    <t>WOS:000387765200009</t>
  </si>
  <si>
    <t>Gupta, V; Han, BR; Kim, SH; Paek, H</t>
  </si>
  <si>
    <t>Gupta, Vishal; Han, Brian Rongqing; Kim, Song-Hee; Paek, Hyung</t>
  </si>
  <si>
    <t>Maximizing Intervention Effectiveness</t>
  </si>
  <si>
    <t>MANAGEMENT SCIENCE</t>
  </si>
  <si>
    <t>analytics; robust optimization; intervention effectiveness; healthcare</t>
  </si>
  <si>
    <t>CASE-MANAGEMENT; COST-EFFECTIVENESS; UNCERTAINTY; CARE; REGULARIZATION; HETEROGENEITY; DEPLOYMENT; PROGRAM; USERS</t>
  </si>
  <si>
    <t>Frequently, policy makers seek to roll out an intervention previously proven effective in a research study, perhaps subject to resource constraints. However, because different subpopulations may respond differently to the same treatment, there is no a priori guarantee that the intervention will be as effective in the targeted population as it was in the study. How then should policy makers target individuals to maximize intervention effectiveness? We propose a novel robust optimization approach that leverages evidence typically available in a published study. Our model can be easily optimized in minutes for realistic instances with off-the-shelf software and is flexible enough to accommodate a variety of resource and fairness constraints. We compare our approach with current practice by proving performance guarantees for both approaches, which emphasize their structural differences. We also prove an intuitive interpretation of our model in terms of regularization, penalizing differences in the demographic distribution between targeted individuals and the study population. Although the precise penalty depends on the choice of uncertainty set, we show that for special cases we can recover classical penalties from the covariate matching literature on causal inference. Finally, using real data from a large teaching hospital, we compare our approach to common practice in the particular context of reducing emergency department utilization by Medicaid patients through case management. We find that our approach can offer significant benefits over common practice, particularly when the heterogeneity in patient response to the treatment is large.</t>
  </si>
  <si>
    <t>[Gupta, Vishal; Han, Brian Rongqing; Kim, Song-Hee] Univ Southern Calif, Marshall Sch Business, Dept Data Sci &amp; Operat, Los Angeles, CA 90089 USA; [Paek, Hyung] Yale New Haven Med Ctr, New Haven, CT 06510 USA</t>
  </si>
  <si>
    <t>University of Southern California; Yale University</t>
  </si>
  <si>
    <t>Gupta, V (corresponding author), Univ Southern Calif, Marshall Sch Business, Dept Data Sci &amp; Operat, Los Angeles, CA 90089 USA.</t>
  </si>
  <si>
    <t>guptavis@marshall.usc.edu; rongqinh@marshall.usc.edu; songheek@marshall.usc.edu; hyung.paek@ynhh.org</t>
  </si>
  <si>
    <t>Kim, Song-Hee/AAM-6737-2020</t>
  </si>
  <si>
    <t>Kim, Song-Hee/0000-0002-3106-5726; Han, Brian/0000-0002-7730-7401; Gupta, Vishal/0000-0003-4371-9114</t>
  </si>
  <si>
    <t>INFORMS</t>
  </si>
  <si>
    <t>CATONSVILLE</t>
  </si>
  <si>
    <t>5521 RESEARCH PARK DR, SUITE 200, CATONSVILLE, MD 21228 USA</t>
  </si>
  <si>
    <t>0025-1909</t>
  </si>
  <si>
    <t>1526-5501</t>
  </si>
  <si>
    <t>MANAGE SCI</t>
  </si>
  <si>
    <t>Manage. Sci.</t>
  </si>
  <si>
    <t>10.1287/mnsc.2019.3537</t>
  </si>
  <si>
    <t>Management; Operations Research &amp; Management Science</t>
  </si>
  <si>
    <t>PD8VN</t>
  </si>
  <si>
    <t>WOS:000597955700005</t>
  </si>
  <si>
    <t>Hewett, TE; Olsen, G; Atkinson, M</t>
  </si>
  <si>
    <t>Hewett, Timothy E.; Olsen, Greg; Atkinson, Mark</t>
  </si>
  <si>
    <t>The Use of Big Data to Improve Human Health: How Experience From other Industries Will Shape the Future</t>
  </si>
  <si>
    <t>INTERNATIONAL JOURNAL OF SPORTS PHYSICAL THERAPY</t>
  </si>
  <si>
    <t>Editorial Material</t>
  </si>
  <si>
    <t>Health; Data Science; Machine Learning; Technology; Biometrics; Human Performance; Artificial Intelligence; Medicine; Occupational Health; Sport; Military; Statistics</t>
  </si>
  <si>
    <t>'Data science' represents a set of mathematical and software development related techniques that are applied across a wide range of problems and industries. Practitioners of data science in human health-related domains typically see a world that differs substantially from practitioners in other domains such as advertising, finance, e-commerce, manufacturing, or social networking. This commentary discusses what those differences are (Project vs Product Focus, Independent vs Integrated Efforts, Causality vs Prediction Driven, Statistical vs Machine Learning Centricity) why they exist, and the future convergence that we believe is on the horizon. The concepts discussed can provide a starting point in which health and human performance-focused stakeholders can begin to align well-established data science applications from other domains to further enable innovative health and performance solutions.</t>
  </si>
  <si>
    <t>[Hewett, Timothy E.] Hewett Global Consulting, 1516 4th Ave NW, Rochester, MN 55144 USA; [Hewett, Timothy E.] Rocky Mt Consortium Sports Res, Parker, CO USA; [Olsen, Greg; Atkinson, Mark] Sparta Sci, Menlo Pk, CA USA</t>
  </si>
  <si>
    <t>Hewett, TE (corresponding author), Hewett Global Consulting, 1516 4th Ave NW, Rochester, MN 55144 USA.</t>
  </si>
  <si>
    <t>Tim.Hewett@gmail.com</t>
  </si>
  <si>
    <t>Hewett, Timothy Edwin/GLT-1556-2022</t>
  </si>
  <si>
    <t>Hewett, Timothy/0000-0001-9729-7573</t>
  </si>
  <si>
    <t>NORTH AMER SPORTS MEDICINE INST-NASMI</t>
  </si>
  <si>
    <t>NASHVILLE</t>
  </si>
  <si>
    <t>6011 HILLSBORO PIKE, NASHVILLE, TN, UNITED STATES</t>
  </si>
  <si>
    <t>2159-2896</t>
  </si>
  <si>
    <t>INT J SPORTS PHYS TH</t>
  </si>
  <si>
    <t>Int. J. Sports Phys. Ther.</t>
  </si>
  <si>
    <t>10.26603/001c.29858</t>
  </si>
  <si>
    <t>Sport Sciences</t>
  </si>
  <si>
    <t>YW1VQ</t>
  </si>
  <si>
    <t>WOS:000753208200025</t>
  </si>
  <si>
    <t>Perboli, G; Gajetti, M; Fedorov, S; Lo Giudice, S</t>
  </si>
  <si>
    <t>Perboli, Guido; Gajetti, Marco; Fedorov, Stanislav; Lo Giudice, Simona</t>
  </si>
  <si>
    <t>EXPERT SYSTEMS WITH APPLICATIONS</t>
  </si>
  <si>
    <t>SHEL; Human factor; Aviation safety; Natural Language Processing</t>
  </si>
  <si>
    <t>Accidents in aviation are rare events. From them, aviation safety management systems take fast and effective remedy actions by performing the analysis of the root causes of accidents, most of which are proved to be human factors. Since the current standard relies on the manual classification performed by trained staff, there are no technical standards already defined for automated human factors identification. This paper considers this issue, proposing machine learning techniques by leveraging on the state-of-the-art technologies of Natural Language Processing. The techniques are then adapted to the Software Hardware Environment Liveware (SHEL) standard accident causality model and tested on a set of real accidents. The computational results show the accuracy and effectiveness of the proposed methodology. Furthermore, the application of the methodology to real documents checked by experts estimates a reduction of the time needed for at least 30% compared to the standard methods of human factors identification.</t>
  </si>
  <si>
    <t>[Perboli, Guido] Politecn Torino, DIGEP &amp; ICELab Polito, Corso Duca Abruzzi 24, I-10129 Turin, Italy; [Gajetti, Marco] Deloitte Spa, Galleria S Federico,54, I-10121 Turin, Italy; [Fedorov, Stanislav] Politecn Torino, DAUIN &amp; CARS Polito, Corso Duca Abruzzi 24, I-10129 Turin, Italy; [Lo Giudice, Simona] Vrije Univ Amsterdam 1105, NL-1081 HV Amsterdam, Netherlands</t>
  </si>
  <si>
    <t>Polytechnic University of Turin; Polytechnic University of Turin</t>
  </si>
  <si>
    <t>Perboli, G (corresponding author), Politecn Torino, DIGEP &amp; ICELab Polito, Corso Duca Abruzzi 24, I-10129 Turin, Italy.</t>
  </si>
  <si>
    <t>guido.perboli@polito.it; mgajetti@deloitte.it; stanislav.fedorov@polito.it; simonalogiudice93@gmail.com</t>
  </si>
  <si>
    <t>Gajetti, Marco/GOJ-9448-2022; Perboli, Guido/G-1049-2014</t>
  </si>
  <si>
    <t>Perboli, Guido/0000-0001-6900-9917; Fedorov, Stanislav/0000-0002-8896-5047</t>
  </si>
  <si>
    <t>0957-4174</t>
  </si>
  <si>
    <t>1873-6793</t>
  </si>
  <si>
    <t>EXPERT SYST APPL</t>
  </si>
  <si>
    <t>Expert Syst. Appl.</t>
  </si>
  <si>
    <t>DEC 30</t>
  </si>
  <si>
    <t>AUG 2021</t>
  </si>
  <si>
    <t>Computer Science, Artificial Intelligence; Engineering, Electrical &amp; Electronic; Operations Research &amp; Management Science</t>
  </si>
  <si>
    <t>Computer Science; Engineering; Operations Research &amp; Management Science</t>
  </si>
  <si>
    <t>WB9RC</t>
  </si>
  <si>
    <t>WOS:000703901600001</t>
  </si>
  <si>
    <t>Anwar, FM; Garcia, L; Han, X; Srivastava, M</t>
  </si>
  <si>
    <t>Anwar, Fatima M.; Garcia, Luis; Han, Xi; Srivastava, Mani</t>
  </si>
  <si>
    <t>2019 IEEE 40TH REAL-TIME SYSTEMS SYMPOSIUM (RTSS 2019)</t>
  </si>
  <si>
    <t>Real-Time Systems Symposium-Proceedings</t>
  </si>
  <si>
    <t>40th IEEE Real-Time Systems Symposium (RTSS)</t>
  </si>
  <si>
    <t>DEC 03-06, 2019</t>
  </si>
  <si>
    <t>Hong Kong, HONG KONG</t>
  </si>
  <si>
    <t>trusted clock; shielded execution; delay attack; scheduling attack; Intel SGX</t>
  </si>
  <si>
    <t>An accurate sense of elapsed time is essential for the safe and correct operation of hardware, software, and networked systems. Unfortunately, an adversary can manipulate the system's time and violate causality, consistency, and scheduling properties of underlying applications. Although cryptographic techniques are used to secure data, they cannot ensure time security as securing a time source is much more challenging, given that the result of inquiring time must be delivered in a timely fashion. In this paper, we first describe general attack vectors that can compromise a system's sense of time. To counter these attacks, we propose a secure time architecture, TIMESEAL that leverages a Trusted Execution Environment (TEE) to secure time-based primitives. While CPU security features of TEEs secure code and data in protected memory, we show that time sources available in TEE are still prone to OS attacks. TIMESEAL puts forward a high-resolution time source that protects against the OS delay and scheduling attacks. Our TIMESEAL prototype is based on Intel SGX and provides sub-millisecond (msec) resolution as compared to 1-second resolution of SGX trusted time. It also securely bounds the relative time accuracy to msec under OS attacks. In essence, TIMESEAL provides the capability of trusted timestamping and trusted scheduling to critical applications in the presence of a strong adversary. It delivers all temporal use cases pertinent to secure sensing, computing, and actuating in networked systems.</t>
  </si>
  <si>
    <t>[Anwar, Fatima M.] UMass Amherst, Amherst, MA 01003 USA; [Garcia, Luis; Han, Xi; Srivastava, Mani] UCLA, Los Angeles, CA USA</t>
  </si>
  <si>
    <t>University of Massachusetts System; University of Massachusetts Amherst; University of California System; University of California Los Angeles</t>
  </si>
  <si>
    <t>Anwar, FM (corresponding author), UMass Amherst, Amherst, MA 01003 USA.</t>
  </si>
  <si>
    <t>fanwar@umass.edu; garcialuis@ucla.edu; xihan94@ucla.edu; mbs@ucla.edu</t>
  </si>
  <si>
    <t>Anwar, Fatima/0000-0001-7119-7232; Srivastava, Mani/0000-0002-3782-9192</t>
  </si>
  <si>
    <t>National Science Foundation (NSF) [CNS-1329755, CNS-1705135]; CONIX Research Center, one of six centers in JUMP, a Semiconductor Research Corporation (SRC) program - DARPA; Army Research Laboratory (ARL) [W911NF-17-2-0196]</t>
  </si>
  <si>
    <t>National Science Foundation (NSF)(National Science Foundation (NSF)); CONIX Research Center, one of six centers in JUMP, a Semiconductor Research Corporation (SRC) program - DARPA; Army Research Laboratory (ARL)(United States Department of DefenseUS Army Research Laboratory (ARL))</t>
  </si>
  <si>
    <t>The research reported in this paper was sponsored in part by the National Science Foundation (NSF) under award #CNS-1329755 and CNS-1705135, by the CONIX Research Center, one of six centers in JUMP, a Semiconductor Research Corporation (SRC) program sponsored by DARPA, and by the Army Research Laboratory (ARL) under Cooperative Agreement W911NF-17-2-0196. The views and conclusions contained in this document are those of the authors and should not be interpreted as representing the official policies, either expressed or implied, of the ARL, DARPA, NSF, SRC, or the U.S. Government. The U.S. Government is authorized to reproduce and distribute reprints for Government purposes notwithstanding any copyright notation here on.</t>
  </si>
  <si>
    <t>1052-8725</t>
  </si>
  <si>
    <t>978-1-7281-4403-0</t>
  </si>
  <si>
    <t>REAL TIM SYST SYMP P</t>
  </si>
  <si>
    <t>BP8WG</t>
  </si>
  <si>
    <t>WOS:000568160700008</t>
  </si>
  <si>
    <t>Kumar, MB; Shaifali, I; Gairola, B</t>
  </si>
  <si>
    <t>Kumar, Masuram Bharath; Shaifali, Iram; Gairola, Bikash</t>
  </si>
  <si>
    <t>Navigating Drug-Induced Adversities: A Python-Based Console Application for Causality Assessment Using the Naranjo Algorithm</t>
  </si>
  <si>
    <t>CUREUS JOURNAL OF MEDICAL SCIENCE</t>
  </si>
  <si>
    <t>clinical decision tool; causality assessment; python-based console application; naranjo algorithm; adverse; drug reactions (adrs)</t>
  </si>
  <si>
    <t>INFORMATION; EVENTS; SAFETY</t>
  </si>
  <si>
    <t>The timely and accurate adverse drug reactions (ADR) assessment is vital for effective patient management and healthcare delivery. The Naranjo Algorithm is a widely recognized tool for determining the probability that a drug induces a given ADR. However, the process can be time-consuming and susceptible to human error. This study introduces a Python-based console application (Python Software Foundation, Wilmington, Delaware, United States) designed to automate the Naranjo Algorithm for ADR causality assessment. The application was developed using Python 3.11.4 on a Windows 11 system (Microsoft Corporation, Redmond, Washington, United States) and compiled in Notepad (Microsoft Corporation), a basic text editor, highlighting its accessibility and ease of use in various settings. User input is solicited for each question in the Naranjo Algorithm, validated for acceptable entries, and subsequently scored. The final score categorizes the reaction into Doubtful, Possible, Probable, or Definite ADR, facilitating rapid clinical decision-making. Preliminary validation shows promising reliability and effectiveness, making it a valuable asset in research and clinical settings for assessment.</t>
  </si>
  <si>
    <t>[Kumar, Masuram Bharath; Gairola, Bikash] Varun Arjun Med Coll &amp; Rohilkhand Hosp, Pharmacol, Banthra, India; [Shaifali, Iram] Rohilkhand Med Coll &amp; Hosp, Pharmacol, Bareilly, India</t>
  </si>
  <si>
    <t>Kumar, MB (corresponding author), Varun Arjun Med Coll &amp; Rohilkhand Hosp, Pharmacol, Banthra, India.</t>
  </si>
  <si>
    <t>bharatshah.m@gmail.com</t>
  </si>
  <si>
    <t>2168-8184</t>
  </si>
  <si>
    <t>CUREUS J MED SCIENCE</t>
  </si>
  <si>
    <t>Cureus J Med Sci</t>
  </si>
  <si>
    <t>DEC 4</t>
  </si>
  <si>
    <t>e49911</t>
  </si>
  <si>
    <t>10.7759/cureus.49911</t>
  </si>
  <si>
    <t>CB1M2</t>
  </si>
  <si>
    <t>WOS:001122699000025</t>
  </si>
  <si>
    <t>Wang, L; Feng, WY; Duan, JL; Liang, J</t>
  </si>
  <si>
    <t>Wang, Li; Feng, Wanyu; Duan, Jingli; Liang, Jun</t>
  </si>
  <si>
    <t>Pharmacovigilance Bibliometrics: Visualizing Thematic Development in the Category of Pharmacology and Pharmacy in Web of Science</t>
  </si>
  <si>
    <t>FRONTIERS IN PHARMACOLOGY</t>
  </si>
  <si>
    <t>pharmacovigilance; bibliometrics; visualization; pharmacology and pharmacy; pharmacoepidemiolgy</t>
  </si>
  <si>
    <t>ADVERSE DRUG-REACTIONS; SPONTANEOUS REPORTING SYSTEMS; SIGNAL-DETECTION; CAUSALITY ASSESSMENT; DATABASE SYSTEM; DISPROPORTIONALITY; ALGORITHMS; MEDICINES; ATTITUDES; TOOL</t>
  </si>
  <si>
    <t>Introduction: Pharmacovigilance studies include monitoring and preventing the occurrence of new, rare, or serious adverse drug reactions, making it possible to discover new safety issues without delay. Bibliometrics could assist scholars to analyze the development of pharmacovigilance. Methods: The MeSH terms of both pharmacovigilance and adverse drug reaction reporting system  were retrieved in the Science Citation Index Expanded. The articles from 1974 to July 2021 in the pharmacology and pharmacy category were recruited. The citation reports including the publication numbers, h-index, and sum and average cited times in terms of annuals, countries, organizations, authors and journals were tabulated. The coauthorship relations in the analysis units of countries, organizations, and authors; the top 10 burst references; the document citation network; and the author's keywords co-occurrence overlay map were visualized by bibliometric software including the website , VOSviewer, CiteSpace, and CitNetExplorer. Results: From 1974 to the present, the most high-yield publication year, country, institute, author, and journal were 2020 (n = 222), France (n = 522), Netherlands Pharmacovigilance Centre Lareb (n = 82), Jean-Louis Montastruc (n = 125), Drug Safety (n = 384), respectively, in all 2,128 articles. Similarly, the United States, Institut National de la Sante et de la Recherche Medicale, and Jean-Louis Montastruc had the most coauthorship strength at the macrolevel (global), mesolevel (local), and microlevel (individual). The topics of burst references covered are the development of methodology, issues of patients reporting and under-reporting, evaluation of methods and databases, assessment of causality, and perspectives in pharmacovigilance. Eight clusters were grouped in the document citation network. Pharmacovigilance,  adverse drug reactions,  pharmacoepidemiology,  drug safety,  and signal detection  were the research priorities, while drug-related side effects and adverse reactions,  VigiBase,  disproportionality analysis,  social media,  FAERS,  chemotherapy,  patient safety,  reporting odds ratio,  and preventability  might be the future research hotspots. Conclusion: Positive synergies can be observed in this study by employing the multiple software tools which established the relationship between the units of analysis. The bibliometric analysis can organize the thematic development and guide the hotspots of pharmacovigilance in pharmacology and pharmacy.</t>
  </si>
  <si>
    <t>[Wang, Li; Duan, Jingli] Peking Univ Int Hosp, Dept Pharm, Beijing, Peoples R China; [Feng, Wanyu] Peking Univ Peoples Hosp, Dept Pharm, Beijing, Peoples R China; [Liang, Jun] Peking Univ Int Hosp, Dept Oncol, Beijing, Peoples R China</t>
  </si>
  <si>
    <t>Peking University; Peking University</t>
  </si>
  <si>
    <t>Duan, JL (corresponding author), Peking Univ Int Hosp, Dept Pharm, Beijing, Peoples R China.;Feng, WY (corresponding author), Peking Univ Peoples Hosp, Dept Pharm, Beijing, Peoples R China.;Liang, J (corresponding author), Peking Univ Int Hosp, Dept Oncol, Beijing, Peoples R China.</t>
  </si>
  <si>
    <t>renminyaojike@sina.com; duanjl@163.com; liangiun_pkuih@sina.com</t>
  </si>
  <si>
    <t>Wang, Li/0000-0002-6253-9453</t>
  </si>
  <si>
    <t>1663-9812</t>
  </si>
  <si>
    <t>FRONT PHARMACOL</t>
  </si>
  <si>
    <t>Front. Pharmacol.</t>
  </si>
  <si>
    <t>OCT 4</t>
  </si>
  <si>
    <t>10.3389/fphar.2021.731757</t>
  </si>
  <si>
    <t>WV4PN</t>
  </si>
  <si>
    <t>WOS:000717220200001</t>
  </si>
  <si>
    <t>Encinas-Ferrer, C; Villegas-Zermeño, E</t>
  </si>
  <si>
    <t>Tsounis, N; Vlahvei, A</t>
  </si>
  <si>
    <t>Encinas-Ferrer, Carlos; Villegas-Zermeno, Eddie</t>
  </si>
  <si>
    <t>Foreign direct investment and gross domestic product growth</t>
  </si>
  <si>
    <t>INTERNATIONAL CONFERENCE ON APPLIED ECONOMICS (ICOAE) 2015</t>
  </si>
  <si>
    <t>Procedia Economics and Finance</t>
  </si>
  <si>
    <t>International Conference on Applied Economics (ICOAE)</t>
  </si>
  <si>
    <t>JUL 02-04, 2015</t>
  </si>
  <si>
    <t>Kazan, RUSSIA</t>
  </si>
  <si>
    <t>Kazan Fed Univ, Inst Management Econ &amp; Finance,Technol Inst W Macedonia, Dept Int Trade Kastoria</t>
  </si>
  <si>
    <t>Foreign direct investment; gross domestic product; economic growt; groos fixed capital formation</t>
  </si>
  <si>
    <t>It has been assumed that foreign direct investment (FDI) is an important factor of economic growth (EG). The reason for this is that as investment is the dynamic element of gross domestic product (GDP), therefore, FDI is the independent variable and GDP growth the dependent. Recent studies in Argentina and Mexico have shown by the contrary that the consistent increase of GDP is the attractor of FDI. In our investigation we include other countries: China, Brazil, South Korea and Peru beside Mexico and the results are consistent with the prior studies and were proved empirically by testing causality in the Granger sense, adjusted by Toda and Yamamoto's method using the software e-views. We found that FDI, as a percentage of total gross fixed capital formation (GFCF), is so small that it has only a marginal influence in economic growth. In this paper we show only the econometric results for China. (C) 2015 The Authors. Published by Elsevier B.V.</t>
  </si>
  <si>
    <t>[Encinas-Ferrer, Carlos] Univ De La Salle Bajio Mexico, Av Univ 602, Leon 37150, PC, Mexico; [Villegas-Zermeno, Eddie] Adv Syst High Sch &amp; Higher Educ SABES, Leon 37234, PC, Mexico</t>
  </si>
  <si>
    <t>Encinas-Ferrer, C (corresponding author), Univ De La Salle Bajio Mexico, Av Univ 602, Leon 37150, PC, Mexico.</t>
  </si>
  <si>
    <t>Encinas-Ferrer, Carlos/A-9926-2018; Encinas-Ferrer, Carlos/O-3290-2013</t>
  </si>
  <si>
    <t>Encinas-Ferrer, Carlos/0000-0001-7171-4367</t>
  </si>
  <si>
    <t>SARA BURGERHARTSTRAAT 25, PO BOX 211, 1000 AE AMSTERDAM, NETHERLANDS</t>
  </si>
  <si>
    <t>2212-5671</t>
  </si>
  <si>
    <t>PROC ECON FINANC</t>
  </si>
  <si>
    <t>10.1016/S2212-5671(15)00647-4</t>
  </si>
  <si>
    <t>Business, Finance; Economics</t>
  </si>
  <si>
    <t>BF4KC</t>
  </si>
  <si>
    <t>WOS:000381113800024</t>
  </si>
  <si>
    <t>Oatley, GC; Ewart, BW</t>
  </si>
  <si>
    <t>Crimes analysis software: 'pins in maps', clustering and Bayes net prediction</t>
  </si>
  <si>
    <t>Bayesian burglary decision support prediction</t>
  </si>
  <si>
    <t>The OVER Project was a collaboration between West Midlands Police, UK, the Centre for Adaptive Systems, and Psychology Division, from the University of Sunderland. The Project was developed primarily to assist the Police with the high volume crime, burglary from dwelling houses. A developed software system enables the trending of historical data, the testing of 'short term' hunches, and the development of 'medium' and long term' strategies to burglary and crime reduction, based upon victim, offender, location and details of victimisations. The software utilises mapping and visualisation tools and is capable of a range of sophisticated predictions, tying together statistical techniques with theories from forensic psychology and criminology. The statistical methods employed (including multi-dimensional scaling, binary logistic regression) and 'data-mining' technologies (including neural networks) are used to investigate the impact of the types of evidence available and to determine the causality in this domain. The final predictions on the likelihood of burglary are calculated by combining all of the varying sources of evidence into a Bayesian belief network. This network is embedded in the developed software system, which also performs data cleansing and data transformation for presentation to the developed algorithms. It is important that derived statistics from the software and predictions are interpretable by the intended users of the decision support system, namely Police sector managers, and this paper includes some of the design decisions based upon the forensic psychology and criminology literature, including the graphical representation of geographic data and presentation of results of analyses. (C) 2003 Elsevier Ltd. All rights reserved.</t>
  </si>
  <si>
    <t>Univ Sunderland, Ctr Adapt Syst Comp &amp; Technol, Sunderland SR6 0DD, Durham, England; Univ Sunderland, Psychol Div, Sunderland, Durham, England</t>
  </si>
  <si>
    <t>University of Sunderland; University of Sunderland</t>
  </si>
  <si>
    <t>Univ Sunderland, Ctr Adapt Syst Comp &amp; Technol, St Peters Campus, Sunderland SR6 0DD, Durham, England.</t>
  </si>
  <si>
    <t>giles.oatley@sunderland.ac.uk</t>
  </si>
  <si>
    <t>Oatley, Giles C/O-6727-2015</t>
  </si>
  <si>
    <t>Oatley, Giles/0000-0002-5034-5213</t>
  </si>
  <si>
    <t>720CF</t>
  </si>
  <si>
    <t>WOS:000185243400008</t>
  </si>
  <si>
    <t>Burli, S; Bagodi, V; Kotturshettar, B</t>
  </si>
  <si>
    <t>Burli, Shivakumar; Bagodi, Virupaxi; Kotturshettar, Basavaraj</t>
  </si>
  <si>
    <t>TQM dimensions and their interrelationships in ISO certified engineering institutes of India</t>
  </si>
  <si>
    <t>BENCHMARKING-AN INTERNATIONAL JOURNAL</t>
  </si>
  <si>
    <t>India; Educational institutions; Higher education; Total qualitymanagement; ISO9000 series; Engineering education; Factor analysis; AMOS</t>
  </si>
  <si>
    <t>Purpose - The purpose of this paper is to investigate the dimensions of TQM, analyse interrelationships and their combined influence on results achieved in ISO certified engineering institutes in India. Design/methodology/approach - This study is based on the questionnaire survey of a sample of 216 faculty members serving in various ISO certified institutes of southern states of India. The data were obtained using a questionnaire that is in line with the self-assessment philosophy of European Foundation for Quality Management Excellence Model (EFQM). The dataset was subjected to exploratory factor analysis using SPSS17.0 program for Windows. The confirmatory and causal analyses were carried out using AMOS 16.0 software. Findings - The factor analysis confirmed the existence of ten important dimensions of TQM that guide ISO institutes in their quality journey. Structural equation modelling was used to validate the developed TQM model. Leadership of top management was the main driving force for establishing an effective quality management system (QMS) in engineering institutes. Research limitations/implications - The main limitation is related to the notion of causality. The study has considered perception data for the predictive analysis. Practical implications - The paper unfolds ten important TQM factors that need attention from education administrators to manage quality in engineering education. The six enablers of the proposed TQM model significantly influence result criteria. The results obtained in this study encourage academic leaders to implement TQM concepts in their institutes to achieve a higher level of stakeholder satisfaction. Originality/value - The paper is a new contribution to broad understanding of TQM concepts and their impact on performance measures in engineering education in India.</t>
  </si>
  <si>
    <t>[Burli, Shivakumar; Kotturshettar, Basavaraj] BVB Coll Engn &amp; Technol, Ind &amp; Prod Engn Dept, Hubli, India; [Bagodi, Virupaxi] BVB Coll Engn &amp; Technol, Dept Management Studies, Hubli, India</t>
  </si>
  <si>
    <t>KLE Technological University; KLE Technological University</t>
  </si>
  <si>
    <t>Burli, S (corresponding author), BVB Coll Engn &amp; Technol, Ind &amp; Prod Engn Dept, Hubli, India.</t>
  </si>
  <si>
    <t>sbburli@bvb.edu</t>
  </si>
  <si>
    <t>Bagodi, Virupaxi/AAE-7376-2021; Burli, Shivakumar/AAT-8509-2020; Kotturshettar, Basavaraj/AAZ-8563-2020</t>
  </si>
  <si>
    <t>Bagodi, Virupaxi/0000-0002-6954-9320; Burli, Shivakumar/0000-0002-7207-3634;</t>
  </si>
  <si>
    <t>1463-5771</t>
  </si>
  <si>
    <t>1758-4094</t>
  </si>
  <si>
    <t>BENCHMARKING</t>
  </si>
  <si>
    <t>Benchmarking</t>
  </si>
  <si>
    <t>10.1108/14635771211224527</t>
  </si>
  <si>
    <t>V97FT</t>
  </si>
  <si>
    <t>WOS:000213318400003</t>
  </si>
  <si>
    <t>Yao, YP; Meng, D; Zhu, F; Yan, LB; Qu, QJ; Lin, ZW; Ma, HB</t>
  </si>
  <si>
    <t>Yao, Yi-ping; Meng, Dong; Zhu, Feng; Yan, Lai-bin; Qu, Qing-jun; Lin, Zhong-wei; Ma, Hai-bo</t>
  </si>
  <si>
    <t>JOURNAL OF SIMULATION</t>
  </si>
  <si>
    <t>large-scale analytic simulation; parallel simulation; three-level-parallelization; high-performance simulation computer</t>
  </si>
  <si>
    <t>HIGH-PERFORMANCE; PARALLEL; EFFICIENT</t>
  </si>
  <si>
    <t>Fully exploiting the parallelism in large-scale analytic simulation is an essential way to meet the increasing demand for computing resources. This paper deconstructs large-scale analytic simulation using a hierarchical approach. Five computational characteristics that cause the huge computing requirements of analytic simulation are summarized: Multi-sample'', Multientity'', Running-as-fast-as-possible'', Synchronization for constraint of causality'', and Complex model calculation''. According to these characteristics, a Sample, Entity, Model'' three-level-Parallelization support framework is proposed to exploit the parallelism on three levels. Under the guidance of this framework, a High-Performance Simulation Computer system which integrated software management and hardware support was designed, and then applied in realistic applications. The experimental results show that the designed system can effectively utilize the potential parallelism characteristics in analytic simulation. Consequently, the simulation performance can be improved dozens or even hundreds of times.</t>
  </si>
  <si>
    <t>[Yao, Yi-ping; Meng, Dong; Zhu, Feng; Yan, Lai-bin; Qu, Qing-jun; Lin, Zhong-wei; Ma, Hai-bo] Natl Univ Def Technol, Coll Informat Syst &amp; Management, Changsha, Hunan, Peoples R China</t>
  </si>
  <si>
    <t>National University of Defense Technology - China</t>
  </si>
  <si>
    <t>Yao, YP (corresponding author), Natl Univ Def Technol, Coll Informat Syst &amp; Management, Changsha, Hunan, Peoples R China.</t>
  </si>
  <si>
    <t>donemen@yeah.net</t>
  </si>
  <si>
    <t>National Natural Science Foundation of China [61170048]; State Key Laboratory of High Performance Computing of National University of Defense Technology [201303-05]</t>
  </si>
  <si>
    <t>National Natural Science Foundation of China(National Natural Science Foundation of China (NSFC)); State Key Laboratory of High Performance Computing of National University of Defense Technology</t>
  </si>
  <si>
    <t>The research was supported by the National Natural Science Foundation of China (No. 61170048) and Research Project of State Key Laboratory of High Performance Computing of National University of Defense Technology (No. 201303-05).</t>
  </si>
  <si>
    <t>1747-7778</t>
  </si>
  <si>
    <t>1747-7786</t>
  </si>
  <si>
    <t>J SIMUL</t>
  </si>
  <si>
    <t>J. Simul.</t>
  </si>
  <si>
    <t>Computer Science, Interdisciplinary Applications; Operations Research &amp; Management Science</t>
  </si>
  <si>
    <t>FD8UN</t>
  </si>
  <si>
    <t>WOS:000407799700002</t>
  </si>
  <si>
    <t>Aral, S; Brynjolfsson, E; Wu, L</t>
  </si>
  <si>
    <t>Aral, Sinan; Brynjolfsson, Erik; Wu, Lynn</t>
  </si>
  <si>
    <t>Three-Way Complementarities: Performance Pay, Human Resource Analytics, and Information Technology</t>
  </si>
  <si>
    <t>incentive systems; information technology; performance pay; human resource analytics; complementarity; enterprise systems; ERP; productivity; production function; principal-agent model</t>
  </si>
  <si>
    <t>ORGANIZATIONAL-CHANGE; INCENTIVE CONTRACTS; ASSET OWNERSHIP; FIRM; PRODUCTIVITY; MANAGEMENT; INNOVATION; PROVISION; COMPUTERS; STRATEGY</t>
  </si>
  <si>
    <t>We test for three-way complementarities among information technology (IT), performance pay, and human resource (HR) analytics practices. We develop a principal-agent model examining how these practices work together as an incentive system that produces a larger productivity premium when the practices are implemented in concert rather than separately. We assess our model by combining fine-grained data on human capital management (HCM) software adoption over 11 years with detailed survey data on incentive systems and HR analytics practices for 189 firms. We find that the adoption of HCM software is greatest in firms that have also adopted performance pay and HR analytics practices. Furthermore, HCM adoption is associated with a large productivity premium when it is implemented as a system of organizational incentives, but has less benefit when adopted in isolation. The system of three-way complements produces disproportionately greater benefits than pairwise interactions, highlighting the importance of including all three complements. Productivity increases significantly when the HCM systems go live but not when they are purchased, which can be years earlier. This helps rule out reverse causality as an explanation for our findings.</t>
  </si>
  <si>
    <t>[Aral, Sinan] NYU, Stern Sch Business, New York, NY 10012 USA; [Brynjolfsson, Erik; Wu, Lynn] MIT, MIT Sloan Sch Management, Cambridge, MA 02142 USA</t>
  </si>
  <si>
    <t>New York University; Massachusetts Institute of Technology (MIT)</t>
  </si>
  <si>
    <t>Aral, S (corresponding author), NYU, Stern Sch Business, 550 1St Ave, New York, NY 10012 USA.</t>
  </si>
  <si>
    <t>sinan@stern.nyu.edu; erikb@mit.edu; lynnwu@mit.edu</t>
  </si>
  <si>
    <t>Brynjolfsson, Erik/H-2412-2012</t>
  </si>
  <si>
    <t>Aral, Sinan/0000-0002-2762-058X</t>
  </si>
  <si>
    <t>SAP; Center for Digital Business at MIT; Microsoft Research; National Science Foundation [0953832]; Direct For Computer &amp; Info Scie &amp; Enginr; Div Of Information &amp; Intelligent Systems [0953832] Funding Source: National Science Foundation</t>
  </si>
  <si>
    <t>SAP; Center for Digital Business at MIT; Microsoft Research(Microsoft); National Science Foundation(National Science Foundation (NSF)); Direct For Computer &amp; Info Scie &amp; Enginr; Div Of Information &amp; Intelligent Systems(National Science Foundation (NSF)NSF - Directorate for Computer &amp; Information Science &amp; Engineering (CISE))</t>
  </si>
  <si>
    <t>The authors thank Lorin Hitt, Edward Lazear, Kathryn Shaw, and seminar participants at the National Bureau of Economic Research, the International Conference on Information Systems, the Workshop on Information Systems Economics, Massachusetts Institute of Technology, and New York University for valuable comments. They thank SAP and the Center for Digital Business at MIT for generous funding. Sinan Aral also gratefully acknowledges generous financial support from Microsoft Research [Faculty Fellowship 2010] and the National Science Foundation [Career Award 0953832].</t>
  </si>
  <si>
    <t>10.1287/mnsc.1110.1460</t>
  </si>
  <si>
    <t>942KS</t>
  </si>
  <si>
    <t>WOS:000304043500005</t>
  </si>
  <si>
    <t>Jin, MX; Lv, AR; Zhu, YP; Wen, ZJ; Zhong, YB; Zhao, ZX; Wu, J; Li, HJ; He, HH; Chen, FY</t>
  </si>
  <si>
    <t>Jin, Mingxu; Lv, Aoran; Zhu, Yuanpeng; Wen, Zijiang; Zhong, Yubin; Zhao, Zexin; Wu, Jiang; Li, Hejie; He, Hanheng; Chen, Fengyi</t>
  </si>
  <si>
    <t>IEEE ACCESS</t>
  </si>
  <si>
    <t>Anomaly detection; Standards; Topology; Machine learning algorithms; Signal processing algorithms; Licenses; Containers; Microservice architecture; root cause analysis; anomaly detection</t>
  </si>
  <si>
    <t>PCA</t>
  </si>
  <si>
    <t>Microservice architecture (MSA) is a new software architecture, which divides a large single application and service into dozens of supporting microservices. With the increasingly popularity of MSA, the security issues of MSA get a lot of attention. In this paper, we propose an algorithm for mining causality and the root cause. Our algorithm consists of two parts: invocation chain anomaly analysis based on robust principal component analysis (RPCA) and a single indicator anomaly detection algorithm. The single indicator anomaly detection algorithm is composed of Isolation Forest (IF) algorithm, One-Class Support Vector Machine (SVM) algorithm, Local Outlier Factor (LOF) algorithm, and 3 sigma principle. For general and network time-consuming anomaly in the process of the MSA, we formulate different anomaly time-consuming detection strategies. We select a batch of sample data and three batches of test data of the 2020 International AIOps Challenge to debug our algorithm. According to the scoring criteria of the competition organizers, our algorithm has an average score of 0.8304 (The full score is 1) in the four batches of data. Our proposed algorithm has higher accuracy than some traditional machine learning algorithms in anomaly detection.</t>
  </si>
  <si>
    <t>[Jin, Mingxu; Lv, Aoran; Zhu, Yuanpeng; Zhao, Zexin; Wu, Jiang; Li, Hejie; He, Hanheng] South China Univ Technol, Sch Math, Guangzhou 510641, Peoples R China; [Wen, Zijiang; Zhong, Yubin] JOYY Inc, Guangzhou 511442, Peoples R China; [Chen, Fengyi] Guangdong Ind Polytech, Sch Management Adm, Guangzhou 510330, Peoples R China</t>
  </si>
  <si>
    <t>South China University of Technology; Guangdong Industry Polytechnic</t>
  </si>
  <si>
    <t>Zhu, YP (corresponding author), South China Univ Technol, Sch Math, Guangzhou 510641, Peoples R China.</t>
  </si>
  <si>
    <t>ypzhu@scut.edu.cn</t>
  </si>
  <si>
    <t>LIU, JIALIN/JXN-8034-2024</t>
  </si>
  <si>
    <t>Zhu, Yuanpeng/0000-0001-8682-6089; Jin, Mingxu/0000-0003-3484-8723</t>
  </si>
  <si>
    <t>National Natural Science Foundation of China [61802129]; Natural Science Foundation of Guangdong Province, China [2018A030310381]</t>
  </si>
  <si>
    <t>National Natural Science Foundation of China(National Natural Science Foundation of China (NSFC)); Natural Science Foundation of Guangdong Province, China(National Natural Science Foundation of Guangdong Province)</t>
  </si>
  <si>
    <t>This work was supported in part by the National Natural Science Foundation of China under Grant 61802129, and in part by the Natural Science Foundation of Guangdong Province, China, under Grant 2018A030310381.</t>
  </si>
  <si>
    <t>2169-3536</t>
  </si>
  <si>
    <t>PN5PE</t>
  </si>
  <si>
    <t>WOS:000604529800001</t>
  </si>
  <si>
    <t>Chen, PF; Qi, Y; Hou, D</t>
  </si>
  <si>
    <t>Chen, Pengfei; Qi, Yong; Hou, Di</t>
  </si>
  <si>
    <t>Performance diagnosis; distributed system; causality; anomaly detection; cloud system</t>
  </si>
  <si>
    <t>SYSTEM</t>
  </si>
  <si>
    <t>Modern computing systems especially cloud-based and cloud-centric systems always consist of a mass of components running in large distributed environments with complicated interactions. They are vulnerable to performance problems due to the highly dynamic runtime environment changes (e.g., overload and resource contention) or software bugs (e.g., memory leak). Unfortunately, it is notoriously difficult to diagnose the root causes of these performance problems in a fine granularity due to complicated interactions and a large cardinality of potential cause set. In this paper, we build an automated, black-box and end-to-end cause inference system named CauseInfer to pinpoint the root causes or at least provide some hints. CauseInfer can automatically map a distributed system to a two-layer hierarchical causality graph and infer the root causes along the causal paths in the causality graph. CauseInfer models the fault propagation paths in an explicit way and works without instrumentation to the running production system, which makes CauseInfer more effective and practical than previous approaches. The experimental evaluations in two benchmark systems show that CauseInfer can identify the root causes in a high accuracy. Compared to several state-of-the-art approaches, CauseInfer can achieve over 10 percent improvement. Moreover, CauseInfer is lightweight and flexible enough to readily scale out in large distributed systems. With CauseInfer, the mean time to recovery (MTTR) of the cloud systems can be significantly reduced.</t>
  </si>
  <si>
    <t>[Chen, Pengfei; Qi, Yong; Hou, Di] Xi An Jiao Tong Univ, Dept Comp Sci &amp; Technol, Xian 710049, Peoples R China</t>
  </si>
  <si>
    <t>Chen, PF (corresponding author), Xi An Jiao Tong Univ, Dept Comp Sci &amp; Technol, Xian 710049, Peoples R China.</t>
  </si>
  <si>
    <t>pengfeichen@outlook.com; qiy@mail.xjtu.edu.cn; houdi@mail.xjtu.edu.cn</t>
  </si>
  <si>
    <t>National Natural Science Foundation of China [61672421]; National Key Research and Development Program of China [2016YFB1000604]</t>
  </si>
  <si>
    <t>National Natural Science Foundation of China(National Natural Science Foundation of China (NSFC)); National Key Research and Development Program of China</t>
  </si>
  <si>
    <t>The work is supported by the National Natural Science Foundation of China under grant No. 61672421, the National Key Research and Development Program of China under grant No. 2016YFB1000604. Moreover, the authors thank the anonymous reviewers. Yong Qi is the corresponding author.</t>
  </si>
  <si>
    <t>MAR-APR</t>
  </si>
  <si>
    <t>HS8PV</t>
  </si>
  <si>
    <t>WOS:000464132500004</t>
  </si>
  <si>
    <t>Krkosková, R</t>
  </si>
  <si>
    <t>Vachova, L; Kratochvil, V</t>
  </si>
  <si>
    <t>Krkoskova, Radmila</t>
  </si>
  <si>
    <t>Analysis of the Slovak economy using VAR models</t>
  </si>
  <si>
    <t>MATHEMATICAL METHODS IN ECONOMICS (MME 2018)</t>
  </si>
  <si>
    <t>36th International Conference on Mathematical Methods in Economics (MME)</t>
  </si>
  <si>
    <t>SEP 12-14, 2018</t>
  </si>
  <si>
    <t>Jindrichuv Hradec, CZECH REPUBLIC</t>
  </si>
  <si>
    <t>Univ Econ, Fac Management,Czech Soc Operat Res,Czech Econometr Soc</t>
  </si>
  <si>
    <t>ADF test of stationarity; Cointegration relation; Granger causality; VAR model; VEC model</t>
  </si>
  <si>
    <t>The paper aims to analyse and model chose macroeconomic variables of the Slovak economy and their dynamics using VAR models. This article shows the application of selected model on real-time series of chosen macroeconomic indicators using four variables (R - interest rate, M - money supply (M2), P - price level (CPI), Y - GDP). We identify and test four long-run relationships. There are described Granger causality, impulse response function, cointegration and error correction models. The estimation outputs are interpreted. The quality econometric model for modelling macroeconomic time series in Slovak economy is discussed. The calculations used EViews software version 9. The structural model is estimated for the Slovak economy. The data used have the character of a quarterly time series in the period from Q1/2005 to Q4/2017. The data source was the National Bank of Slovakia and the Eurostat database.</t>
  </si>
  <si>
    <t>[Krkoskova, Radmila] Silesian Univ Opava, Sch Business Adm Karvina, Dept Informat &amp; Math, Univ Namesti 1934-3, Karvina 73340, Czech Republic</t>
  </si>
  <si>
    <t>Silesian University Opava</t>
  </si>
  <si>
    <t>Krkosková, R (corresponding author), Silesian Univ Opava, Sch Business Adm Karvina, Dept Informat &amp; Math, Univ Namesti 1934-3, Karvina 73340, Czech Republic.</t>
  </si>
  <si>
    <t>krkoskova@opf.slu.cz</t>
  </si>
  <si>
    <t>Krkošková, Radmila/R-1710-2018</t>
  </si>
  <si>
    <t>Krkošková, Radmila/0000-0002-4977-0060</t>
  </si>
  <si>
    <t>Ministry of Education, Youth and Sports Czech Republic</t>
  </si>
  <si>
    <t>Ministry of Education, Youth and Sports Czech Republic(Ministry of Education, Youth &amp; Sports - Czech RepublicCzech Republic Government)</t>
  </si>
  <si>
    <t>This paper was supported by the Ministry of Education, Youth and Sports Czech Republic within the Institutional Support for Long-term Development of a Research Organization in 2018.</t>
  </si>
  <si>
    <t>MATFYZPRESS PUBL HOUSE, FAC MATH &amp; PHYSICS</t>
  </si>
  <si>
    <t>PRAHA 8</t>
  </si>
  <si>
    <t>CHARLES UNIV PRAGUE, SOKOLOVSKA 83, PRAHA 8, 186 75, CZECH REPUBLIC</t>
  </si>
  <si>
    <t>978-80-7378-372-3</t>
  </si>
  <si>
    <t>Economics; Mathematics, Interdisciplinary Applications; Social Sciences, Mathematical Methods</t>
  </si>
  <si>
    <t>Business &amp; Economics; Mathematics; Mathematical Methods In Social Sciences</t>
  </si>
  <si>
    <t>BO2PI</t>
  </si>
  <si>
    <t>WOS:000507455300046</t>
  </si>
  <si>
    <t>Suryadevara, J; Chung, L; Shyamasundar, RK</t>
  </si>
  <si>
    <t>Suryadevara, Jagadish; Chung, Lawrence; Shyamasundar, R. K.</t>
  </si>
  <si>
    <t>cmUML - A UML based Framework for Formal Specification of Concurrent, Reactive Systems</t>
  </si>
  <si>
    <t>JOURNAL OF OBJECT TECHNOLOGY</t>
  </si>
  <si>
    <t>Complex software systems possess concurrent and reactive behaviors requiring precise specifications prior to development. Lamport's transition axiom method is a formal specification method which combines axiomatic and operational approaches. On the other hand Unified Modeling Language (UML), a de facto industry standard visual language, lacks suitable constructs and semantics regarding concurrency aspects. Though UML includes action semantics, its higher level constructs and object semantics are inconsistent. Motivated by Lamport's approach, this paper proposes a UML based specification framework 'cmUML' ('cm' for concurrent modules) for formal specification of concurrent, reactive systems without object level diagrams and OCL. The framework integrates higher level diagrams of UML and addresses various concurrency issues including exception handling. It combines UML-RT and UML/SPT profile as the latter defines a core package for concurrency and causality. Further the framework includes the characteristic safety and liveness aspects of concurrent systems. The proposed framework is in contrast with existing approaches based on low level primitives (semaphore, monitors). The paper includes several specification examples validating the proposed framework.</t>
  </si>
  <si>
    <t>[Suryadevara, Jagadish] Birla Inst Technol &amp; Sci, Pilani, Rajasthan, India; [Chung, Lawrence] Univ Texas Dallas, Erik Jonsson Sch Engn &amp; Comp Sci, Dallas, TX USA; [Shyamasundar, R. K.] Tata Inst Fundamental Res, Sch Technol &amp; Comp Sci, Bombay, Maharashtra, India</t>
  </si>
  <si>
    <t>Birla Institute of Technology &amp; Science Pilani (BITS Pilani); University of Texas System; University of Texas Dallas; Tata Institute of Fundamental Research (TIFR)</t>
  </si>
  <si>
    <t>Suryadevara, J (corresponding author), Birla Inst Technol &amp; Sci, Pilani, Rajasthan, India.</t>
  </si>
  <si>
    <t>jagadish@bits-pilani.ac.in</t>
  </si>
  <si>
    <t>JOURNAL OBJECT TECHNOLOGY</t>
  </si>
  <si>
    <t>ZURICH</t>
  </si>
  <si>
    <t>ETH ZURICH, RZ BLDG, CLAUSIUSSTRASSE 59, ZURICH, 8092, SWITZERLAND</t>
  </si>
  <si>
    <t>1660-1769</t>
  </si>
  <si>
    <t>J OBJECT TECHNOL</t>
  </si>
  <si>
    <t>J. Object Technol.</t>
  </si>
  <si>
    <t>V15UT</t>
  </si>
  <si>
    <t>WOS:000214574200014</t>
  </si>
  <si>
    <t>Colaço, JL; Mendler, M; Pauget, B; Pouzet, M</t>
  </si>
  <si>
    <t>Colaco, Jean-Louis; Mendler, Michael; Pauget, Baptiste; Pouzet, Marc</t>
  </si>
  <si>
    <t>ACM TRANSACTIONS ON EMBEDDED COMPUTING SYSTEMS</t>
  </si>
  <si>
    <t>Programming language; dynamic semantics; synchronous programming; embedded software</t>
  </si>
  <si>
    <t>PROGRAMMING LANGUAGE; CLOCKS</t>
  </si>
  <si>
    <t>Scade is a domain-specific synchronous functional language used to implement safety-critical real-time software for more than twenty years. Two main approaches have been considered for its semantics: (i) an indirect collapsing semantics based on a source-to-source translation of high-level constructs into a data-flow core language whose semantics is precisely specified and is the entry for code generation; a relational synchronous semantics, akin to Esterel, that applies directly to the source. It defines what is a valid synchronous reaction but hides, on purpose, if a semantics exists, is unique and can be computed; hence, it is not executable. This paper presents, for the first time, an executable, state-based semantics for a language that has the key constructs of Scade all together, in particular the arbitrary combination of data-flow equations and hierarchical state machines. It can apply directly to the source language before static checks and compilation steps. It is constructive in the sense that the language in which the semantics is defined is a statically typed functional language with call-by-value and strong normalization, e.g., it is expressible in a proof-assistant where all functions terminate. It leads to a reference, purely functional, interpreter. This semantics is modular and can account for possible errors, allowing to establish what property is ensured by each static verification performed by the compiler. It also clarifies how causality is treated in Scade compared with Esterel. This semantics can serve as an oracle for compiler testing and validation; to prototype novel language constructs before they are implemented, to execute possibly unfinishedmodels or that are correct but rejected by the compiler; to prove the correctness of compilation steps. The semantics given in the paper is implemented as an interpreter in a purely functional style, in OCaml.</t>
  </si>
  <si>
    <t>[Colaco, Jean-Louis; Pauget, Baptiste] Ansys, SBU, Pk Ave Batiment Emeraude 1,9 Rue Michel Labrous, F-31100 Toulouse, France; [Mendler, Michael] Univ Bamberg, Fac Informat Syst &amp; Appl Comp Sci, Gutenbergstr 13, D-96050 Bamberg, Germany; [Pauget, Baptiste; Pouzet, Marc] INRIA, 2 Rue Simone IFF, F-75012 Paris, France; [Pouzet, Marc] PSL, DIENS, ENS, 45 rue Ulm, F-75230 Paris, France</t>
  </si>
  <si>
    <t>Ansys, Inc.; Ansys France; Otto Friedrich University Bamberg; Inria; Universite PSL; Ecole Normale Superieure (ENS)</t>
  </si>
  <si>
    <t>Colaço, JL (corresponding author), Ansys, SBU, Pk Ave Batiment Emeraude 1,9 Rue Michel Labrous, F-31100 Toulouse, France.</t>
  </si>
  <si>
    <t>Jean-Louis.Colaco@ansys.com; michael.mendler@uni-bamberg.de; Baptiste.Pauget@ansys.com; Marc.Pouzet@ens.fr</t>
  </si>
  <si>
    <t>1539-9087</t>
  </si>
  <si>
    <t>1558-3465</t>
  </si>
  <si>
    <t>ACM T EMBED COMPUT S</t>
  </si>
  <si>
    <t>S9MM9</t>
  </si>
  <si>
    <t>WOS:001074334300055</t>
  </si>
  <si>
    <t>Pawlicki, T; Samost, A; Brown, DW; Manger, RP; Kim, GY; Leveson, NG</t>
  </si>
  <si>
    <t>Pawlicki, Todd; Samost, Aubrey; Brown, Derek W.; Manger, Ryan P.; Kim, Gwe-Ya; Leveson, Nancy G.</t>
  </si>
  <si>
    <t>Application of systems and control theory-based hazard analysis to radiation oncology</t>
  </si>
  <si>
    <t>MEDICAL PHYSICS</t>
  </si>
  <si>
    <t>STPA; risk; hazard; safety; radiosurgery</t>
  </si>
  <si>
    <t>FAILURE MODE; TREATMENT DELIVERY; THERAPY; RADIOSURGERY; IMPACT</t>
  </si>
  <si>
    <t>Purpose: Both humans and software are notoriously challenging to account for in traditional hazard analysis models. The purpose of this work is to investigate and demonstrate the application of a new, extended accident causality model, called systems theoretic accident model and processes (STAMP), to radiation oncology. Specifically, a hazard analysis technique based on STAMP, system-theoretic process analysis (STPA), is used to perform a hazard analysis. Methods: The STPA procedure starts with the definition of high-level accidents for radiation oncology at the medical center and the hazards leading to those accidents. From there, the hierarchical safety control structure of the radiation oncology clinic is modeled, i.e., the controls that are used to prevent accidents and provide effective treatment. Using STPA, unsafe control actions (behaviors) are identified that can lead to the hazards as well as causal scenarios that can lead to the identified unsafe control. This information can be used to eliminate or mitigate potential hazards. The STPA procedure is demonstrated on a new online adaptive cranial radiosurgery procedure that omits the CT simulation step and uses CBCT for localization, planning, and surface imaging system during treatment. Results: The STPA procedure generated a comprehensive set of causal scenarios that are traced back to system hazards and accidents. Ten control loops were created for the new SRS procedure, which covered the areas of hospital and department management, treatment design and delivery, and vendor service. Eighty three unsafe control actions were identified as well as 472 causal scenarios that could lead to those unsafe control actions. Conclusions: STPA provides a method for understanding the role of management decisions and hospital operations on system safety and generating process design requirements to prevent hazards and accidents. The interaction of people, hardware, and software is highlighted. The method of STPA produces results that can be used to improve safety and prevent accidents and warrants further investigation. (C) 2016 American Association of Physicists in Medicine.</t>
  </si>
  <si>
    <t>[Pawlicki, Todd; Brown, Derek W.; Manger, Ryan P.; Kim, Gwe-Ya] Univ Calif San Diego, Dept Radiat Med &amp; Appl Sci, 3385 Hlth Sci Dr, La Jolla, CA 92093 USA; [Samost, Aubrey] MIT, Engn Syst Div, 77 Massachusetts Ave, Cambridge, MA 02142 USA; [Leveson, Nancy G.] MIT, Dept Aeronaut &amp; Astronaut, 77 Massachusetts Ave, Cambridge, MA 02142 USA</t>
  </si>
  <si>
    <t>University of California System; University of California San Diego; Massachusetts Institute of Technology (MIT); Massachusetts Institute of Technology (MIT)</t>
  </si>
  <si>
    <t>Pawlicki, T (corresponding author), Univ Calif San Diego, Dept Radiat Med &amp; Appl Sci, 3385 Hlth Sci Dr, La Jolla, CA 92093 USA.</t>
  </si>
  <si>
    <t>tpaw@ucsd.edu</t>
  </si>
  <si>
    <t>Manger, Ryan/0000-0002-1914-7534</t>
  </si>
  <si>
    <t>Varian Medical Systems</t>
  </si>
  <si>
    <t>This work was supported in part by a research grant from Varian Medical Systems to investigate Linac-based CBCT-only online cranial SRS/SRT treatments.</t>
  </si>
  <si>
    <t>0094-2405</t>
  </si>
  <si>
    <t>2473-4209</t>
  </si>
  <si>
    <t>MED PHYS</t>
  </si>
  <si>
    <t>Med. Phys.</t>
  </si>
  <si>
    <t>10.1118/1.4942384</t>
  </si>
  <si>
    <t>Radiology, Nuclear Medicine &amp; Medical Imaging</t>
  </si>
  <si>
    <t>DI7UI</t>
  </si>
  <si>
    <t>WOS:000373707100046</t>
  </si>
  <si>
    <t>Wilikens, M; Burton, CJ</t>
  </si>
  <si>
    <t>FORMENTOR: Real-time operator advisory system for loss control. Application to a petro-chemical plant</t>
  </si>
  <si>
    <t>INTERNATIONAL JOURNAL OF INDUSTRIAL ERGONOMICS</t>
  </si>
  <si>
    <t>Conference on Computer-Aided Ergonomics and Safety, at the Triennial Congress of the International-Ergonomics-Association</t>
  </si>
  <si>
    <t>AUG 14-19, 1994</t>
  </si>
  <si>
    <t>TORONTO, CANADA</t>
  </si>
  <si>
    <t>Int Ergon Assoc</t>
  </si>
  <si>
    <t>decision support; plant supervision; knowledge based systems; plant modelling; diagnosis</t>
  </si>
  <si>
    <t>This paper describes FORMENTOR,(1) a real-time expert system that offers on-line decision support to operators of a complex plant who are faced with unusual and potentially hazardous situations. After the overall project background has been described, the essential requirements of such a system are outlined. The paper will then focus on one of the developed pilot applications, a supervisory and decision support system for operators of an extractive distillation unit of a petro-chemical plant. The most important techniques and models used will be discussed, A number of generic and well defined casks have been identified for a plant supervisory system like FORMENTOR to allow it to monitor on-line sensor data and detect precursor signs of abnormal plant behaviour, to diagnose the causes of the malfunction and finally to yield operational advice for managing the abnormal situation. This set of tasks include data retrieval, monitoring, diagnosing, assessing the current situation, assessing the consequences of the current situation, countermeasure planning and finally generation of advice. These generic tasks are instantiated in this particular application, In addition, main technical features of this pilot application are a functional model used to provide a global overview of the plant state and to guide the action planning process, a multi-layered structural model used to represent the functional components of the plant in a hierarchical way, and the use of two distinct but complementary reasoning modules for diagnosis, both based on this multi-level model. Of the two diagnostic reasoning modules one, the Heuristic Causal Reasoning module, identifies known problems, looks up the known solutions, and then adapts the implementation of these high-level solutions to the plant state. The other, the Model-Based Reasoning module, uses a more sophisticated model-based reasoning to find the root causes of a disturbance. The developed FORMENTOR system has been installed on an extractive distillation plant operated by BP-Chemicals Ltd, Its performance in responding to real plant upsets has been evaluated. The main results of this testing campaign are also reported. Relevance to industry Real-time plant supervision software systems to support operators in their decision-making process by enabling them to make effective use of all the appropriate information. The ultimate objective is to avoid major disturbances in an industrial plant that could lead to any type of loss: loss of production, startup costs related to shutdowns and in particular accident losses.</t>
  </si>
  <si>
    <t>HOSKYNS GRP PLC,LONDON W1V 7DN,ENGLAND</t>
  </si>
  <si>
    <t>Wilikens, M (corresponding author), COMMISS EUROPEAN UNION,JOINT RES CTR,INST SYST ENGN &amp; INFORMAT,I-21020 ISPRA,VA,ITALY.</t>
  </si>
  <si>
    <t>0169-8141</t>
  </si>
  <si>
    <t>INT J IND ERGONOM</t>
  </si>
  <si>
    <t>Int. J. Ind. Ergon.</t>
  </si>
  <si>
    <t>10.1016/0169-8141(95)00060-7</t>
  </si>
  <si>
    <t>Engineering, Industrial; Ergonomics</t>
  </si>
  <si>
    <t>Conference Proceedings Citation Index - Social Science &amp; Humanities (CPCI-SSH); Science Citation Index Expanded (SCI-EXPANDED); Social Science Citation Index (SSCI)</t>
  </si>
  <si>
    <t>UP359</t>
  </si>
  <si>
    <t>WOS:A1996UP35900007</t>
  </si>
  <si>
    <t>Aziz, A; Ahmed, S; Khan, FI</t>
  </si>
  <si>
    <t>Aziz, Abdul; Ahmed, Salim; Khan, Faisal I.</t>
  </si>
  <si>
    <t>PROCESS SAFETY AND ENVIRONMENTAL PROTECTION</t>
  </si>
  <si>
    <t>Hazard identification; Probabilistic ontology; Web ontology language; Multi-entity Bayesian network; Expert system</t>
  </si>
  <si>
    <t>KNOWLEDGE; FRAMEWORK; SCENARIOS; LANGUAGE</t>
  </si>
  <si>
    <t>This article presents a dynamic hazard identification methodology founded on an ontology-based knowledge modeling framework coupled with probabilistic assessment. The objective is to develop an efficient and effective knowledge-based tool for process industries to screen hazards and conduct rapid risk estimation. The proposed generic model can translate an undesired process event (state of the process) into a graphical model, demonstrating potential pathways to the process event, linking causation to the transition of states. The Semantic web-based Web Ontology Language (OWL) is used to capture knowledge about unwanted process events. The resulting knowledge model is then transformed into Probabilistic-OWL (PR-OWL) based Multi-Entity Bayesian Network (MEBN). Upon queries, the MEBNs produce Situation Specific Bayesian Networks (SSBN) to identify hazards and their pathways along with probabilities. Two open-source software programs, Protege and UnBBayes, are used. The developed model is validated against 45 industrial accidental events extracted from the U.S. Chemical Safety Board's (CSB) database. The model is further extended to conduct causality analysis. (C) 2018 Institution of Chemical Engineers. Published by Elsevier B.V. All rights reserved.</t>
  </si>
  <si>
    <t>[Aziz, Abdul; Ahmed, Salim; Khan, Faisal I.] Mem Univ Newfoundland, Ctr Risk Integr &amp; Safety Engn C RISE, Fac Engn &amp; Appl Sci, St John, NF, Canada</t>
  </si>
  <si>
    <t>Memorial University Newfoundland</t>
  </si>
  <si>
    <t>Ahmed, S (corresponding author), Mem Univ Newfoundland, Ctr Risk Integr &amp; Safety Engn C RISE, Fac Engn &amp; Appl Sci, St John, NF, Canada.</t>
  </si>
  <si>
    <t>sahmed@mun.ca</t>
  </si>
  <si>
    <t>Khan, Faisal I/AAO-6293-2020; Ahmed, salim/AAU-3878-2020</t>
  </si>
  <si>
    <t>Khan, Faisal I/0000-0002-5638-4299; Ahmed, salim/0000-0002-2279-1603</t>
  </si>
  <si>
    <t>Research and Development Corporation (RDC) of Newfoundland and Labrador; Natural Sciences and Engineering Research Council (NSERC) of Canada</t>
  </si>
  <si>
    <t>Research and Development Corporation (RDC) of Newfoundland and Labrador; Natural Sciences and Engineering Research Council (NSERC) of Canada(Natural Sciences and Engineering Research Council of Canada (NSERC))</t>
  </si>
  <si>
    <t>The authors acknowledge financial support from the Research and Development Corporation (RDC) of Newfoundland and Labrador and the Natural Sciences and Engineering Research Council (NSERC) of Canada.</t>
  </si>
  <si>
    <t>INST CHEMICAL ENGINEERS</t>
  </si>
  <si>
    <t>RUGBY</t>
  </si>
  <si>
    <t>165-189 RAILWAY TERRACE, DAVIS BLDG, RUGBY CV21 3HQ, ENGLAND</t>
  </si>
  <si>
    <t>0957-5820</t>
  </si>
  <si>
    <t>1744-3598</t>
  </si>
  <si>
    <t>PROCESS SAF ENVIRON</t>
  </si>
  <si>
    <t>Process Saf. Environ. Protect.</t>
  </si>
  <si>
    <t>B</t>
  </si>
  <si>
    <t>Engineering, Environmental; Engineering, Chemical</t>
  </si>
  <si>
    <t>HR2HJ</t>
  </si>
  <si>
    <t>WOS:000462955900010</t>
  </si>
  <si>
    <t>Nitta, Y; Takase, H</t>
  </si>
  <si>
    <t>Nitta, Yasuhiro; Takase, Hideki</t>
  </si>
  <si>
    <t>2020 INTERNATIONAL CONFERENCE ON FIELD-PROGRAMMABLE TECHNOLOGY (ICFPT 2020)</t>
  </si>
  <si>
    <t>19th International Conference on Field-Programmable Technology (ICFPT)</t>
  </si>
  <si>
    <t>DEC 07-11, 2020</t>
  </si>
  <si>
    <t>IEEE,IEEE Comp Soc,Intel,Xilinx</t>
  </si>
  <si>
    <t>FPGA; Bayesian networks; reconfigurable computing; high-level synthesis; codesign</t>
  </si>
  <si>
    <t>A Bayesian network is one of the graphical models that represent the causality or correlation relationship among multiple observed phenomena. The structure learning of this network is generally NP difficult, and the computational time to obtain an approximate solution becomes huge. This paper proposes an FPGA accelerator for structure learning of Bayesian networks. The proposed method employs a dataflow type architecture and executes processes without dependency in dynamic programming in parallel. By iteratively using processing elements at each processing stage, we can efficiently use limited resources while taking advantage of the parallel performance of FPGAs. We implemented the proposed method for Xilinx Alveo U200 using high-level synthesis. Evaluation results showed that we achieved up to 12.6 times faster than single-core execution of software and up to 2.98 times faster than on multi-core execution. We further applied the proposed method to the Local-to-Global algorithm and achieves 8.6 times faster than the software execution in the structure learning of a practical network with 37 nodes.</t>
  </si>
  <si>
    <t>[Nitta, Yasuhiro; Takase, Hideki] Kyoto Univ, Grad Sch Informat, Kyoto, Japan; [Takase, Hideki] JST PRESTO Program, Kyoto, Japan</t>
  </si>
  <si>
    <t>Kyoto University</t>
  </si>
  <si>
    <t>Nitta, Y (corresponding author), Kyoto Univ, Grad Sch Informat, Kyoto, Japan.</t>
  </si>
  <si>
    <t>nittax@lab3.kuis.kyoto-u.ac.jp; takase@i.kyoto-u.ac.jp</t>
  </si>
  <si>
    <t>JST PRESTO [JPMJPR18M8]</t>
  </si>
  <si>
    <t>JST PRESTO(Japan Science &amp; Technology Agency (JST))</t>
  </si>
  <si>
    <t>The part of this work was supported by JST PRESTO Grant Number JPMJPR18M8. The authors would like to thank Prof. Kentaro Sano and Dr. Atsushi Koshiba at RIKEN R-CCS for helpful discussions.</t>
  </si>
  <si>
    <t>978-1-6654-2302-1</t>
  </si>
  <si>
    <t>Computer Science, Hardware &amp; Architecture; Computer Science, Software Engineering; Computer Science, Theory &amp; Methods; Engineering, Electrical &amp; Electronic</t>
  </si>
  <si>
    <t>BR9JG</t>
  </si>
  <si>
    <t>WOS:000676387300004</t>
  </si>
  <si>
    <t>Guemues, S; Kamisli, F</t>
  </si>
  <si>
    <t>Guemues, Sinem; Kamisli, Fatih</t>
  </si>
  <si>
    <t>MULTIMEDIA TOOLS AND APPLICATIONS</t>
  </si>
  <si>
    <t>Image compression; Artificial neural networks; Entropy coding; Gaussian mixture model</t>
  </si>
  <si>
    <t>This paper considers lossless image compression and presents a learned compression system that can achieve state-of-the-art lossless compression performance but uses only 59K parameters, which is one or two order of magnitudes less than other learned systems proposed recently in the literature. The explored system is based on a learned pixel-by-pixel lossless image compression method, where each pixel's probability distribution parameters are obtained by processing the pixel's causal neighborhood (i.e. previously encoded/decoded pixels) with a simple neural network comprising 59K parameters. This causality causes the decoder to operate sequentially, i.e. the neural network has to be evaluated for each pixel sequentially, which increases decoding time significantly with common GPU software and hardware. To reduce the decoding time, parallel decoding algorithms are proposed and implemented. The obtained lossless image compression system is compared to traditional and learned systems in the literature in terms of compression performance, encoding-decoding times and computational complexity.</t>
  </si>
  <si>
    <t>[Guemues, Sinem; Kamisli, Fatih] Middle East Tech Univ, Elect &amp; Elect Engn, TR-06800 Ankara, Turkiye</t>
  </si>
  <si>
    <t>Middle East Technical University</t>
  </si>
  <si>
    <t>Guemues, S; Kamisli, F (corresponding author), Middle East Tech Univ, Elect &amp; Elect Engn, TR-06800 Ankara, Turkiye.</t>
  </si>
  <si>
    <t>sinem.gumus@metu.edu.tr; kamisli@metu.edu.tr</t>
  </si>
  <si>
    <t>Kamisli, Fatih/0000-0001-7112-1633</t>
  </si>
  <si>
    <t>1380-7501</t>
  </si>
  <si>
    <t>1573-7721</t>
  </si>
  <si>
    <t>MULTIMED TOOLS APPL</t>
  </si>
  <si>
    <t>Multimed. Tools Appl.</t>
  </si>
  <si>
    <t>2023 AUG 10</t>
  </si>
  <si>
    <t>AUG 2023</t>
  </si>
  <si>
    <t>Computer Science, Information Systems; Computer Science, Software Engineering; Computer Science, Theory &amp; Methods; Engineering, Electrical &amp; Electronic</t>
  </si>
  <si>
    <t>O8QT2</t>
  </si>
  <si>
    <t>WOS:001046412000007</t>
  </si>
  <si>
    <t>Jardine, E</t>
  </si>
  <si>
    <t>Jardine, Eric</t>
  </si>
  <si>
    <t>Commercial antivirus; cyber risk; cybersecurity; information security; risk homeostasis</t>
  </si>
  <si>
    <t>SECURITY POLICY COMPLIANCE; PROTECTION MOTIVATION; MECHANICAL TURK; DETERRENCE; AWARENESS; BEHAVIOR; IMPACT</t>
  </si>
  <si>
    <t>New cybersecurity technologies, such as commercial antivirus software (AV), sometimes fail to deliver on their promised benefits. This article develops and tests a revised version of risk homeostasis theory, which suggests that new cybersecurity technologies can sometimes have ill effects on security outcomes in the short run and little-to-no effect over the long run. It tests the preliminary plausibility of four predictions from the revised risk homeostasis theory using new survey data from 1,072 respondents. The estimations suggest the plausible operation of a number of risk homeostasis dynamics: (1) commercial AV users are significantly more likely to self-report a cybersecurity event in the past year than nonusers, even after correcting for potential reverse causality and informational mechanisms; (2) nonusers become somewhat less likely to self-report a cybersecurity event as the perceived riskiness of various e-mail-based behaviors increases, while commercial AV users do not; (3) the negative short-run effect of commercial AV use on cybersecurity outcomes fade over time at a predicted rate of about 7.03 percentage points per year of use; and (4) after five years of use, commercial AV users are statistically indistinguishable from nonusers in terms of their probability of self-reporting a cybersecurity event as perceptions of risky e-mail-based behaviors increase.</t>
  </si>
  <si>
    <t>[Jardine, Eric] Dept Polit Sci 0130,Major Williams Hall,Rm 5, Blacksburg, VA 24061 USA</t>
  </si>
  <si>
    <t>Jardine, E (corresponding author), Dept Polit Sci 0130,Major Williams Hall,Rm 5, Blacksburg, VA 24061 USA.</t>
  </si>
  <si>
    <t>ejardine@vt.edu</t>
  </si>
  <si>
    <t>Jardine, Eric/AAB-9021-2021</t>
  </si>
  <si>
    <t>Comcast Innovation Grant, Incrementally Tailoring a Better Cyber Risk Score [2019-145]</t>
  </si>
  <si>
    <t>Comcast Innovation Grant, Incrementally Tailoring a Better Cyber Risk Score</t>
  </si>
  <si>
    <t>The final writing and analysis of this project was supported by a Comcast Innovation Grant, Incrementally Tailoring a Better Cyber Risk Score. Grant number: 2019-145. Initial data collection was support by the Institute for Society Culture and the Environment (ISCE) and a Nile Grant from the College of Liberal Arts and Human Sciences at Virginita Tech.</t>
  </si>
  <si>
    <t>NB9XE</t>
  </si>
  <si>
    <t>WOS:000541689600001</t>
  </si>
  <si>
    <t>Aliyev, T</t>
  </si>
  <si>
    <t>Aliyev, Tofig</t>
  </si>
  <si>
    <t>THE IMPACT OF STOCK MARKET DEVELOPMENT ON ECONOMIC GROWTH: EMPIRICAL EVIDENCE</t>
  </si>
  <si>
    <t>GLOBAL &amp; LOCAL ECONOMIC REVIEW</t>
  </si>
  <si>
    <t>AZERBAIJAN; STOCK MARKET; FOREIGN DIRECT INVESTMENT; GDP; JOHANSEN-JULIUS COINTEGRATION TEST; VECM MODEL; WALD TEST; GRANGER CAUSALITY TEST</t>
  </si>
  <si>
    <t>FINANCIAL INTERMEDIATION</t>
  </si>
  <si>
    <t>The development of the nonoil sector in Azerbaijan has always been one of the main goals of the Azerbaijani government. The oil sector of the economy was well developed when Azerbaijan became independent, but to use the oil source more effectively, the country was determined to diversify funds into the nonoil sector of the economy, which enhanced most industries of the economy and led to an increase in foreign direct investment. However, another source of foreign direct investment and investor attraction - stock markets was not developed and organized properly until 1998, mainly due to outdated procedures left from USSR rule and an absence of principles, methodologies and understanding for determining how the stock market can play a major role in the expansion of the economy and the attraction of foreign investment. Currently, Azerbaijan has numerous opportunities to broaden its stock market; enable easy means of increasing the number of small businesses and startups and create opportunities for such firms to access the global economy and rapidly expand. This research analyses the potential relationship between stock market development and economic growth to predict the possibility of a positive impact of the stock market on Azerbaijan's economic growth, overall socioeconomic welfare and business environment. For the purposes of the present research, statistical figures of the Azerbaijan's main economic indexes were collected, including gross domestic product value, foreign direct investment value, stock market liquidity and turnover values, which were then analyzed and tested at various levels of cointegration testing, Granger causality testing, vector error correction modeling, etc. All analyses were performed using Stata 11 statistical software based on 1998-2016 data. The outcome of Johansen-Julius testing shows the existence of cointegration, a VECM test proves a relationship between the stock market and economic growth in the long run, and a Wald test confirms the correction of this growth in the short term by given explanatory variables. Hence, a Granger causality test is conducted and determines the bidirectional relationship between 3 variables: foreign direct investment, GDP and LIQ (stock market liquidity). From the results of the analysis, the study concludes that the expansion of the stock market and an increase in foreign direct investment will have a chain effect that leads to economic growth and improvements in social welfare in Azerbaijan.</t>
  </si>
  <si>
    <t>[Aliyev, Tofig] Baku State Univ, Baku, Azerbaijan</t>
  </si>
  <si>
    <t>Ministry of Education of Azerbaijan Republic; Baku State University</t>
  </si>
  <si>
    <t>Aliyev, T (corresponding author), Baku State Univ, Baku, Azerbaijan.</t>
  </si>
  <si>
    <t>tofik_aliev@hotmail.com</t>
  </si>
  <si>
    <t>EDIZIONI TRACCE</t>
  </si>
  <si>
    <t>PESCARA</t>
  </si>
  <si>
    <t>VIA EUGENIA RAVASCO 54, PESCARA, 65123, ITALY</t>
  </si>
  <si>
    <t>1722-4241</t>
  </si>
  <si>
    <t>1974-5125</t>
  </si>
  <si>
    <t>GLOB LOCAL ECON REV</t>
  </si>
  <si>
    <t>Glob. Local Econ. Rev.</t>
  </si>
  <si>
    <t>XS8LI</t>
  </si>
  <si>
    <t>WOS:000733152700001</t>
  </si>
  <si>
    <t>Read, TD; Massey, RC</t>
  </si>
  <si>
    <t>Read, Timothy D.; Massey, Ruth C.</t>
  </si>
  <si>
    <t>Characterizing the genetic basis of bacterial phenotypes using genome-wide association studies: a new direction for bacteriology</t>
  </si>
  <si>
    <t>GENOME MEDICINE</t>
  </si>
  <si>
    <t>NEISSERIA-GONORRHOEAE; CHLAMYDIA-TRACHOMATIS; POPULATION GENOMICS; STATISTICAL POWER; RECOMBINATION; DESIGN; RESISTANCE; LINKAGE; SUSCEPTIBILITY; CALCULATOR</t>
  </si>
  <si>
    <t>Genome-wide association studies (GWASs) have become an increasingly important approach for eukaryotic geneticists, facilitating the identification of hundreds of genetic polymorphisms that are responsible for inherited diseases. Despite the relative simplicity of bacterial genomes, the application of GWASs to identify polymorphisms responsible for important bacterial phenotypes has only recently been made possible through advances in genome sequencing technologies. Bacterial GWASs are now about to come of age thanks to the availability of massive datasets, and because of the potential to bridge genomics and traditional genetic approaches that is provided by improving validation strategies. A small number of pioneering GWASs in bacteria have been published in the past 2 years, examining from 75 to more than 3,000 strains. The experimental designs have been diverse, taking advantage of different processes in bacteria for generating variation. Analysis of data from bacterial GWASs can, to some extent, be performed using software developed for eukaryotic systems, but there are important differences in genome evolution that must be considered. The greatest experimental advantage of bacterial GWASs is the potential to perform downstream validation of causality and dissection of mechanism. We review the recent advances and remaining challenges in this field and propose strategies to improve the validation of bacterial GWASs.</t>
  </si>
  <si>
    <t>[Read, Timothy D.] Emory Univ, Sch Med, Dept Med, Div Infect Dis, Atlanta, GA 30322 USA; [Read, Timothy D.] Emory Univ, Sch Med, Dept Human Genet, Atlanta, GA 30322 USA; [Massey, Ruth C.] Univ Bath, Dept Biol &amp; Biochem, Bath BA2 7AY, Avon, England</t>
  </si>
  <si>
    <t>Emory University; Emory University; University of Bath</t>
  </si>
  <si>
    <t>Read, TD (corresponding author), Emory Univ, Sch Med, Dept Med, Div Infect Dis, Atlanta, GA 30322 USA.</t>
  </si>
  <si>
    <t>tread@emory.edu</t>
  </si>
  <si>
    <t>Massey, Ruth/AAT-6415-2021</t>
  </si>
  <si>
    <t>Massey, Ruth/0000-0002-8154-4039; Read, Timothy/0000-0001-8966-9680</t>
  </si>
  <si>
    <t>Raymond Schinazi International Scientific Exchange Program (SIEP)</t>
  </si>
  <si>
    <t>The manuscript resulted from a visit by TDR to RCM's laboratory that was funded by the Raymond Schinazi International Scientific Exchange Program (SIEP). The SIEP had no role in writing or editing this manuscript. Thanks to Jesse Shapiro and Sandeep Joseph for reading and commenting on draft versions.</t>
  </si>
  <si>
    <t>1756-994X</t>
  </si>
  <si>
    <t>GENOME MED</t>
  </si>
  <si>
    <t>Genome Med.</t>
  </si>
  <si>
    <t>NOV 22</t>
  </si>
  <si>
    <t>10.1186/s13073-014-0109-z</t>
  </si>
  <si>
    <t>AY1LJ</t>
  </si>
  <si>
    <t>WOS:000347354400001</t>
  </si>
  <si>
    <t>Wang, PY; Galhotra, S; Pradhan, R; Salimi, B</t>
  </si>
  <si>
    <t>Wang, Paul Y.; Galhotra, Sainyam; Pradhan, Romila; Salimi, Babak</t>
  </si>
  <si>
    <t>Demonstration of Generating Explanations for Black-Box Algorithms Using LEWIS</t>
  </si>
  <si>
    <t>PROCEEDINGS OF THE VLDB ENDOWMENT</t>
  </si>
  <si>
    <t>47th International Conference on Very Large Data Bases (VLDB)</t>
  </si>
  <si>
    <t>AUG 16-20, 2021</t>
  </si>
  <si>
    <t>Copenhagen, DENMARK</t>
  </si>
  <si>
    <t>Explainable artificial intelligence (XAI) aims to reduce the opacity of AI-based decision-making systems, allowing humans to scrutinize and trust them. Unlike prior work that attributes the responsibility for an algorithm's decisions to its inputs as a purely associational concept, we propose a principled causality-based approach for explaining black-box decision-making systems. We present the demonstration of Lewis, a system that generates explanations for black-box algorithms at the global, contextual, and local levels, and provides actionable recourse for individuals negatively affected by an algorithm's decision. Lewis makes no assumptions about the internals of the algorithm except for the availability of its inputoutput data. The explanations generated by Lewis are based on probabilistic contrastive counterfactuals, a concept that can be traced back to philosophical, cognitive, and social foundations of theories on how humans generate and select explanations. We describe the system layout of Lewis wherein an end-user specifies the underlying causal model and Lewis generates explanations for particular use-cases, compares them with explanations generated by state-of-the-art approaches in XAI, and provides actionable recourse when applicable. Lewis has been developed as open-source software; the code and the demonstration video are available at lewis-system.github.io.</t>
  </si>
  <si>
    <t>[Wang, Paul Y.; Pradhan, Romila; Salimi, Babak] Univ Calif San Diego, La Jolla, CA 92093 USA; [Galhotra, Sainyam] Univ Chicago, Chicago, IL 60637 USA</t>
  </si>
  <si>
    <t>University of California System; University of California San Diego; University of Chicago</t>
  </si>
  <si>
    <t>Wang, PY (corresponding author), Univ Calif San Diego, La Jolla, CA 92093 USA.</t>
  </si>
  <si>
    <t>pywang@ucsd.edu; sainyam@uchicago.edu; rpradhan@ucsd.edu; bsalimi@ucsd.edu</t>
  </si>
  <si>
    <t>Salimi, Babak/0000-0001-8763-8354</t>
  </si>
  <si>
    <t>2150-8097</t>
  </si>
  <si>
    <t>PROC VLDB ENDOW</t>
  </si>
  <si>
    <t>YH1AX</t>
  </si>
  <si>
    <t>WOS:000742908500034</t>
  </si>
  <si>
    <t>Kim, SS</t>
  </si>
  <si>
    <t>Kim, Seok-Soo</t>
  </si>
  <si>
    <t>RESEARCH ON THE EFFECT FACTORS OF TECHNICAL PERFORMANCE ON SMEs BY INDUSTRIAL SECTORS</t>
  </si>
  <si>
    <t>ENTREPRENEURSHIP AND SUSTAINABILITY ISSUES</t>
  </si>
  <si>
    <t>entrepreneurial performance; entrepreneurial competency; SMEs; technical performance; effet factor; technology commercialization</t>
  </si>
  <si>
    <t>TECHNOLOGICAL CAPABILITIES; EXPORT PERFORMANCE; FOUNDERS; FIRMS; ENTREPRENEURS; BUSINESS; SUCCESS; MARKET</t>
  </si>
  <si>
    <t>This study's research question is that there will be a crucial element in improving business performance among SMEs' success variables and competencies. Significantly, there should be different variables for performance in industry sectors. 1) The success variables of SMEs vary widely, but four characteristics of technology, management, commercialization, and exit strategies were selected. 2) The mediator is a technology innovation and technology marketing function. 3) The dependent variables are technical, financial, and non-financial performance. Previous literature had problems studying only the effects of each of the three variables, so we established a hypothesis and research model that focused on causality studies linking them. According to the data group analysis result for 3330 CEOs of SMEs, the six industries' performance impact factors were different. As a result of comparative analysis of changes in performance impact by industry, it was found that the largest increase in Information Technology (IT)/Software (S/W), Life/Food, and Crafts sectors. The key research finding is that it has verified the essential elements of critical performance improvement. We provided that different success variables and competencies differ in performance across industries. The results are expected to contribute to SMEs' CEO and government policymakers' practical applications, support organizations, academia, and industry.</t>
  </si>
  <si>
    <t>[Kim, Seok-Soo] Hansung Univ, Grad Sch Knowledge Serv Consulting, POB 136-792,16th St,Samseonggyo Ro, Seoul, South Korea</t>
  </si>
  <si>
    <t>Hansung University</t>
  </si>
  <si>
    <t>Kim, SS (corresponding author), Hansung Univ, Grad Sch Knowledge Serv Consulting, POB 136-792,16th St,Samseonggyo Ro, Seoul, South Korea.</t>
  </si>
  <si>
    <t>ssjm4475@gmail.com</t>
  </si>
  <si>
    <t>KIM, Stephane/0000-0003-3765-6890</t>
  </si>
  <si>
    <t>Hansung University, Korea</t>
  </si>
  <si>
    <t>Hansung University, Korea, financially supported this research.</t>
  </si>
  <si>
    <t>ENTERPRENEURSHIP &amp; SUSTAINABILITY CENTER</t>
  </si>
  <si>
    <t>VILNUS</t>
  </si>
  <si>
    <t>M K CIURLIONIO STR 86A, VILNUS, 03100, LITHUANIA</t>
  </si>
  <si>
    <t>2345-0282</t>
  </si>
  <si>
    <t>ENTREP SUSTAIN ISS</t>
  </si>
  <si>
    <t>Entrep. Sustain. Iss.</t>
  </si>
  <si>
    <t>10.9770/jesi.2020.8.2(67)</t>
  </si>
  <si>
    <t>OW7DI</t>
  </si>
  <si>
    <t>WOS:000593042200067</t>
  </si>
  <si>
    <t>García-Hernández, A; Garcia-Gutiérrez, I</t>
  </si>
  <si>
    <t>Garcia-Hernandez, Alicia; Garcia-Gutierrez, Isabel</t>
  </si>
  <si>
    <t>OPTIMIZATION OF COMBINED TRANSPORTATION INFRASTRUCTURES USING ITERATIVE SIMULATION. Railroad terminal study</t>
  </si>
  <si>
    <t>DYNA</t>
  </si>
  <si>
    <t>combined transport; terminal simulation; process improvement</t>
  </si>
  <si>
    <t>CONTAINER TERMINALS; FREIGHT TRANSPORT</t>
  </si>
  <si>
    <t>Simulation is frequently used to evaluate new scenarios to improve the present operation of combined transportation terminal. This project illustrates how simulation may be used to generate new alternative configurations in the redesign process of a terminal (changing the number of cranes, working shifts ... ). This is an iterative process, where the results obtained for a certain configuration are used as an input for the regeneration of new promising configuration alternatives. A simulation model, developed in Witness (R) commercial software, is presented to illustrate the alternative generation process. The model represents the initial configuration of a rail-road terminal. Terminal performance is assessed and based on this information and the knowledge of the system internal causality, new promising configuration alternatives are defined and implemented. The results of these new configurations may as well lead to new changes, reproducing once again the process.</t>
  </si>
  <si>
    <t>[Garcia-Hernandez, Alicia; Garcia-Gutierrez, Isabel] Univ Carlos III Madrid, Escuela Politec Super, Dpto Ingn Mecan, Leganes 28911, Madrid, Spain</t>
  </si>
  <si>
    <t>Universidad Carlos III de Madrid</t>
  </si>
  <si>
    <t>García-Hernández, A (corresponding author), Univ Carlos III Madrid, Escuela Politec Super, Dpto Ingn Mecan, Avda Univ 30, Leganes 28911, Madrid, Spain.</t>
  </si>
  <si>
    <t>agarcil@ing.uc3m.es</t>
  </si>
  <si>
    <t>FEDERACION ASOCIACIONES INGENIEROS INDUSTRIALES ESPANA</t>
  </si>
  <si>
    <t>BILBAO</t>
  </si>
  <si>
    <t>ALAMEDA DE MAZARREDO, BILBAO, 69-48009, SPAIN</t>
  </si>
  <si>
    <t>0012-7361</t>
  </si>
  <si>
    <t>DYNA-BILBAO</t>
  </si>
  <si>
    <t>Dyna</t>
  </si>
  <si>
    <t>JUL-AUG</t>
  </si>
  <si>
    <t>10.6036/4339</t>
  </si>
  <si>
    <t>Engineering, Multidisciplinary</t>
  </si>
  <si>
    <t>985JW</t>
  </si>
  <si>
    <t>WOS:000307261500017</t>
  </si>
  <si>
    <t>Afshinpour, B; Groz, R; Amini, MR</t>
  </si>
  <si>
    <t>Afshinpour, Bahareh; Groz, Roland; Amini, Massih-Reza</t>
  </si>
  <si>
    <t>2022 IEEE 22ND INTERNATIONAL CONFERENCE ON SOFTWARE QUALITY, RELIABILITY AND SECURITY, QRS</t>
  </si>
  <si>
    <t>IEEE International Conference on Software Quality Reliability and Security</t>
  </si>
  <si>
    <t>anomaly prediction; incident diagnosis; log analysis; machine learning; software testing; test automation</t>
  </si>
  <si>
    <t>Telemetry data (e.g.: CPU and memory usage) is an essential source of information for a software system that projects the system's health. Anomalies in telemetry data warn system administrators about an imminent failure or deterioration of service quality. However, input events to the system (such as service requests) are the cause of abnormal system behaviour and, thus, anomalous telemetry data. By observing input events, one might predict anomalies even before they appear in telemetry data, thus giving the system administrator even earlier warning before the failure. Finding a correlation between input events and anomalies in telemetry data is challenging in many cases. This paper proposes a machine learning approach to learn the causality correlation between input event sequences and telemetry data. To this aim, a Natural Language Processing(NLP) approach is employed to create a concept space model to distinguish between normal and abnormal test sequences. Based on a vectorized representation of each input sequence, the concept space indicates whether the sequence will cause a system failure. Since the meaning of fault is not established in system status Telemetry-based fault detection, the suggested technique first detects periods of time when a software system status encounters aberrant situations (Bug-Zones). An extensive study on a realworld database acquired by a telecommunication operator and an open-source microservice software demonstrates that our approach achieves 71% and 90% accuracy as a Bug-Zones predictor.</t>
  </si>
  <si>
    <t>[Afshinpour, Bahareh; Groz, Roland; Amini, Massih-Reza] Univ Grenoble Alpes, CNRS, Grenoble, France</t>
  </si>
  <si>
    <t>Communaute Universite Grenoble Alpes; Universite Grenoble Alpes (UGA); Centre National de la Recherche Scientifique (CNRS)</t>
  </si>
  <si>
    <t>Afshinpour, B (corresponding author), Univ Grenoble Alpes, CNRS, Grenoble, France.</t>
  </si>
  <si>
    <t>bahareh.afshinpour@univ-grenoble-alpes.fr; Roland.Groz@univ-grenoble-alpes.fr; Massih-Reza.Amini@univ-grenoble-alpes.fr</t>
  </si>
  <si>
    <t>French National Research Agency: PHILAE project [ANR-18-CE25-0013]; Agence Nationale de la Recherche (ANR) [ANR-18-CE25-0013] Funding Source: Agence Nationale de la Recherche (ANR)</t>
  </si>
  <si>
    <t>French National Research Agency: PHILAE project(Agence Nationale de la Recherche (ANR)); Agence Nationale de la Recherche (ANR)(Agence Nationale de la Recherche (ANR))</t>
  </si>
  <si>
    <t>This work was supported by the French National Research Agency: PHILAE project (No ANR-18-CE25-0013). The authors are very grateful to Benoit Parreaux for providing a wealth of data on the case study, as well as much advice on the problem statement. We are also thankful to Yves Ledru for his review and helpful discussions.</t>
  </si>
  <si>
    <t>2693-9185</t>
  </si>
  <si>
    <t>2693-9177</t>
  </si>
  <si>
    <t>978-1-6654-7704-8</t>
  </si>
  <si>
    <t>IEEE INT C S Q R S</t>
  </si>
  <si>
    <t>BV0WX</t>
  </si>
  <si>
    <t>WOS:000980981100020</t>
  </si>
  <si>
    <t>Al Shweiki, MHDR; Mönchgesang, S; Majovsky, P; Thieme, D; Trutschel, D; Hoehenwarter, W</t>
  </si>
  <si>
    <t>Al Shweiki, M. H. D. Rami; Moenchgesang, Susann; Majovsky, Petra; Thieme, Domenika; Trutschel, Diana; Hoehenwarter, Wolfgang</t>
  </si>
  <si>
    <t>Assessment of Label-Free Quantification in Discovery Proteomics and Impact of Technological Factors and Natural Variability of Protein Abundance</t>
  </si>
  <si>
    <t>JOURNAL OF PROTEOME RESEARCH</t>
  </si>
  <si>
    <t>natural variability; shotgun proteomics; label-free quantification; MaxQuant; Progenesis QIP; biological variability; experimental variability; protein abundance</t>
  </si>
  <si>
    <t>SYSTEMIC ACQUIRED-RESISTANCE; MASS-SPECTROMETRY; SHOTGUN PROTEOMICS; ARABIDOPSIS; TOOLS; IDENTIFICATION; EXTRACTION; ACCURATE; STRESS; PLANTS</t>
  </si>
  <si>
    <t>We evaluated the state of label-free discovery proteomics focusing especially on technological contributions and contributions of naturally occurring differences in protein abundance to the intersample variability in protein abundance estimates in this highly peptide-centric technology. First, the performance of popular quantitative proteomics software, Proteome Discoverer, Scaffold, MaxQuant, and Progenesis QIP, was benchmarked using their default parameters and some modified settings. Beyond this, the intersample variability in protein abundance estimates was decomposed into variability introduced by the entire technology itself and variable protein amounts inherent to individual plants of the Arabidopsis thaliana Col-0 accession. The technical component was considerably higher than the biological intersample variability, suggesting an effect on the degree and validity of reported biological changes in protein abundance. Surprisingly, the biological variability, protein abundance estimates, and protein fold changes were recorded differently by the software used to quantify the proteins, warranting caution in the comparison of discovery proteomics results. As expected, similar to,99% of the proteome was invariant in the isogenic plants in the absence of environmental factors; however, few proteins showed substantial quantitative variability. This naturally occurring variation between individual organisms can have an impact on the causality of reported protein fold changes.</t>
  </si>
  <si>
    <t>[Al Shweiki, M. H. D. Rami; Majovsky, Petra; Thieme, Domenika; Hoehenwarter, Wolfgang] Leibniz Inst Plant Biochem, Res Grp Proteome Analyt, Weinberg 3, D-06120 Halle, Saale, Germany; [Moenchgesang, Susann; Trutschel, Diana] Leibniz Inst Plant Biochem, Dept Stress &amp; Dev Biol, Weinberg 3, D-06120 Halle, Saale, Germany; [Trutschel, Diana] Deutsch Zentrum Neurodegenerat Erkrankungen, Stockumer Str 12, D-58453 Witten, Germany; [Trutschel, Diana] Martin Luther Univ Halle Wittenberg, Von Seckendorff Pl 1, D-06120 Halle, Saale, Germany</t>
  </si>
  <si>
    <t>Leibniz Institut fur Pflanzenbiochemie; Leibniz Institut fur Pflanzenbiochemie; Helmholtz Association; German Center for Neurodegenerative Diseases (DZNE); Martin Luther University Halle Wittenberg</t>
  </si>
  <si>
    <t>Hoehenwarter, W (corresponding author), Leibniz Inst Plant Biochem, Res Grp Proteome Analyt, Weinberg 3, D-06120 Halle, Saale, Germany.</t>
  </si>
  <si>
    <t>Wolfgang.Hoehenwarter@ipb-halle.de</t>
  </si>
  <si>
    <t>Hoehenwarter, Wolfgang/JJF-2679-2023</t>
  </si>
  <si>
    <t>Hoehenwarter, Wolfgang/0000-0002-7669-7524; Lindemeyer, Susann/0000-0002-1833-9542; Trutschel, Diana/0000-0002-1727-9736</t>
  </si>
  <si>
    <t>DAAD [57139980]; Leibniz Association</t>
  </si>
  <si>
    <t>DAAD(Deutscher Akademischer Austausch Dienst (DAAD)); Leibniz Association</t>
  </si>
  <si>
    <t>M.H.D.RA.S. was sponsored by the DAAD funding program Study Scholarships for Graduates of All Disciplines 2015/2016 No. 57139980. We thank the Leibniz Association for support and funding. We thank Dr. Jan Grau for insightful discussion of statistical procedures. We thank Dr. Steffen Neumann for critical discussion of the manuscript. The publication of this article was funded by the Open Access fund of the Leibniz Association.</t>
  </si>
  <si>
    <t>AMER CHEMICAL SOC</t>
  </si>
  <si>
    <t>WASHINGTON</t>
  </si>
  <si>
    <t>1155 16TH ST, NW, WASHINGTON, DC 20036 USA</t>
  </si>
  <si>
    <t>1535-3893</t>
  </si>
  <si>
    <t>1535-3907</t>
  </si>
  <si>
    <t>J PROTEOME RES</t>
  </si>
  <si>
    <t>J. Proteome Res.</t>
  </si>
  <si>
    <t>10.1021/acs.jproteome.6b00645</t>
  </si>
  <si>
    <t>Biochemical Research Methods</t>
  </si>
  <si>
    <t>ER7IO</t>
  </si>
  <si>
    <t>WOS:000398985700005</t>
  </si>
  <si>
    <t>Kitami, K; Saga, R; Matsumoto, K</t>
  </si>
  <si>
    <t>Sugisaka, M; Tanaka, H</t>
  </si>
  <si>
    <t>Kitami, Kodai; Saga, Ryosuke; Matsumoto, Kazunori</t>
  </si>
  <si>
    <t>PROCEEDINGS OF THE SIXTEENTH INTERNATIONAL SYMPOSIUM ON ARTIFICIAL LIFE AND ROBOTICS (AROB 16TH '11)</t>
  </si>
  <si>
    <t>16th International Symposium on Artificial Life and Robotics (AROB 16th '11)</t>
  </si>
  <si>
    <t>JAN 27-29, 2011</t>
  </si>
  <si>
    <t>Beppu, JAPAN</t>
  </si>
  <si>
    <t>Int Organiz Comm Int Symposium Artificial Life &amp; Robot,ALife Robot Corp Ltd &amp; Nippon Bunri Univ,Mitsubishi Elect Corp Adv Technol R&amp;D Ctr,Oita Gas Co Ltd,ME System Co Ltd,SANWA SHURUI Co Ltd</t>
  </si>
  <si>
    <t>creativity method; KJ method; Structural Equation Modeling; marketing; purchase factor analysis</t>
  </si>
  <si>
    <t>This paper describes a purchase factor analysis for best-selling software games. Japanese game industry has grown remarkably since 1983. Developers have to produce best sellers in order to get a profit. However, the concrete factors for a best-selling game have not yet been qualified. Structural equation modeling (SEM) seems to have the beneficial effect on causality analysis. However, the SEM results may lack the reliability because the model is constructed based on the analyzers' subjective assumptions. We need to construct a factor model for solving this problem by extracting the purchase factor from diverse viewpoints. Consequently, we use the KJ method, which is one of the creativity methods, to do just that. There are four steps in the process for analyzing the factor model from the results of KJ method: (1) extract the factors from the KJ method results, (2) refine the model by integrating conceptualistic meanings, (3) assign the collected data to the model, and (4) construct and analyze the model by indentifying the variables. From the result of our analysis of the model, we could qualify the factors of best-selling games by using an objective purchase factor model that was mainly constructed of the Contents, Advertisement, and Brand.</t>
  </si>
  <si>
    <t>[Kitami, Kodai; Saga, Ryosuke; Matsumoto, Kazunori] Kanagawa Inst Technol, 1030 Shimoogino, Atsugi, Kanagawa, Japan</t>
  </si>
  <si>
    <t>Kanagawa Institute Technology</t>
  </si>
  <si>
    <t>Kitami, K (corresponding author), Kanagawa Inst Technol, 1030 Shimoogino, Atsugi, Kanagawa, Japan.</t>
  </si>
  <si>
    <t>saga@ic.kanagawa-it.ac.jp</t>
  </si>
  <si>
    <t>ALIFE ROBOTICS CO, LTD</t>
  </si>
  <si>
    <t>OITA</t>
  </si>
  <si>
    <t>HIG HANDADAI, OITA, 870-1112, JAPAN</t>
  </si>
  <si>
    <t>978-4-9902880-5-1</t>
  </si>
  <si>
    <t>Computer Science, Artificial Intelligence; Robotics</t>
  </si>
  <si>
    <t>Computer Science; Robotics</t>
  </si>
  <si>
    <t>BG9KY</t>
  </si>
  <si>
    <t>WOS:000393365500165</t>
  </si>
  <si>
    <t>Andrade, E; Machida, F; Pietrantuono, R; Cotroneo, D</t>
  </si>
  <si>
    <t>Andrade, Ermeson; Machida, Fumio; Pietrantuono, Roberto; Cotroneo, Domenico</t>
  </si>
  <si>
    <t>2021 IEEE INTERNATIONAL SYMPOSIUM ON SOFTWARE RELIABILITY ENGINEERING WORKSHOPS (ISSREW 2021)</t>
  </si>
  <si>
    <t>IEEE International Symposium on Software Reliability Engineering Workshops</t>
  </si>
  <si>
    <t>32nd IEEE International Symposium on Software Reliability Engineering (ISSRE)</t>
  </si>
  <si>
    <t>OCT 25-28, 2021</t>
  </si>
  <si>
    <t>Wuhan, PEOPLES R CHINA</t>
  </si>
  <si>
    <t>IEEE,IEEE Comp Soc,IEEE Reliabil Soc,Wuhan Univ Technol</t>
  </si>
  <si>
    <t>Causality analysis; Memory degradation; Public cloud; Private cloud; Software aging</t>
  </si>
  <si>
    <t>SOFTWARE REJUVENATION</t>
  </si>
  <si>
    <t>Memory degradation trends have been observed in many continuously running software systems. Applications running on cloud computing can also suffer from such memory degradation that may cause severe performance degradation or even experience a system failure. Therefore, it is essential to monitor such degradation trends and find the potential causes to provide reliable application services on cloud computing. In this paper, we consider both private and public cloud environments for deploying an image classification system and experimentally investigate the memory degradation that appeared in these environments. The degradation trends in the available memory statistics are confirmed by the Mann-Kendall test in both cloud environments. We apply causal structure discovery methods to process-level memory statistics to identify the causality of the observed memory degradations. Our analytical results identify the suspicious processes potentially leading to memory degradations in public and private cloud environments.</t>
  </si>
  <si>
    <t>[Andrade, Ermeson] Univ Fed Rural Pernambuco, Dept Comp, Recife, PE, Brazil; [Machida, Fumio] Univ Tsukuba, Dept Comp Sci, Tsukuba, Ibaraki, Japan; [Pietrantuono, Roberto; Cotroneo, Domenico] Univ Naples Federico II, Naples, Italy</t>
  </si>
  <si>
    <t>Universidade Federal Rural de Pernambuco (UFRPE); University of Tsukuba; University of Naples Federico II</t>
  </si>
  <si>
    <t>Andrade, E (corresponding author), Univ Fed Rural Pernambuco, Dept Comp, Recife, PE, Brazil.</t>
  </si>
  <si>
    <t>ermeson.andrade@ufrpe.br; machida@cs.tsukuba.ac.jp; roberto.pietrantuono@unina.it; cotroneo@unina.it</t>
  </si>
  <si>
    <t>Andrade, Ermeson/Y-5983-2019</t>
  </si>
  <si>
    <t>Andrade, Ermeson/0000-0002-9614-4492; Pietrantuono, Roberto/0000-0003-2449-1724</t>
  </si>
  <si>
    <t>CNPq - Brazil [406263/2018-3]; University of Tsukuba Basic Research Support Program Type S</t>
  </si>
  <si>
    <t>CNPq - Brazil(Conselho Nacional de Desenvolvimento Cientifico e Tecnologico (CNPQ)); University of Tsukuba Basic Research Support Program Type S</t>
  </si>
  <si>
    <t>This research was partially funded by CNPq -Brazil, grant 406263/2018-3. The work was also supported in part by the grant of University of Tsukuba Basic Research Support Program Type S.</t>
  </si>
  <si>
    <t>2375-821X</t>
  </si>
  <si>
    <t>978-1-6654-2603-9</t>
  </si>
  <si>
    <t>IEEE INT SYMP SOFTW</t>
  </si>
  <si>
    <t>BT1SO</t>
  </si>
  <si>
    <t>WOS:000802172100005</t>
  </si>
  <si>
    <t>Agustia, D; Sudaryati, E; Mohamed, N</t>
  </si>
  <si>
    <t>Agustia, Dian; Sudaryati, Erina; Mohamed, Nafsiah</t>
  </si>
  <si>
    <t>Effect of Organizational Culture, Competence and Professionalism Forces Readiness for Implementation of Accrual Accounting, Malang, East Java</t>
  </si>
  <si>
    <t>ADVANCED SCIENCE LETTERS</t>
  </si>
  <si>
    <t>2nd International Research Conference on Business and Economics (IRCBE)</t>
  </si>
  <si>
    <t>AUG 03-04, 2016</t>
  </si>
  <si>
    <t>Semarang, INDONESIA</t>
  </si>
  <si>
    <t>Accrual Accounting; Organizational Culture; Competence; Professionalism</t>
  </si>
  <si>
    <t>This study aimed to obtain information and empirical evidence between the influence of organizational culture, competence and professionalism of officers towards the readiness of the application of government regulation on accrual accounting concerning the accrual-based government accounting standards in Malang government. This study uses primary data to generate critical information from respondents using simple random sampling method. The number of samples used was obtained based on the Slovin formula. The population of this research were local government officers. Respondents in this study were 82 officers of the finance department at UNITS Malang. This study used a causality analysis, Structural Equation Model (SEM) based component or variance or better known as the model of Partial Least Square (PLS). Hypothesis testing will be done with the help of software SmartPLS 3.2.3. These effects indicate that organisational culture is convinced, but not significant effect on the preparation of the implementation of accrual-accounting, competence is a positive and important outcome on the preparation of the implementation of accrual accounting and professionalism is a positive and significant effect on the preparation of the implementation of accrual accounting.</t>
  </si>
  <si>
    <t>[Agustia, Dian; Sudaryati, Erina] Univ Airlangga, Fac Econ &amp; Business, Surabaya, Indonesia; [Mohamed, Nafsiah] Univ Teknol MARA, Accountancy &amp; Accounting Res Inst, Shah Alam, Malaysia</t>
  </si>
  <si>
    <t>Airlangga University; Universiti Teknologi MARA</t>
  </si>
  <si>
    <t>Agustia, D (corresponding author), Univ Airlangga, Fac Econ &amp; Business, Surabaya, Indonesia.</t>
  </si>
  <si>
    <t>Agustia, Dian/A-6063-2019</t>
  </si>
  <si>
    <t>AMER SCIENTIFIC PUBLISHERS</t>
  </si>
  <si>
    <t>VALENCIA</t>
  </si>
  <si>
    <t>26650 THE OLD RD, STE 208, VALENCIA, CA 91381-0751 USA</t>
  </si>
  <si>
    <t>1936-6612</t>
  </si>
  <si>
    <t>1936-7317</t>
  </si>
  <si>
    <t>ADV SCI LETT</t>
  </si>
  <si>
    <t>Adv. Sci. Lett.</t>
  </si>
  <si>
    <t>GE8RG</t>
  </si>
  <si>
    <t>WOS:000431498300215</t>
  </si>
  <si>
    <t>Terwiesch, P; Keller, T; Scheiben, E</t>
  </si>
  <si>
    <t>IEEE TRANSACTIONS ON CONTROL SYSTEMS TECHNOLOGY</t>
  </si>
  <si>
    <t>digital control; hardware in the loop; hybrid system; real-time systems; simulation; variable causality</t>
  </si>
  <si>
    <t>Control systems for converter-controlled rail vehicles are orders of magnitude more complex than controllers for previous generations of vehicles, While the dynamic behavior of previous generations of vehicles was to a large extent determined by its power components alone, an important: part of the dynamics of modern vehicles is shaped by real-time software, distributed computing and intercontroller communication. To ensure proper operation of the vehicle on track, an integration test of die vehicle control system Is performed before initial roll-out. In order to achieve a maximum test depth and to minimize risk and cost, this test is achieved by connecting the original vehicle control system to a real-time dynamic vehicle simulator in closed-loop operation. The present paper describes concept, evaluation, and operation of a digital hardware-in-the-loop simulator for testing control-relevant parts of the vehicle. Particular emphasis is put on the hybrid nature of the underlying simulation problem and its inherent causality variations due to the combination of discrete switching effects, e.g., in diodes and controlled converters, with continuous system parts, e.g, differential equations for currents or mechanical system parts.</t>
  </si>
  <si>
    <t>ABB Corp Res, Dept Informat Technol, D-69115 Heidelberg, Germany; ABB Daimler Benz Transportat, Prop Syst, Dept BAA, CH-8050 Zurich, Switzerland</t>
  </si>
  <si>
    <t>ABB</t>
  </si>
  <si>
    <t>Terwiesch, P (corresponding author), ABB Corp Res, Dept Informat Technol, D-69115 Heidelberg, Germany.</t>
  </si>
  <si>
    <t>Keller, Thomas/0000-0002-8100-6900</t>
  </si>
  <si>
    <t>345 E 47TH ST, NEW YORK, NY 10017-2394 USA</t>
  </si>
  <si>
    <t>1063-6536</t>
  </si>
  <si>
    <t>IEEE T CONTR SYST T</t>
  </si>
  <si>
    <t>IEEE Trans. Control Syst. Technol.</t>
  </si>
  <si>
    <t>191HL</t>
  </si>
  <si>
    <t>WOS:000080017000006</t>
  </si>
  <si>
    <t>Yuventi, J</t>
  </si>
  <si>
    <t>Yuventi, Jumie</t>
  </si>
  <si>
    <t>A method for evaluating the influence of wiring on the performance of components in a photovoltaic system design</t>
  </si>
  <si>
    <t>SOLAR ENERGY</t>
  </si>
  <si>
    <t>Photovoltaic systems; Wire resistance; Voltage drop; Maximum power point; Direct current</t>
  </si>
  <si>
    <t>This paper presents a simple method for evaluating the influence of wiring on the operating conditions of the direct current components in a photovoltaic system design. This method uses electrical circuit theory, electrical resistance modeling, and an iterative calculation approach to address the causality dilemma that exists when estimating voltage reductions in the wires that connect photovoltaic modules to power inverters. This method can be used to estimate the voltage, current output, and power output of each photovoltaic module in a system, and the corresponding total power available at the inverter, given current-voltage (I-V) models for the photovoltaic modules, and the lengths and thicknesses of the corresponding interconnection wiring. This paper uses this method to illustrate the influence that wiring can have on the direct current operating voltage that is needed at the power inverter to achieve maximum power performance for the system. The goal is that this method would be incorporated into software that analyzes the power performance and energy output of photovoltaic systems. (C) 2012 Elsevier Ltd. All rights reserved.</t>
  </si>
  <si>
    <t>Stanford Univ, Stanford, CA 94305 USA</t>
  </si>
  <si>
    <t>Stanford University</t>
  </si>
  <si>
    <t>Yuventi, J (corresponding author), Stanford Univ, Stanford, CA 94305 USA.</t>
  </si>
  <si>
    <t>jyuventi@stanford.edu</t>
  </si>
  <si>
    <t>National Science Foundation via the Graduate Research Fellowship Program [2008073003]</t>
  </si>
  <si>
    <t>National Science Foundation via the Graduate Research Fellowship Program</t>
  </si>
  <si>
    <t>The work was supported in part by the National Science Foundation via the Graduate Research Fellowship Program under grant 2008073003.</t>
  </si>
  <si>
    <t>0038-092X</t>
  </si>
  <si>
    <t>SOL ENERGY</t>
  </si>
  <si>
    <t>Sol. Energy</t>
  </si>
  <si>
    <t>10.1016/j.solener.2012.07.007</t>
  </si>
  <si>
    <t>Energy &amp; Fuels</t>
  </si>
  <si>
    <t>013LG</t>
  </si>
  <si>
    <t>WOS:000309306300010</t>
  </si>
  <si>
    <t>Umar, A; Tamsah, H; Mattalatta, M; Baharuddin, B; Latief, AR</t>
  </si>
  <si>
    <t>Umar, Akmal; Tamsah, Hasmin; Mattalatta, M.; Baharuddin, B.; Latief, Abdul R.</t>
  </si>
  <si>
    <t>Training-Effectiveness and Team-Performance in Public Organization</t>
  </si>
  <si>
    <t>JOURNAL OF ASIAN FINANCE ECONOMICS AND BUSINESS</t>
  </si>
  <si>
    <t>Soft-skill Competence; Training-Effectiveness; Employee-Creativity; Team-Performance</t>
  </si>
  <si>
    <t>CREATIVITY; RESOURCES; MODEL</t>
  </si>
  <si>
    <t>This study aims to invest in empirical relationships in a model that becomes the process of Team-Performance due to participation in practical training through causality between Training Effectiveness variables, soft-skill competence, Employee-Creativity, and team performance. This study uses a quantitative approach. The analytical tool used is structural equation modeling (SEM) using AMOS version 23 software. Accidental sampling technique is used to collect the sample. As many as 202 respondents filled up a survey questionnaire with complete and valid answers. This study's results significantly contribute to fill the gap of inadequate empirical evidence that can answer critical questions about the missing link between training and employee-performance, more specifically between training-effectiveness and team-performance. The results showed that practical training would encourage employees' soft-skill competence, improve Employee-Creativity, and improve Team-Performance. Furthermore, training-effectiveness also plays a significant role in enhancing employee-creativity and helping in optimal team-performance. This study also found that the relationship between employee-creativity and team-performance did not show positive and significant results; therefore, empirically, it did not support the hypothesis built in this study. Practical training targeted towards increasing soft-skills and creativity is a fundamental reason which not only aims to contribute toward organizational performance but also provides personal feedback for self-development.</t>
  </si>
  <si>
    <t>[Umar, Akmal] Sekolah Tinggi Ilmu Manajemen Indonesia, Dept Management, Makassar, Indonesia; [Umar, Akmal] Bung St, Makassar City, South Sulawesi, Indonesia; [Tamsah, Hasmin; Mattalatta, M.; Baharuddin, B.; Latief, Abdul R.] STIE AMKOP, Dept Management, Makassar, Indonesia</t>
  </si>
  <si>
    <t>Umar, A (corresponding author), Sekolah Tinggi Ilmu Manajemen Indonesia, Dept Management, Makassar, Indonesia.;Umar, A (corresponding author), Bung St, Makassar City, South Sulawesi, Indonesia.</t>
  </si>
  <si>
    <t>muh.umar.akmal@gmail.com</t>
  </si>
  <si>
    <t>Baharuddin, Baharuddin/KFQ-3872-2024; Tamsah, Hasmin/KFB-0687-2024; Tamsah, Hasmin/AAH-5441-2019; Umar, Akmal/H-8127-2017</t>
  </si>
  <si>
    <t>Tamsah, Hasmin/0000-0002-9570-9658; Umar, Akmal/0000-0001-5452-9776; Latief R., Abdul/0009-0005-0278-7964</t>
  </si>
  <si>
    <t>KOREA DISTRIBUTION SCIENCE ASSOC</t>
  </si>
  <si>
    <t>GYEONGGI</t>
  </si>
  <si>
    <t>HANSHIN OFFICETEL STE 1030, 2463-4, SHINHEUNG-DONG SUJEONG-GU, SEONGNAM, GYEONGGI, 461-713, SOUTH KOREA</t>
  </si>
  <si>
    <t>2288-4637</t>
  </si>
  <si>
    <t>2288-4645</t>
  </si>
  <si>
    <t>J ASIAN FINANC ECON</t>
  </si>
  <si>
    <t>J. Asian Financ. Econ. Bus.</t>
  </si>
  <si>
    <t>10.13106/jafeb.2020.vol7.no11.1021</t>
  </si>
  <si>
    <t>OO7RC</t>
  </si>
  <si>
    <t>WOS:000587571600102</t>
  </si>
  <si>
    <t>Bammami, SM; Okafor, ENC; Hussein, SU; Bammami, MI; Thomas, S; Oshiga, O</t>
  </si>
  <si>
    <t>Bammami, Sadiq M.; Okafor, E. N. C.; Hussein, Suleiman U.; Bammami, Mohammed I.; Thomas, Sadiq; Oshiga, Omotayo</t>
  </si>
  <si>
    <t>IMPROVEMENT OF GRAVITY LIGHT GENERATION MODELING USING BOND GRAPH METHOD</t>
  </si>
  <si>
    <t>2019 15TH INTERNATIONAL CONFERENCE ON ELECTRONICS, COMPUTER AND COMPUTATION (ICECCO)</t>
  </si>
  <si>
    <t>International Conference on Electronics Computer and Computation</t>
  </si>
  <si>
    <t>15th International Conference on Electronics, Computer and Computation (ICECCO)</t>
  </si>
  <si>
    <t>DEC 10-12, 2019</t>
  </si>
  <si>
    <t>Abuja, NIGERIA</t>
  </si>
  <si>
    <t>Gravitational energy; bond graph; transducer; Planetary gear system; Pulley system</t>
  </si>
  <si>
    <t>this research is aimed at modeling and performing structural analysis on Gravity light system using bond graph method in order to improve its performance. To achieve the bond graph model of the gravity light system, the various subsystems, storage elements, junction structures, transformer elements with appropriate causality assignments and energy exchange that make up the gravity light system were identified and modeled. In the developed model, the effect of friction was considered. 20-Sim software was used to validate the developed bond graph model. The structural design and analysis of the system carried out shows that, it is not just another renewable energy generating source but one that improves greatly, the exiting gravity light system by extended operational time of 40 minutes and higher efficiency of over 80%. Hence, it meets all requirements for the application of renewable energy sources, and technically viable for construction and further developments.</t>
  </si>
  <si>
    <t>[Bammami, Sadiq M.; Okafor, E. N. C.; Hussein, Suleiman U.; Bammami, Mohammed I.; Thomas, Sadiq; Oshiga, Omotayo] Nile Univ Nigeria, Abuja, Nigeria</t>
  </si>
  <si>
    <t>Bammami, SM (corresponding author), Nile Univ Nigeria, Abuja, Nigeria.</t>
  </si>
  <si>
    <t>sadiq.muhammad.bammami@gmail.com; Encokafor2000@yahoo.com; elsuligh@gmail.com; imbforeal@gmail.com; sadiqthomas@nileuniversity.edu.ng; ooshiga@nileuniversity.edu.ng</t>
  </si>
  <si>
    <t>Oshiga, Omotayo/0000-0002-8869-7820</t>
  </si>
  <si>
    <t>2640-6802</t>
  </si>
  <si>
    <t>2640-6799</t>
  </si>
  <si>
    <t>978-1-7281-5160-1</t>
  </si>
  <si>
    <t>INT CONF ELECT COMP</t>
  </si>
  <si>
    <t>10.1109/icecco48375.2019.9043217</t>
  </si>
  <si>
    <t>BP8HO</t>
  </si>
  <si>
    <t>WOS:000565653600036</t>
  </si>
  <si>
    <t>Wu, LY; Zhang, WL; Li, SA; Li, YJ; Yuan, Y; Huang, L; Cao, TT; Fan, LM; Chen, JW; Wang, JY; Liu, T; Wang, J</t>
  </si>
  <si>
    <t>Wu, Linyan; Zhang, Wenlong; Li, Sinan; Li, Youjun; Yuan, Ye; Huang, Liang; Cao, Tiantian; Fan, Liming; Chen, Jiawen; Wang, Jingyun; Liu, Tian; Wang, Jue</t>
  </si>
  <si>
    <t>IEEE TRANSACTIONS ON NEURAL SYSTEMS AND REHABILITATION ENGINEERING</t>
  </si>
  <si>
    <t>Mice; Hippocampus; Couplings; Alzheimer's disease; Behavioral sciences; Electrodes; Brain modeling; tACS; cross-frequency coupling; granger causality; Sim4Life</t>
  </si>
  <si>
    <t>PREFRONTAL CORTEX; THETA; HIPPOCAMPUS; TOOLBOX; NEURONS; DISEASE; TACS</t>
  </si>
  <si>
    <t>Transcranial alternating current stimulation (tACS) is considered to have a positive effect on the rehabilitation of Alzheimer's disease (AD) as an intervention method that matches stimulation frequency to neurogenesis frequency. However, when tACS intervention is delivered to a single target, the current received by brain regions outside the target may be insufficient to trigger neural activity, compromising the effectiveness of stimulation. Therefore, it is worth studying how single-target tACS restores gamma-band activity in the whole hippocampal-prefrontal circuit during rehabilitation. We used Sim4Life software to conduct finite element methods (FEM) on the stimulation parameters to ensure that tACS intervened only in the right hippocampus (rHPC) and did not activate the left hippocampus (lHPC) or prefrontal cortex (PFC). We stimulated the rHPC by tACS for 21 days to improve the memory function of AD mice. We simultaneously recorded local field potentials (LFPs) in the rHP, lHPC and PFC and evaluated the neural rehabilitative effect of tACS stimulation with power spectral density (PSD), cross-frequency coupling (CFC) and Granger causality. Compared to the untreated group, the tACS group exhibited an increase in the Granger causality connection and CFC between the rHPC and PFC, a decrease in those between the lHPC and PFC, and enhanced performance on the Y-maze test. These results suggest that tACS may serve as a noninvasive method for Alzheimer's disease rehabilitation by ameliorating abnormal gamma oscillation in the hippocampal-prefrontal circuit.</t>
  </si>
  <si>
    <t>[Wu, Linyan; Zhang, Wenlong; Li, Sinan; Li, Youjun; Yuan, Ye; Huang, Liang; Cao, Tiantian; Fan, Liming; Chen, Jiawen; Wang, Jingyun; Liu, Tian; Wang, Jue] Xi An Jiao Tong Univ, Minist Educ, Sch Life Sci &amp; Technol, Key Lab Biomed Informat Engn, Xian 710049, Peoples R China; [Wu, Linyan; Zhang, Wenlong; Li, Sinan; Li, Youjun; Yuan, Ye; Huang, Liang; Cao, Tiantian; Fan, Liming; Chen, Jiawen; Wang, Jingyun; Liu, Tian; Wang, Jue] Xi An Jiao Tong Univ, Inst Hlth &amp; Rehabil Sci, Xian 710049, Peoples R China; [Wu, Linyan; Zhang, Wenlong; Li, Sinan; Li, Youjun; Yuan, Ye; Huang, Liang; Cao, Tiantian; Fan, Liming; Chen, Jiawen; Wang, Jingyun; Liu, Tian; Wang, Jue] Natl Engn Res Ctr Healthcare Devices, Guangzhou 510500, Peoples R China; [Wang, Jue] Minist Civil Affairs, Key Lab Neuro Informat &amp; Rehabil Engn, Xian 710049, Peoples R China</t>
  </si>
  <si>
    <t>Xi'an Jiaotong University; Xi'an Jiaotong University; Guangdong Academy of Sciences; Institute of Biological &amp; Medical Engineering, Guangdong Academy of Sciences</t>
  </si>
  <si>
    <t>Liu, T; Wang, J (corresponding author), Xi An Jiao Tong Univ, Minist Educ, Sch Life Sci &amp; Technol, Key Lab Biomed Informat Engn, Xian 710049, Peoples R China.;Liu, T; Wang, J (corresponding author), Xi An Jiao Tong Univ, Inst Hlth &amp; Rehabil Sci, Xian 710049, Peoples R China.;Liu, T; Wang, J (corresponding author), Natl Engn Res Ctr Healthcare Devices, Guangzhou 510500, Peoples R China.;Wang, J (corresponding author), Minist Civil Affairs, Key Lab Neuro Informat &amp; Rehabil Engn, Xian 710049, Peoples R China.</t>
  </si>
  <si>
    <t>lonathe@foxmail.com; 2621628833@qq.com; lisinan@stu.xjtu.edu.cn; liyoujun1@mail.xjtu.edu.cn; yuanye.xjtu2020@gmail.com; hl2605033935@stu.xjtu.edu.cn; 1194157894@qq.com; flmxjtu@163.com; 1045730832@qq.com; tianliu@xjtu.edu.cn; juewang_xjtu@126.com</t>
  </si>
  <si>
    <t>Wu, Linyan/JVN-1690-2024</t>
  </si>
  <si>
    <t>Wang, Jingyun/0009-0007-4740-8758</t>
  </si>
  <si>
    <t>National Natural Science Foundation of China [61431012, U191321]</t>
  </si>
  <si>
    <t>This work wassupported by the National Natural Science Foundation of China underGrant 31972907, Grant 61431012, and Grant U1913216.</t>
  </si>
  <si>
    <t>1534-4320</t>
  </si>
  <si>
    <t>1558-0210</t>
  </si>
  <si>
    <t>IEEE T NEUR SYS REH</t>
  </si>
  <si>
    <t>IEEE Trans. Neural Syst. Rehabil. Eng.</t>
  </si>
  <si>
    <t>Engineering, Biomedical; Rehabilitation</t>
  </si>
  <si>
    <t>Engineering; Rehabilitation</t>
  </si>
  <si>
    <t>F0PR2</t>
  </si>
  <si>
    <t>WOS:000979456800003</t>
  </si>
  <si>
    <t>Canapini, L; Varde'i, CH; Palomo, AC; Izzo, RE</t>
  </si>
  <si>
    <t>Canapini, Lorenzo; Varde'i, Ciro Hosseini; Palomo, Antonio Cejudo; Izzo, Riccardo E.</t>
  </si>
  <si>
    <t>Analysis of the Physical Efficiency Index in football teams and correlation with goal events: A survey of the Italian Serie A Championship</t>
  </si>
  <si>
    <t>JOURNAL OF HUMAN SPORT AND EXERCISE</t>
  </si>
  <si>
    <t>Match analysis; Key performance indicators; Technical efficiency index; Performance model; Goal actions</t>
  </si>
  <si>
    <t>ELITE SOCCER; MATCH; PARAMETERS; EVOLUTION</t>
  </si>
  <si>
    <t>This paper is centred on the Match Analysis (MA) of football that nowadays is a fundamental tool in the elite level. The MA is the objectively analysis of matches using hardware and software that help the coaching staff to evaluate the performance of the single athlete and the entire team in order to define the Performance Model (PM). Soccer is a nonlinear dynamical system that required a specific mathematical analysis to investigate the relevance of the main key performance indicators (KPIs). Following this issue in 2011, Mirko Marcolini the CEO of K-Sport Universal (Montelabbate, Italy) has registered a patent (IB2010/002593, approved on April 28, 2011 by World Intellectual Property Organization) proposing a new MA approach, based on probability theory, setting as independent variables some KPIs (passes; ball speed; ball trajectory; distance between the holder players, the teammates, the opponents and the fitness ability) provided by the video-tracking and gained using a specific software, in order to analyse the final outcome of a match. From Marcolini formulas is possible to define the technical efficiency index (TEI) and physical efficiency index (PEI), both two percentage parameters (considering as 0%, the worst efficiency and 100% the maximum efficiency). The aim of this study, was to analyse the TA-PEI during goal actions in order to objectively define if the physical performance is correlated with goal events. Where examined a full season of one team, using video-tracking on 38 games from the 2015/2016 Italian Serie A, and calculated the TA-PEI during goal events for both teams. During this survey, 92 goals were scored, and 184 TA-PEI were collected. For each realization, the TA-PEI was examined, both by the finalizing team and for the team that suffered the goal. On 38 Matches four, two from the first round and two from the second round, ended without goal, end were not considered in the research. The TA-PEI is a resultant variable of different parameters and is certainly a tool that facilitates the task of the match analyst. In this research, attention was focused on the TA-PEI in the goal event, and it establishes the reliability of this parameter. An important update to this study can be the complete analysis of all matches of a championship from different countries or league, in order to receive more different data less affected by causality and errors, and to study if between years or nations there are different or specific trends. Also analysing with the same method, the TA-PEI during all match and not only during goal events can be relevant and useful. In conclusion the TA-PEI is certainly an interesting and valid parameter, from which the results can be used to objectivate and to improve the performance of the team, in an accurate way following the real performance model and help the coaching staff to receive more specific information during crucial moments of matches.</t>
  </si>
  <si>
    <t>[Canapini, Lorenzo; Varde'i, Ciro Hosseini; Izzo, Riccardo E.] Univ Urbino Carlo Bo, Sch Sport Sci Exercise &amp; Hlth, Dept Biomol Sci, Urbino, Italy; [Palomo, Antonio Cejudo] Univ Murcia, Dept Phys Act &amp; Sports, Murcia, Spain</t>
  </si>
  <si>
    <t>University of Urbino; University of Murcia</t>
  </si>
  <si>
    <t>Izzo, RE (corresponding author), Univ Urbino Carlo Bo, Sch Sport Sci Exercise &amp; Hlth, Dept Biomol Sci, Urbino, Italy.</t>
  </si>
  <si>
    <t>riccardo.izzo@uniurb.it</t>
  </si>
  <si>
    <t>UNIV ALICANTE</t>
  </si>
  <si>
    <t>ALICANTE</t>
  </si>
  <si>
    <t>APARTADO DE CORREOS 99, ALICANTE, 3080, SPAIN</t>
  </si>
  <si>
    <t>1988-5202</t>
  </si>
  <si>
    <t>J HUM SPORT EXERC</t>
  </si>
  <si>
    <t>J. Hum. Sport Exerc.</t>
  </si>
  <si>
    <t>S2390</t>
  </si>
  <si>
    <t>S2399</t>
  </si>
  <si>
    <t>10.14198/jhse.2019.14.Proc5.54</t>
  </si>
  <si>
    <t>KU3CA</t>
  </si>
  <si>
    <t>WOS:000519584200054</t>
  </si>
  <si>
    <t>Duchowski, AT; Krejtz, K; Krejtz, I; Biele, C; Niedzielska, A; Kiefer, P; Raubal, M; Giannopoulos, I</t>
  </si>
  <si>
    <t>Duchowski, Andrew T.; Krejtz, Krzysztof; Krejtz, Izabela; Biele, Cezary; Niedzielska, Anna; Kiefer, Peter; Raubal, Martin; Giannopoulos, Ioannis</t>
  </si>
  <si>
    <t>The Index of Pupillary Activity Measuring Cognitive Load vis-a-vis Task Difficulty with Pupil Oscillation</t>
  </si>
  <si>
    <t>PROCEEDINGS OF THE 2018 CHI CONFERENCE ON HUMAN FACTORS IN COMPUTING SYSTEMS (CHI 2018)</t>
  </si>
  <si>
    <t>CHI Conference on Human Factors in Computing Systems (CHI)</t>
  </si>
  <si>
    <t>APR 21-26, 2018</t>
  </si>
  <si>
    <t>Assoc Comp Machinery,ACM SIGCHI</t>
  </si>
  <si>
    <t>pupillometry; eye tracking; task difficulty</t>
  </si>
  <si>
    <t>WORKING-MEMORY CAPACITY; PROCESSING LOAD; EYE FIXATIONS; RESPONSES; SIZE; VIOLATIONS; DIAMETER</t>
  </si>
  <si>
    <t>A novel eye-tracked measure of the frequency of pupil diameter oscillation is proposed for capturing what is thought to be an indicator of cognitive load. The proposed metric, termed the Index of Pupillary Activity, is shown to discriminate task difficulty vis-a-vis cognitive load (if the implied causality can be assumed) in an experiment where participants performed easy and difficult mental arithmetic tasks while fixating a central target (a requirement for replication of prior work). The paper's contribution is twofold: full documentation is provided for the calculation of the proposed measurement which can be considered as an alternative to the existing proprietary Index of Cognitive Activity (ICA). Thus, it is possible for researchers to replicate the experiment and build their own software which implements this measurement. Second, several aspects of the ICA are approached in a more data-sensitive way with the goal of improving the measurement's performance.</t>
  </si>
  <si>
    <t>[Duchowski, Andrew T.] Clemson Univ, Sch Comp, Clemson, SC 29631 USA; [Krejtz, Krzysztof; Krejtz, Izabela] SWPS Univ Social Sci &amp; Humanities, Warsaw, Poland; [Krejtz, Krzysztof] Ulm Univ, Ulm, Germany; [Biele, Cezary; Niedzielska, Anna] OPI PIB, Interact Technol Lab, Warsaw, Poland; [Kiefer, Peter; Raubal, Martin; Giannopoulos, Ioannis] Swiss Fed Inst Technol, Inst Cartog &amp; Geoinformat, Zurich, Switzerland; [Giannopoulos, Ioannis] Vienna Univ Technol, Vienna, Austria</t>
  </si>
  <si>
    <t>Clemson University; SWPS University of Social Sciences &amp; Humanities; Ulm University; Swiss Federal Institutes of Technology Domain; ETH Zurich; Technische Universitat Wien</t>
  </si>
  <si>
    <t>Duchowski, AT (corresponding author), Clemson Univ, Sch Comp, Clemson, SC 29631 USA.</t>
  </si>
  <si>
    <t>duchowski@clemson.edu; kkrejtz@swps.edu.pl; ikrejtz@swps.edu.pl; cbiele@opi.org.pl; aniedzielska@opi.org.pl; pekiefer@ethz.ch; mraubal@ethz.ch; igiannopoulos@geo.tuwien.ac.at</t>
  </si>
  <si>
    <t>Biele, Cezary/ABA-1423-2021; Krejtz, Krzysztof/AAP-6165-2021; Krejtz, Izabela/AAC-9145-2021; Krejtz, Izabela/H-3411-2016</t>
  </si>
  <si>
    <t>Krejtz, Krzysztof/0000-0002-9558-3039; Krejtz, Izabela/0000-0002-9827-8371; Giannopoulos, Ioannis/0000-0002-2556-5230; Biele, Cezary/0000-0003-4658-5510; Kiefer, Peter/0000-0003-4457-0438</t>
  </si>
  <si>
    <t>U.S. National Science Foundation [IIS-1748380]; Swiss National Science Foundation [200021_162886]; Swiss National Science Foundation (SNF) [200021_162886] Funding Source: Swiss National Science Foundation (SNF)</t>
  </si>
  <si>
    <t>U.S. National Science Foundation(National Science Foundation (NSF)); Swiss National Science Foundation(Swiss National Science Foundation (SNSF)); Swiss National Science Foundation (SNF)(Swiss National Science Foundation (SNSF))</t>
  </si>
  <si>
    <t>This work is supported in part by the U.S. National Science Foundation (grant IIS-1748380), and by the Swiss National Science Foundation (grant 200021_162886). We thank reviewers for their suggestions for improvement.</t>
  </si>
  <si>
    <t>978-1-4503-5620-6</t>
  </si>
  <si>
    <t>Computer Science, Cybernetics; Computer Science, Information Systems</t>
  </si>
  <si>
    <t>BO2ZO</t>
  </si>
  <si>
    <t>WOS:000509673103044</t>
  </si>
  <si>
    <t>Rabbath, CA; Lechevin, N; Hori, N</t>
  </si>
  <si>
    <t>IEE PROCEEDINGS-CONTROL THEORY AND APPLICATIONS</t>
  </si>
  <si>
    <t>MODEL-REDUCTION; H-INFINITY; SYSTEMS; CONTROLLERS</t>
  </si>
  <si>
    <t>An optimal dual-rate digital redesign method is proposed that can be applied to continuous-time and fast-rate discrete-time control systems. The paper presents a technique, which relies on the solution of a dual-rate H-2 discrete-time control problem, to convert such systems to either a slow-rate or a dual-rate sampled-data control system while guaranteeing closed-loop stability and performance in the discrete-time H-2 sense. The proposed technique results in sampled-data control systems providing satisfactory closed-loop performances over an extended range of sampling rates, as compared with other widely used methods of digital redesign. Furthermore, the proposed digital redesign technique is useful in practice since it allows the designer to constrain the complexity of the digital controllers, thus resulting in low-order digital controllers easily implementable in software code and free of causality and real-time problems. Numerical examples provide a comparison of the proposed digital redesign technique with well-known approaches.</t>
  </si>
  <si>
    <t>Def Res &amp; Dev Canada Valcartier, Montreal, PQ H3A 2K6, Canada; McGill Univ, Dept Mech Engn, Montreal, PQ H3A 2K6, Canada; Def Res &amp; Dev Canada Valcartier, Val Belair, PQ G3J 1X5, Canada; Univ Quebec Trois Rivieres, Trois Rivieres, PQ G9A 5H7, Canada; Univ Tsukuba, Tsukuba, Ibaraki 305, Japan</t>
  </si>
  <si>
    <t>McGill University; University of Quebec; University of Quebec Trois Rivieres; University of Tsukuba</t>
  </si>
  <si>
    <t>Def Res &amp; Dev Canada Valcartier, Montreal, PQ H3A 2K6, Canada.</t>
  </si>
  <si>
    <t>Camille-Alain.Rabbath@drdc-rddc.gc.ca</t>
  </si>
  <si>
    <t>N., Hori/Q-9926-2019</t>
  </si>
  <si>
    <t>INST ENGINEERING TECHNOLOGY-IET</t>
  </si>
  <si>
    <t>HERTFORD</t>
  </si>
  <si>
    <t>MICHAEL FARADAY HOUSE SIX HILLS WAY STEVENAGE, HERTFORD SG1 2AY, ENGLAND</t>
  </si>
  <si>
    <t>1350-2379</t>
  </si>
  <si>
    <t>IEE P-CONTR THEOR AP</t>
  </si>
  <si>
    <t>IEE Proc.-Control Theory Appl.</t>
  </si>
  <si>
    <t>Automation &amp; Control Systems; Engineering, Electrical &amp; Electronic; Instruments &amp; Instrumentation</t>
  </si>
  <si>
    <t>Automation &amp; Control Systems; Engineering; Instruments &amp; Instrumentation</t>
  </si>
  <si>
    <t>967KL</t>
  </si>
  <si>
    <t>WOS:000232090000001</t>
  </si>
  <si>
    <t>Etges, M; Coelho, A</t>
  </si>
  <si>
    <t>Etges, Miriam; Coelho, Arnaldo</t>
  </si>
  <si>
    <t>Ethical Leadership in LTC: From Caregivers ' Customer Orientation to Senior's Satisfaction and Well-Being</t>
  </si>
  <si>
    <t>JOURNAL OF HEALTHCARE LEADERSHIP</t>
  </si>
  <si>
    <t>ethical leadership; seniors; formal caregiver; patient; customer orientation</t>
  </si>
  <si>
    <t>TRANSFORMATIONAL LEADERSHIP; MEDIATING ROLE; PERFORMANCE; HEALTH; PERCEPTIONS; INTENTIONS; LOYALTY; CLIMATE; QUALITY; MANAGER</t>
  </si>
  <si>
    <t>Background: In response to the growth of the world's senior population, an investigation of ethical leadership on LTCs is needed, in particular in the impact it may have on customer orientation and on seniors' well-being.Objective: We propose a model to identify the relationship between ethical leadership in LTCs and caregivers' customer orientation, and its influence on satisfaction with the service, satisfaction with life, and the quality of the interaction between caregivers and seniors.Sampling: We present a matched sample of 277 caregivers and 277 elderly Brazilians, workers and seniors' in LTCs in Brazil. The minimum sample size was 222, determined using G-Power software version 3.1.9.2, based on the desired statistical power parameters and the number of predictors. Two structured questionnaires were developed, one for caregivers and the other for the elderly. 69 LTCs were contacted and 29 participated in the survey (10 nonprofit, 34.48%). Data were treated statistically using SEM modelling.Results: We identified a positive influence of ethical leadership on caregivers' attitudes, favoring their orientation towards the seniors'. A positive relationship between customer-oriented caregivers and customer satisfaction, life satisfaction, and the quality of the senior's interaction. A customer-oriented caregiver exerts a mediating effect between ethical leadership and the seniors' related outcomes, making ethical leadership beneficial to seniors and their family members.Conclusion: Ethical leadership favors successful management of LTCs, increasing customer orientation, and provides clues to establish a better causality and a chain of effects between leadership and senior-related outcomes. Therefore, LTCs may be the appropriate outlet for the role of ethics in leadership.Practical Implications: This study provides managers with an understanding of the effects of ethical leadership in the context of LTCs, for both caregivers and seniors. The powerful effects of ethical leadership can be a stimulus to increase the role of ethics in LTCs, improving the quality of care, the well-being of the seniors, and, therefore, the human and financial performance of these institutions.</t>
  </si>
  <si>
    <t>[Etges, Miriam] Int Iberoamer Univ, Project Dept, Campeche, Mexico; [Coelho, Arnaldo] Univ Coimbra, CeBER Fac Econ, Coimbra, Portugal; [Etges, Miriam] Int Iberoamer Univ, Project Dept, Rua Pastor Hildebrand 81, BR-96810084 Santa Cruz Do Sul, RS, Brazil</t>
  </si>
  <si>
    <t>Universidade de Coimbra</t>
  </si>
  <si>
    <t>Etges, M (corresponding author), Int Iberoamer Univ, Project Dept, Rua Pastor Hildebrand 81, BR-96810084 Santa Cruz Do Sul, RS, Brazil.</t>
  </si>
  <si>
    <t>metges@gmail.com</t>
  </si>
  <si>
    <t>Etges, MIRIAM TERESA/0000-0001-6116-3979; Coelho, Arnaldo/0000-0003-4345-1349</t>
  </si>
  <si>
    <t>1179-3201</t>
  </si>
  <si>
    <t>J HEALTHC LEADERSH</t>
  </si>
  <si>
    <t>J. Healthc. Leadersh.</t>
  </si>
  <si>
    <t>10.2147/JHL.S426602</t>
  </si>
  <si>
    <t>Health Policy &amp; Services</t>
  </si>
  <si>
    <t>X2HW8</t>
  </si>
  <si>
    <t>WOS:001096727600001</t>
  </si>
  <si>
    <t>Cicirelli, F; Furfaro, A; Giordano, A; Nigro, L</t>
  </si>
  <si>
    <t>Turner, SJ; Roberts, D; Cai, W; ElSaddik, A</t>
  </si>
  <si>
    <t>Cicirelli, Franco; Furfaro, Angelo; Giordano, Andrea; Nigro, Libero</t>
  </si>
  <si>
    <t>13TH IEEE/ACM INTERNATIONAL SYMPOSIUM ON DISTRIBUTED SIMULATION AND REAL-TIME APPLICATIONS, PROCEEDINGS</t>
  </si>
  <si>
    <t>IEEE ACM International Symposium on Distributed Simulation and Real-Time Applications</t>
  </si>
  <si>
    <t>13th IEEE/ACM Symposium on Distributed Simulation and Real-Time Applications (DS-RT 2009)</t>
  </si>
  <si>
    <t>OCT 25-28, 2009</t>
  </si>
  <si>
    <t>Singapore, SINGAPORE</t>
  </si>
  <si>
    <t>IEEE,ACM</t>
  </si>
  <si>
    <t>Multi-agent systems; RePast; modelling and distributed simulation; actors; HLA/RTI; Java; text annotations; AspectJ; Tileworld</t>
  </si>
  <si>
    <t>SYSTEMS</t>
  </si>
  <si>
    <t>This paper reports about a research project -HLA_ACTOR_REPAST- aimed to distributing RePast models thus potentially corresponding to the computational demands of large and reconfigurable multi-agent systems (MASs). Novel in HLA_ACTOR_REPAST is an exploitation of a lean actor infrastructure implemented in Java. Actors bring to RePast agents such features as migration, location-transparent naming, efficient communications, and a control-centric framework. Actors can be orchestrated by an in-the-large custom control structure which can ensure the necessary message causality constraints. Distribution and time management concerns depend on the IEEE standard HLA middleware. The paper first discusses details of the software engineering process underlying HLA_ACTOR_REPAST. The mapping techniques, based on Java text annotations and aspect oriented programming, minimize code intrusions in the original model. Then the paper describes some experiments and performance results of applying HLA_ACTOR_REPAST to a distributed version of a RePast Tileworld model.</t>
  </si>
  <si>
    <t>[Cicirelli, Franco; Furfaro, Angelo; Giordano, Andrea; Nigro, Libero] Univ Calabria, Dipartimento Elettron Informat &amp; Sistemist, Lab Ingn Software, I-87036 Arcavacata Di Rende, CS, Italy</t>
  </si>
  <si>
    <t>University of Calabria</t>
  </si>
  <si>
    <t>Cicirelli, F (corresponding author), Univ Calabria, Dipartimento Elettron Informat &amp; Sistemist, Lab Ingn Software, I-87036 Arcavacata Di Rende, CS, Italy.</t>
  </si>
  <si>
    <t>f.cicirelli@deis.unical.it; a.furfaro@deis.unical.it; a.giordano@deis.unical.it; l.nigro@unical.it</t>
  </si>
  <si>
    <t>Furfaro, Angelo/N-2923-2019; Giordano, Andrea/KBC-8884-2024; Giordano, Andrea/AAX-7239-2020</t>
  </si>
  <si>
    <t>Furfaro, Angelo/0000-0003-2537-8918; Giordano, Andrea/0000-0001-8835-0328</t>
  </si>
  <si>
    <t>1550-6525</t>
  </si>
  <si>
    <t>978-0-7695-3868-6</t>
  </si>
  <si>
    <t>IEEE ACM DIS SIM</t>
  </si>
  <si>
    <t>BNR41</t>
  </si>
  <si>
    <t>WOS:000275316100022</t>
  </si>
  <si>
    <t>Leal, JP</t>
  </si>
  <si>
    <t>Ganzha, M; Maciaszek, L; Paprzycki, M</t>
  </si>
  <si>
    <t>Leal, Jose Paulo</t>
  </si>
  <si>
    <t>2013 FEDERATED CONFERENCE ON COMPUTER SCIENCE AND INFORMATION SYSTEMS (FEDCSIS)</t>
  </si>
  <si>
    <t>Federated Conference on Computer Science and Information Systems</t>
  </si>
  <si>
    <t>Federated Conference on Computer Science and Information Systems (FedCSIS)</t>
  </si>
  <si>
    <t>SEP 08-11, 2013</t>
  </si>
  <si>
    <t>Krakow, POLAND</t>
  </si>
  <si>
    <t>Polish Informat Proc Soc, Mazowsze Chapter,AGH Univ Min &amp; Metal,Wroclaw Univ Econ,Polish Acad Sci, Syst Res Inst,IEEE Reg 8,Comp Soc Chapter Poland,Gdansk Comp Soc Chapter,IEEE Computat Intelligence Soc, Polish Chapter,ACM Special Interest Grp Appl Comp,Lodz ACM Chapter,Sci &amp; Engn Res Support Soc,Informat Europe,Asociac Tenicos Informatica,Polish Acad Sci, Comm Comp Sci,Polish Assoc Informat Syst,Polish Soc Business Informat,Polish Chamber Commerce High Technol</t>
  </si>
  <si>
    <t>The aim of the research presented in this paper is the development of a novel approach to predict programming aptitude. The existing programming aptitude tests rely on the past academic performance of students, on their psychological features or on a combination of both. The novelty of the proposed approach is that it attempts to measure student capabilities to manipulate abstract concepts that are related with programming, namely time, state and causality. These concepts were captured in Oh Balls - a physical simulation of the path taken by a sequence of balls through an apparatus of conveyor belts and levers. An engine for this kind of simulation was implemented and deployed as a web application, creating a self-contained test. that was applied to a cohort of first-year undergraduate students to validate the proposed approach. This paper describes the proposed type of programming aptitude test, a software engine implementing it, a validation experiment, discusses the results obtained so far and points out future research.</t>
  </si>
  <si>
    <t>[Leal, Jose Paulo] Univ Porto, DCC FCUP, P-4100 Oporto, Portugal</t>
  </si>
  <si>
    <t>Universidade do Porto</t>
  </si>
  <si>
    <t>Leal, JP (corresponding author), Univ Porto, DCC FCUP, Rua Campo Alegre 823, P-4100 Oporto, Portugal.</t>
  </si>
  <si>
    <t>zp@dcc.fc.up.pt</t>
  </si>
  <si>
    <t>Leal, José Paulo/C-6071-2009</t>
  </si>
  <si>
    <t>Leal, José Paulo/0000-0002-8409-0300</t>
  </si>
  <si>
    <t>2325-0348</t>
  </si>
  <si>
    <t>978-1-4673-4471-5</t>
  </si>
  <si>
    <t>FED CONF COMPUT SCI</t>
  </si>
  <si>
    <t>Computer Science, Information Systems; Computer Science, Theory &amp; Methods; Engineering, Electrical &amp; Electronic</t>
  </si>
  <si>
    <t>BB8OZ</t>
  </si>
  <si>
    <t>WOS:000347171500117</t>
  </si>
  <si>
    <t>Shan, JC; Ding, XN; Gehani, N</t>
  </si>
  <si>
    <t>Shan, Jianchen; Ding, Xiaoning; Gehani, Narain</t>
  </si>
  <si>
    <t>IEEE TRANSACTIONS ON PARALLEL AND DISTRIBUTED SYSTEMS</t>
  </si>
  <si>
    <t>Virtualization; multi-core; cloud computing; spin-lock synchronization; lock holder preemption; scheduling</t>
  </si>
  <si>
    <t>Spin-locks are widely used in software for efficient synchronization. However, they cause serious performance degradation on virtualized platforms, such as the Lock Holder Preemption (LHP) problem and the Lock Waiter Preemption (LWP) problem, due to excessive spinning by virtual CPUs (VCPUs). The excessive spinning occurs when a VCPU waits to acquire a spin-lock. To address the performance degradation, hardware facilities, such as Intel PLE and AMD PF, are provided on processors to preempt VCPUs when they spin excessively. Although these facilities have been predominantly used on mainstream virtualization systems, using them in a manner that achieves the highest performance is still a challenging issue. There are two core problems in using these hardware facilities to reduce excessive spinning. One is to determine the best time to preempt a spinning VCPU (i.e., the selection of spinning thresholds). The other is which VCPU should be scheduled to run after the spinning VCPU is descheduled. Due to the semantic gap between different software layers, the virtual machine monitor (VMM) does not have information about the computation characteristics on VCPUs, which is needed to address the above problems. This makes the problems inherently challenging. We propose a framework named AdPtive Pause-Loop Exiting and Scheduling (APPLES) to address these problems. APPLES monitors the overhead caused by excessive spinning and preempting spinning VCPUs, and periodically adjusts spinning thresholds to reduce the overhead. APPLES also evaluates and schedules ready VCPUs in a VM by their potential to reduce the spinning incurred by the spin-lock synchronization. The evaluation is based on the causality and the time of VCPU preemptions. The implementation of APPLES incurs only minimal changes to existing systems (about 100 lines of code in KVM). Experiments show that APPLES can improve performance by 3 similar to 49 percent (14 percent on average) for the workloads with frequent spin-lock operations.</t>
  </si>
  <si>
    <t>[Shan, Jianchen; Ding, Xiaoning; Gehani, Narain] New Jersey Inst Technol, Dept Comp Sci, Newark, NJ 07041 USA</t>
  </si>
  <si>
    <t>New Jersey Institute of Technology</t>
  </si>
  <si>
    <t>Shan, JC (corresponding author), New Jersey Inst Technol, Dept Comp Sci, Newark, NJ 07041 USA.</t>
  </si>
  <si>
    <t>js622@njit.edu; xiaoning.ding@njit.edu; narain.gehani@njit.edu</t>
  </si>
  <si>
    <t>Ding, Xiaoning/C-9933-2014</t>
  </si>
  <si>
    <t>Ding, Xiaoning/0000-0002-9947-0437</t>
  </si>
  <si>
    <t>US National Science Foundation [CNS 1409523, CCF 1617749]; Direct For Computer &amp; Info Scie &amp; Enginr; Division of Computing and Communication Foundations [1617749] Funding Source: National Science Foundation; Division Of Computer and Network Systems; Direct For Computer &amp; Info Scie &amp; Enginr [1409523] Funding Source: National Science Foundation</t>
  </si>
  <si>
    <t>US National Science Foundation(National Science Foundation (NSF)); Direct For Computer &amp; Info Scie &amp; Enginr; Division of Computing and Communication Foundations(National Science Foundation (NSF)NSF - Directorate for Computer &amp; Information Science &amp; Engineering (CISE)); Division Of Computer and Network Systems; Direct For Computer &amp; Info Scie &amp; Enginr(National Science Foundation (NSF)NSF - Directorate for Computer &amp; Information Science &amp; Engineering (CISE))</t>
  </si>
  <si>
    <t>We thank all the reviewers for their constructive comments and suggestions. This work is supported in part by the US National Science Foundation under grants CNS 1409523 and CCF 1617749.</t>
  </si>
  <si>
    <t>1045-9219</t>
  </si>
  <si>
    <t>1558-2183</t>
  </si>
  <si>
    <t>IEEE T PARALL DISTR</t>
  </si>
  <si>
    <t>IEEE Trans. Parallel Distrib. Syst.</t>
  </si>
  <si>
    <t>JUL 1</t>
  </si>
  <si>
    <t>EX7UU</t>
  </si>
  <si>
    <t>WOS:000403455600001</t>
  </si>
  <si>
    <t>Goh, SC; Elliott, C; Quon, TK</t>
  </si>
  <si>
    <t>Goh, Swee; Elliott, Catherine; Quon, Tony</t>
  </si>
  <si>
    <t>The relationship between learning capability and organizational performance A meta-analytic examination</t>
  </si>
  <si>
    <t>LEARNING ORGANIZATION</t>
  </si>
  <si>
    <t>Learning capability; Performance; Meta-analysis; Learning processes; Organizational performance</t>
  </si>
  <si>
    <t>Purpose - The purpose of this paper is to present a meta-analysis of a subset of published empirical research papers that measure learning capability and link it to organizational performance. It also seeks to examine both financial and non-financial performance. Design/methodology/approach - In a search of published research on learning capability and organizational performance, the authors identified 33 articles that met criteria for inclusion in the meta-analysis. Both objective and perceptual measures of organizational performance were considered to be acceptable. The data were analyzed using the Hunter and Schmidt meta-analysis software. Findings - The findings support a positive relationship between learning capability and organizational performance, with stronger results for non-financial than financial performance. This has significant implications for justifying the investment in building a learning capability in organizations. Recommendations for managers are provided, such as the use of learning capability measures and the need to measure performance. Research limitations/implications - The paper discusses the implications of these results for further theory building and development to advance knowledge in the field. This includes addressing the need for new research designs, the issue of causality, potential mediating effects and the impact of context in better understanding this complex relationship. It suggests that research is also needed to increase our understanding of how to effectively build this learning capability. Originality/value - This meta-analysis provides empirical evidence to support the value of building a learning capability in organizations.</t>
  </si>
  <si>
    <t>[Goh, Swee; Elliott, Catherine; Quon, Tony] Univ Ottawa, Telfer Sch Management, Ottawa, ON, Canada</t>
  </si>
  <si>
    <t>University of Ottawa</t>
  </si>
  <si>
    <t>Goh, SC (corresponding author), Univ Ottawa, Telfer Sch Management, Ottawa, ON, Canada.</t>
  </si>
  <si>
    <t>goh@telfer.uottawa.ca</t>
  </si>
  <si>
    <t>Telfer School of Management, University of Ottawa</t>
  </si>
  <si>
    <t>The authors gratefully acknowledge the help of Pat Forsberg on the revisions and editing of this paper. They would also like to thank the anonymous reviewers for their excellent feedback and suggestions that have considerably improved the manuscript. Support for this research was provided by a grant from the Telfer School of Management, University of Ottawa.</t>
  </si>
  <si>
    <t>0969-6474</t>
  </si>
  <si>
    <t>1758-7905</t>
  </si>
  <si>
    <t>LEARN ORGAN</t>
  </si>
  <si>
    <t>Learn. Organ.</t>
  </si>
  <si>
    <t>10.1108/09696471211201461</t>
  </si>
  <si>
    <t>V71OG</t>
  </si>
  <si>
    <t>WOS:000211582900001</t>
  </si>
  <si>
    <t>Muraro, D; Voss, U; Wilson, M; Bennett, M; Byrne, H; De Smet, I; Hodgman, C; King, J</t>
  </si>
  <si>
    <t>Muraro, Daniele; Voss, Ute; Wilson, Michael; Bennett, Malcolm; Byrne, Helen; De Smet, Ive; Hodgman, Charlie; King, John</t>
  </si>
  <si>
    <t>IEEE-ACM TRANSACTIONS ON COMPUTATIONAL BIOLOGY AND BIOINFORMATICS</t>
  </si>
  <si>
    <t>Reverse engineering; gene expression data; Arabidopsis thaliana</t>
  </si>
  <si>
    <t>COEXPRESSION NETWORK; SMALL-WORLD; ARCHITECTURE; CYTOKININS; DYNAMICS; ETHYLENE; MERISTEM; ARF7</t>
  </si>
  <si>
    <t>Regulation of gene expression is crucial for organism growth, and it is one of the challenges in systems biology to reconstruct the underlying regulatory biological networks from transcriptomic data. The formation of lateral roots in Arabidopsis thaliana is stimulated by a cascade of regulators of which only the interactions of its initial elements have been identified. Using simulated gene expression data with known network topology, we compare the performance of inference algorithms, based on different approaches, for which ready-to-use software is available. We show that their performance improves with the network size and the inclusion of mutants. We then analyze two sets of genes, whose activity is likely to be relevant to lateral root initiation in Arabidopsis, and assess causality of their regulatory interactions by integrating sequence analysis with the intersection of the results of the best performing methods on time series and mutants. The methods applied capture known interactions between genes that are candidate regulators at early stages of development. The network inferred from genes significantly expressed during lateral root formation exhibits distinct scale free, small world and hierarchical properties and the nodes with a high out-degree may warrant further investigation.</t>
  </si>
  <si>
    <t>[Muraro, Daniele; Voss, Ute; Wilson, Michael; Bennett, Malcolm; Byrne, Helen; De Smet, Ive; Hodgman, Charlie; King, John] Univ Nottingham, Ctr Plant Integrat Biol, Sch Biosci, Loughborough LE12 5RD, Leics, England; [Muraro, Daniele] Univ Oxford, Weatherall Inst Mol Med, Oxford OX3 9DS, England; [Byrne, Helen] Univ Oxford, Oxford Ctr Collaborat Appl Math, Oxford OX1 3LB, England; [Byrne, Helen] Univ Oxford, Dept Comp Sci, Oxford OX1 3LB, England; [Byrne, Helen; King, John] Univ Nottingham, Sch Math Sci, Nottingham NG7 2RD, England</t>
  </si>
  <si>
    <t>University of Nottingham; University of Oxford; University of Oxford; University of Oxford; University of Nottingham</t>
  </si>
  <si>
    <t>Muraro, D (corresponding author), Univ Nottingham, Ctr Plant Integrat Biol, Sch Biosci, Sutton Bonington Campus, Loughborough LE12 5RD, Leics, England.</t>
  </si>
  <si>
    <t>Daniele.Muraro@ndm.ox.ac.uk; Ute.Voss@nottingham.ac.uk; Michael.Wilson@nottingham.ac.uk; Malcolm.Bennett@nottingham.ac.uk; Helen.Byrne@maths.ox.ac.uk; Ive.DeSmet@nottingham.ac.uk; Charlie.Hodgman@nottingham.ac.uk; John.King@nottingham.ac.uk</t>
  </si>
  <si>
    <t>Hodgman, Charlie/AAF-2405-2020; De Smet, Ive/A-6583-2011; Voss, Ute/X-3755-2019; De Smet, Ive/E-6086-2011; Bennett, Malcolm/G-4004-2010</t>
  </si>
  <si>
    <t>Hodgman, Charlie/0000-0001-5862-8296; De Smet, Ive/0000-0003-4607-8893; Voss, Ute/0000-0003-2124-9334; De Smet, Ive/0000-0003-4607-8893; Wilson, Michael/0000-0002-6323-6059; King, John/0000-0002-6228-8375; Byrne, Helen/0000-0003-1771-5910; Bennett, Malcolm/0000-0003-0475-390X</t>
  </si>
  <si>
    <t>Biotechnology and Biological Research Council; Engineering and Sciences Research Council; King Abdullah University of Science and Technology (KAUST) [KUK-013-04]; BBSRC [BB_BB/H022457/1]; Marie Curie European Reintegration grant [PERG06-GA-2009-256354]; Royal Society; Wolfson Foundation; BBSRC [BB/G023972/1, BB/D019613/1, BB/H020314/1, BB/H022457/1, BB/J009717/1] Funding Source: UKRI; Biotechnology and Biological Sciences Research Council [BB/D019613/1, BB/H022457/1, BB/H020314/1, BB/J009717/1, BB/G023972/1] Funding Source: researchfish</t>
  </si>
  <si>
    <t>Biotechnology and Biological Research Council(UK Research &amp; Innovation (UKRI)Biotechnology and Biological Sciences Research Council (BBSRC)); Engineering and Sciences Research Council(UK Research &amp; Innovation (UKRI)Engineering &amp; Physical Sciences Research Council (EPSRC)); King Abdullah University of Science and Technology (KAUST)(King Abdullah University of Science &amp; Technology); BBSRC(UK Research &amp; Innovation (UKRI)Biotechnology and Biological Sciences Research Council (BBSRC)); Marie Curie European Reintegration grant(European Union (EU)); Royal Society(Royal Society); Wolfson Foundation; BBSRC(UK Research &amp; Innovation (UKRI)Biotechnology and Biological Sciences Research Council (BBSRC)); Biotechnology and Biological Sciences Research Council(UK Research &amp; Innovation (UKRI)Biotechnology and Biological Sciences Research Council (BBSRC))</t>
  </si>
  <si>
    <t>The authors gratefully acknowledge the Biotechnology and Biological Research Council and the Engineering and Sciences Research Council for financial support as part of the CISB Programme Award to CPIB. The work of H. Byrne was supported in part by Award No. KUK-013-04, made by the King Abdullah University of Science and Technology (KAUST). I. De Smet was supported by a BBSRC David Phillips Fellowship (BB_BB/H022457/1) and a Marie Curie European Reintegration grant (PERG06-GA-2009-256354). J.R. King gratefully acknowledges the funding of the Royal Society and Wolfson Foundation. The authors also thank Kim Kenobi for helpful comments.</t>
  </si>
  <si>
    <t>1545-5963</t>
  </si>
  <si>
    <t>1557-9964</t>
  </si>
  <si>
    <t>IEEE ACM T COMPUT BI</t>
  </si>
  <si>
    <t>IEEE-ACM Trans. Comput. Biol. Bioinform.</t>
  </si>
  <si>
    <t>Biochemical Research Methods; Computer Science, Interdisciplinary Applications; Mathematics, Interdisciplinary Applications; Statistics &amp; Probability</t>
  </si>
  <si>
    <t>Biochemistry &amp; Molecular Biology; Computer Science; Mathematics</t>
  </si>
  <si>
    <t>151RG</t>
  </si>
  <si>
    <t>WOS:000319477300006</t>
  </si>
  <si>
    <t>Kordshouli, HAR; Maleki, B</t>
  </si>
  <si>
    <t>Kordshouli, Habib Allah Ranaei; Maleki, Bahareh</t>
  </si>
  <si>
    <t>Entrepreneurship motivation and institutions: system dynamics and scenario planning</t>
  </si>
  <si>
    <t>JOURNAL OF GLOBAL ENTREPRENEURSHIP RESEARCH</t>
  </si>
  <si>
    <t>Entrepreneurship motivation index; Necessity motivation; Opportunity motivation; Scenario planning; System dynamics</t>
  </si>
  <si>
    <t>FORMAL INSTITUTIONS; LEVEL; OPPORTUNITY; NECESSITY; GROWTH</t>
  </si>
  <si>
    <t>So far, few empirical studies have tried to investigate the relationship of bilateral causality between entrepreneurial motivations and institutions. Indeed, researchers have not paid due attention to complexities such as the subsystems of entrepreneurship, institutional factors, and feedbacks within and between them. Similarly, the dynamics, or the changes in the variables of the two subsystems in the long run, and the uncertainties of the entrepreneurial ecosystem have remained neglected. Considering these gaps, this research seeks to detect the institutional factors that influence the index of entrepreneurial motivation (i.e., opportunity/necessity-based entrepreneurship ratio) in possible futures through strategic scenarios derived from the key uncertainties in the Iranian entrepreneurial ecosystem. To achieve the goal, this study utilizes system dynamics as a method to provide a systemic model for the Iranian entrepreneurial ecosystem and its effects on the motivation index. The data required for the model are collected from various international reports in the period of 2008-2018. After the key uncertainties are identified through scenario planning, the causal relationships between the variables are designed and simulated by the Vensim DSS software. Once the model performance is ensured, it is simulated in four strategic scenarios obtained from a combination of corruption and country risk as two possible situations of uncertainty. Then, in more probable scenarios, the factors with long-term effects on the motivation index are identified. As the results suggest, institutional factors such as business freedom, technology transfer, competition quality, and government effectiveness can improve the index of entrepreneurial motivation. Moreover, this index is involved in the process of institutional changes.</t>
  </si>
  <si>
    <t>[Kordshouli, Habib Allah Ranaei; Maleki, Bahareh] Shiraz Univ, Fac Econ Management &amp; Social Sci, Shiraz, Iran</t>
  </si>
  <si>
    <t>Shiraz University</t>
  </si>
  <si>
    <t>Maleki, B (corresponding author), Shiraz Univ, Fac Econ Management &amp; Social Sci, Shiraz, Iran.</t>
  </si>
  <si>
    <t>ranaei@shirazu.ac.ir; itm.maleki@yahoo.com</t>
  </si>
  <si>
    <t>SPRINGEROPEN</t>
  </si>
  <si>
    <t>CAMPUS, 4 CRINAN ST, LONDON, GWENT N1 9XW, ENGLAND</t>
  </si>
  <si>
    <t>2228-7566</t>
  </si>
  <si>
    <t>2251-7316</t>
  </si>
  <si>
    <t>J GLOB ENTREP RES</t>
  </si>
  <si>
    <t>J. Glob. Entrep. Res.</t>
  </si>
  <si>
    <t>10.1007/s40497-023-00348-2</t>
  </si>
  <si>
    <t>N9UP9</t>
  </si>
  <si>
    <t>WOS:001040380500001</t>
  </si>
  <si>
    <t>Shabbir, A; Kumar, A; Mesman, B; Corporaal, H</t>
  </si>
  <si>
    <t>Najjar, W; Schulte, MJ</t>
  </si>
  <si>
    <t>Shabbir, Ahsan; Kumar, Akash; Mesman, Bart; Corporaal, Henk</t>
  </si>
  <si>
    <t>Performance Evaluation of Concurrently Executing Parallel Applications on Multi-Processor Systems</t>
  </si>
  <si>
    <t>2009 INTERNATIONAL CONFERENCE ON EMBEDDED COMPUTER SYSTEMS: ARCHITECTURES, MODELING AND SIMULATION, PROCEEDINGS</t>
  </si>
  <si>
    <t>International Conference on Embedded Computer Systems -Architectures, Modeling and Simulation</t>
  </si>
  <si>
    <t>JUL 20-23, 2009</t>
  </si>
  <si>
    <t>Samos, GREECE</t>
  </si>
  <si>
    <t>IEEE Circuits &amp; Syst Soc,IEEE German Chapter,Solid State Circuits Soc,IEEE</t>
  </si>
  <si>
    <t>PDES; Simulation; FPGAs; Performance Evaluation; DSE</t>
  </si>
  <si>
    <t>Multi-processors are increasingly being used in modern embedded systems for reasons of power and speed. These systems have to support a large number of applications and standards, in different combinations, called use-cases. The key challenges are designing efficient systems handling all these use-cases; this requires fast exploration of software and hardware alternatives with accurate performance evaluation. In this paper, we present a system-level FPGA-based simulation methodology for performance evaluation of applications on multiprocessor platforms. We observe that for multiple applications sharing an MPSoC platform, dynamic arbitration can cause deadlock in simulation. We use conservative Parallel Discrete Event Simulation (PDES) for simulation of these use-cases. We further note that conservative PDES is inefficient so we present a new PDES methodology that avoids causality errors by detecting them in advance. We call our new approach as smart conservative PDES. It is scalable in the number of use-cases and number of simulated processors and is 15% faster than conservative PDES. We further present results of a case-study of two real life applications. We used our simulation technique to do a design space exploration for optimal buffer space for JPEG and H263 decoders.</t>
  </si>
  <si>
    <t>[Shabbir, Ahsan; Kumar, Akash; Mesman, Bart; Corporaal, Henk] Eindhoven Univ Technol, NL-5600 MB Eindhoven, Netherlands</t>
  </si>
  <si>
    <t>Eindhoven University of Technology</t>
  </si>
  <si>
    <t>Shabbir, A (corresponding author), Eindhoven Univ Technol, POB 513, NL-5600 MB Eindhoven, Netherlands.</t>
  </si>
  <si>
    <t>a.shabbir@tue.nl; a.kumar@tue.nl; b.mesman@tue.nl; h.corporaal@tue.nl</t>
  </si>
  <si>
    <t>Kumar, Akash/JDM-8672-2023; Kumar, Akash/KHU-7452-2024; Kumar, Akash/ABB-4676-2020</t>
  </si>
  <si>
    <t>Kumar, Akash/0000-0001-7125-1737; Kumar, Akash/0000-0001-7125-1737</t>
  </si>
  <si>
    <t>978-1-4244-4501-1</t>
  </si>
  <si>
    <t>BOE37</t>
  </si>
  <si>
    <t>WOS:000276377000013</t>
  </si>
  <si>
    <t>Mitrovic, ZM; Rakicevic, AM; Petrovic, DC; Mihic, MM; Rakicevic, JD; Jelisic, ET</t>
  </si>
  <si>
    <t>Mitrovic, Zorica M.; Rakicevic, Aleksandar M.; Petrovic, Dejan C.; Mihic, Marko M.; Rakicevic, Jovana D.; Jelisic, Elena T.</t>
  </si>
  <si>
    <t>Software; Predictive models; Stakeholders; Project management; Artificial neural networks; Systems thinking; Complexity theory; Artificial neural networks; critical success factors; project success; prediction models; systems thinking</t>
  </si>
  <si>
    <t>CRITICAL SUCCESS FACTORS; BIG DATA; MANAGEMENT; MODEL; AGILE; PREDICTION; REGRESSION; DURATION; INTELLIGENCE; COST</t>
  </si>
  <si>
    <t>The authors discuss why the current conceptual base of project management research and practice continues to attract criticism since it does not adequately address the complexity that leads to software-project failure. To do so, the study explores systems thinking and artificial neural networks to shed light on complexity in software-project behavior using nonlinear functional relationships between critical success factors and project success to utilize their connectedness as an approach in order to create project-outcome prediction models. The artificial neural networks were used to create two project-outcome prediction models: one for a binary classification task to discriminate failed from successful projects using a multi-input-single-output configuration and one for a multi-task binary classification to discriminate success from failure in multiple project-success dimensions using a multi-input multi-output configuration. The results yielded high-performance values for a binary classification task, performed to predict overall project success, and slightly lower performance values for the multi-task binary classification, which was also performed to predict success in project-success dimensions. It was found that the nonlinear behavior of critical success factors may be used to create prediction models, by embedding equifinality and connectedness constructs that prove to be useful to understand projects as complex, multi-loop, and nonlinear systems. Further research is needed to investigate the causality between critical success factors in order to explore the possible propagation of critical success factors within a project system network and its implications on project success.</t>
  </si>
  <si>
    <t>[Mitrovic, Zorica M.; Rakicevic, Aleksandar M.; Petrovic, Dejan C.; Mihic, Marko M.; Rakicevic, Jovana D.; Jelisic, Elena T.] Univ Belgrade, Fac Org Sci, Belgrade 11000, Serbia</t>
  </si>
  <si>
    <t>University of Belgrade</t>
  </si>
  <si>
    <t>Mitrovic, ZM (corresponding author), Univ Belgrade, Fac Org Sci, Belgrade 11000, Serbia.</t>
  </si>
  <si>
    <t>zorica.mitrovic@fon.bg.ac.rs</t>
  </si>
  <si>
    <t>Jelisic, Elena/AAD-3839-2022; Rakićević, Aleksandar/AAE-7433-2022; Li, Meng/JRY-4275-2023; Petrovic, Dejan/GYU-4991-2022; Rakicevic, Jovana/HGC-0105-2022; Mitrovic, Zorica/GNM-9188-2022; Mihic, Marko/AAE-6876-2022</t>
  </si>
  <si>
    <t>Rakićević, Aleksandar/0000-0002-8917-7229; Petrovic, Dejan/0000-0001-6900-8842; Mihic, Marko/0000-0003-3994-2268; Jelisic, Elena/0000-0002-4294-8313; Mitrovic, Zorica/0000-0001-9185-2652; Rakicevic, Jovana/0000-0003-0477-193X</t>
  </si>
  <si>
    <t>PD9BI</t>
  </si>
  <si>
    <t>WOS:000597970800001</t>
  </si>
  <si>
    <t>Egan, P; Schunn, C; Cagan, J; Leduc, P</t>
  </si>
  <si>
    <t>Egan, Paul; Schunn, Christian; Cagan, Jonathan; Leduc, Philip</t>
  </si>
  <si>
    <t>DESIGN SCIENCE</t>
  </si>
  <si>
    <t>cognition; multi-level; complexity; biology; user interface</t>
  </si>
  <si>
    <t>SYNTHETIC BIOLOGY; EDUCATION</t>
  </si>
  <si>
    <t>Complex systems are challenging to design, particularly when they contain multi-level organizations with non-obvious relationships among design components. Here, we investigate engineering students' capacity to search for optimal nanoscale biosystem designs with stochastic component and system behaviors. The study aims to characterize information types that facilitate human learning and improve their complex system understanding and design proficiency. It is hypothesized that learning parametric system relationships and/or inter-level causal mechanisms improves design proficiency; these relationships and mechanisms are teachable through software interfaces. Two contrasting learning/design interfaces were developed that presented differing information types: an interface with performance charts that emphasized parametric relationship learning and an interface with agent-based animations that emphasized inter-level causality learning. Users improved on pre-/post-learning design tasks with both interfaces; users who demonstrated inter-level causal relationship understanding, which occurred primarily with the animation interface, had greater improvement. All users were then presented contrasting animations of systems with opposing emergent behaviors, resulting in many more participants demonstrating an understanding of inter-level causal behaviors. These findings reveal the difficulties in understanding and designing multi-level systems and that interactive software tools may convey crucial information that supports engineering design, particularly with respect to the development of reasoning skills for how system components relate across levels.</t>
  </si>
  <si>
    <t>[Egan, Paul] Swiss Fed Inst Technol, Dept Mech &amp; Proc Engn, CH-8092 Zurich, Switzerland; [Egan, Paul; Cagan, Jonathan; Leduc, Philip] Carnegie Mellon Univ, Dept Mech Engn, Pittsburgh, PA 15213 USA; [Schunn, Christian] Univ Pittsburgh, Dept Psychol, Pittsburgh, PA 15260 USA</t>
  </si>
  <si>
    <t>Swiss Federal Institutes of Technology Domain; ETH Zurich; Carnegie Mellon University; Pennsylvania Commonwealth System of Higher Education (PCSHE); University of Pittsburgh</t>
  </si>
  <si>
    <t>Egan, P (corresponding author), Swiss Fed Inst Technol, Dept Mech &amp; Proc Engn, CH-8092 Zurich, Switzerland.</t>
  </si>
  <si>
    <t>pegan@ethz.ch</t>
  </si>
  <si>
    <t>Egan, Paul Francis/E-1599-2013; Schunn, Christian D./H-2468-2011; LeDuc, Philip/HNQ-6854-2023</t>
  </si>
  <si>
    <t>Egan, Paul Francis/0000-0003-1252-5819; Schunn, Christian D./0000-0003-3589-297X; Leduc, Philip/0000-0002-5342-8567; Cagan, Jonathan/0000-0002-3935-9219</t>
  </si>
  <si>
    <t>32 AVENUE OF THE AMERICAS, NEW YORK, NY 10013-2473 USA</t>
  </si>
  <si>
    <t>2053-4701</t>
  </si>
  <si>
    <t>DES SCI</t>
  </si>
  <si>
    <t>DES. SCI.</t>
  </si>
  <si>
    <t>e3</t>
  </si>
  <si>
    <t>Engineering, Manufacturing</t>
  </si>
  <si>
    <t>V33XC</t>
  </si>
  <si>
    <t>Green Published, gold, Green Submitted</t>
  </si>
  <si>
    <t>WOS:000215797100003</t>
  </si>
  <si>
    <t>Hribar, N; Simic, G; Vukadinovic, S; Sprajc, P</t>
  </si>
  <si>
    <t>Hribar, Nena; Simic, Goran; Vukadinovic, Simonida; Sprajc, Polona</t>
  </si>
  <si>
    <t>Decision-making in sustainable energy transition in Southeastern Europe: probabilistic network-based model</t>
  </si>
  <si>
    <t>ENERGY SUSTAINABILITY AND SOCIETY</t>
  </si>
  <si>
    <t>Sustainable energy transition; SE Europe; Decision-making; Bayesian networks</t>
  </si>
  <si>
    <t>DEVELOPMENT GOALS</t>
  </si>
  <si>
    <t>Background Sustainable energy transition of a country is complex and long-term process, which requires decision-making in all stages and at all levels, including a large number of different factors, with different causality. The main objective of this paper is the development of a probabilistic model for decision-making in sustainable energy transition in developing countries of SE Europe. The model will be developed according to the specificities of the countries for which it is intended-SE Europe. These are countries where energy transition is slower and more difficult due to many factors: high degree of uncertainty, low transparency, corruption, investment problems, insufficiently reliable data, lower level of economic development, high level of corruption and untrained human resources. All these factors are making decision-making more challenging and demanding. Methods Research was done by using content analysis, artificial intelligence methods, software development method and testing. The model was developed by using MSBNx-Microsoft Research's Bayesian Network Authoring and Evaluation Tool. Results Due to the large number of insufficiently clear, but interdependent factors, the model is developed on the principle of probabilistic (Bayesian) networks of factors of interest. The paper presents the first model for supporting decision-making in the field of energy sustainability for the region of Southeastern Europe, which is based on the application of Bayesian Networks. Conclusion Testing of the developed model showed certain characteristics, discussed in paper. The application of developed model will make it possible to predict the short-term and long-term consequences that may occur during energy transition by varying these factors. Recommendations are given for further development of the model, based on Bayesian networks.</t>
  </si>
  <si>
    <t>[Hribar, Nena] Iskra Emeco Dd, Sayska Loka 4, Kranj 4000, Slovenia; [Simic, Goran] Univ Def Belgrade, Belgrade, Serbia; [Vukadinovic, Simonida] Univ Educons, Fac Business Econ, Dept Econ &amp; Finance, Vojvode Putnika 87, Sremska Kamenica, Serbia; [Sprajc, Polona] Univ Maribor, Fac Org Sci, Dept Org &amp; Management, Kidriceva Cesta 55a, Kranj, Slovenia</t>
  </si>
  <si>
    <t>University of Maribor</t>
  </si>
  <si>
    <t>Simic, G (corresponding author), Univ Def Belgrade, Belgrade, Serbia.</t>
  </si>
  <si>
    <t>gshimic@gmail.com</t>
  </si>
  <si>
    <t>Ministry of Education, Science and Technological Development [MTR44007III]; Slovenian Research Agency [P5-0018]</t>
  </si>
  <si>
    <t>Ministry of Education, Science and Technological Development; Slovenian Research Agency(Slovenian Research Agency - Slovenia)</t>
  </si>
  <si>
    <t>Research presented in this manuscript is partially supported by the Ministry of Education, Science and Technological Development under the project MTR44007III. Slovenian Research Agency: Program No. P5-0018-Decision Support Systems in Digital Business.</t>
  </si>
  <si>
    <t>2192-0567</t>
  </si>
  <si>
    <t>ENERGY SUSTAIN SOC</t>
  </si>
  <si>
    <t>Energy Sustain. Soc.</t>
  </si>
  <si>
    <t>OCT 29</t>
  </si>
  <si>
    <t>10.1186/s13705-021-00315-3</t>
  </si>
  <si>
    <t>Green &amp; Sustainable Science &amp; Technology; Energy &amp; Fuels</t>
  </si>
  <si>
    <t>Science &amp; Technology - Other Topics; Energy &amp; Fuels</t>
  </si>
  <si>
    <t>WP0HH</t>
  </si>
  <si>
    <t>WOS:000712823200001</t>
  </si>
  <si>
    <t>Colaço, JL; Pagano, B; Pasteur, C; Pouzet, M</t>
  </si>
  <si>
    <t>Colaco, Jean-Louis; Pagano, Bruno; Pasteur, Cedric; Pouzet, Marc</t>
  </si>
  <si>
    <t>Scade 6: from a Kahn Semantics to a Kahn Implementation for Multicore</t>
  </si>
  <si>
    <t>PROCEEDINGS OF THE 2018 FORUM ON SPECIFICATION &amp; DESIGN LANGUAGES (FDL)</t>
  </si>
  <si>
    <t>SEP 10-12, 2018</t>
  </si>
  <si>
    <t>Inst Elect &amp; Elect Engineers,IEEE Council Elect Design Automat,IFIP Working Grp 10 5 Design &amp; Engn Elect Syst,Tech Univ Munich, Inst Adv Study,Univ Verona, Dept Comp Sci</t>
  </si>
  <si>
    <t>synchronous languages; compiler; multi-core</t>
  </si>
  <si>
    <t>PROGRAMMING LANGUAGE</t>
  </si>
  <si>
    <t>SCADE is an environment for developing critical embedded software that is used for more than twenty years in various application domains like avionics, nuclear plants, transportation, automotive. It comes with a language and a code generator which complies with the highest safety standards like DO-178C, IEC 61508, EN 50128, IEC 60880 and ISO 26262. The language has been founded on the pioneering work by Caspi and Halbwachs on Lustre. In 2008, a major revision of the language and compiler, named 'Scade 6', was released. One of its novelty was a smooth integration of the traditional data flow style of Lustre with control-structures inspired from those of Esterel and SyncCharts, with static/dynamic semantics and a compilation inspired from Lucid Synchrone. In particular, it relies on four dedicated type systems typing, clock calculus, causality analysis, initialization analysis and a compilation through source-to-source transformations into a minimal clocked data-flow language, based on a Kahn semantics, that is translated to imperative code. One ongoing work is the generation of code for multi-core architectures. Because of the intrinsic deterministic parallelism of Scade, we propose a solution that relies on annotations that specify what must be executed concurrently but do not change the semantics. The paper is a survey of past to ongoing work on Scade 6 language definition and implementation.</t>
  </si>
  <si>
    <t>[Colaco, Jean-Louis; Pagano, Bruno; Pasteur, Cedric] ANSYS SBU, Toulouse, France; [Pouzet, Marc] Ecole Normale Super, Paris, France</t>
  </si>
  <si>
    <t>Ansys, Inc.; Ansys France; Universite PSL; Ecole Normale Superieure (ENS)</t>
  </si>
  <si>
    <t>Colaço, JL (corresponding author), ANSYS SBU, Toulouse, France.</t>
  </si>
  <si>
    <t>Jean-Louis.Colaco@ansys.com; Bruno.Pagano@ansys.com; Cedric.Pasteur@ansys.com; Marc.Pouzet@ens.fr</t>
  </si>
  <si>
    <t>978-1-5386-6418-6</t>
  </si>
  <si>
    <t>BO6DN</t>
  </si>
  <si>
    <t>WOS:000519731400009</t>
  </si>
  <si>
    <t>Huang, JS; Huan, J; Tropsha, A; Dang, JB; Zhang, H; Xiong, M</t>
  </si>
  <si>
    <t>Li, GZ; Kim, S; Hughes, M; McLachlan, G; Sun, H; Hu, X; Ressom, H; Liu, B; Liebman, M</t>
  </si>
  <si>
    <t>Huang, Jingshan; Huan, Jun; Tropsha, Alexander; Dang, Jiangbo; Zhang, He; Xiong, Min</t>
  </si>
  <si>
    <t>Semantics-Driven Frequent Data Pattern Mining on Electronic Health Records for Effective Adverse Drug Event Monitoring</t>
  </si>
  <si>
    <t>2013 IEEE INTERNATIONAL CONFERENCE ON BIOINFORMATICS AND BIOMEDICINE (BIBM)</t>
  </si>
  <si>
    <t>IEEE International Conference on Bioinformatics and Biomedicine-BIBM</t>
  </si>
  <si>
    <t>IEEE International Conference on Bioinformatics and Biomedicine (IEEE BIBM)</t>
  </si>
  <si>
    <t>DEC 18-21, 2013</t>
  </si>
  <si>
    <t>IEEE,IEEE Comp Soc,Tongji Univ,IEEE Comp Soc Tech Comm Life Sci,China Acad Chinese Med Sci,Shanghai Assoc Syst Simulat</t>
  </si>
  <si>
    <t>EHR mining; ADE monitoring; semantics-driven frequent data pattern mining</t>
  </si>
  <si>
    <t>HOSPITALIZED-PATIENTS; METAANALYSIS; ADMISSIONS; COSTS</t>
  </si>
  <si>
    <t>Continued surveillance of post-marketing Adverse Drug Events (ADEs) is considered essential for patient safety, and Electronic Health Records (EHRs) serve as a critical source for identifying relevant information. But effective EHR knowledge discovery and data mining is not trivial because involved data usually have significantly different semantics among each other. Semantic technologies are believed to greatly assist in this regard; unfortunately, semantic technologies and conventional data mining remain largely separate disciplines, and the fusion of these two disciplines is still in its infancy. This position paper explores two semantics-driven frequent data pattern mining algorithms for EHR knowledge discovery, aiming at more effective ADE monitoring in a population. By effectively utilizing human knowledge formally encoded in EHR domain ontologies, our proposed algorithms will enhance the identification of the drug ADE causality out of large amounts of heterogeneous data sets. Through mining a large corpus of representative EHRs at semantic level, we will be able to compile a comprehensive list of ADE endpoints by obtaining critical, but originally hidden and implicit, frequent data patterns. Ultimately, our software to be developed will significantly facilitate effective ADE monitoring and prediction. Moreover, our research is expected to produce broader impacts on the pharmaceutical industry by reducing the R &amp; D cost for new drug discovery and on transforming current pharmacovigilance methods to reduce adverse events and hence improve human health.</t>
  </si>
  <si>
    <t>[Huang, Jingshan; Zhang, He; Xiong, Min] Univ S Alabama, Sch Comp, Mobile, AL 36688 USA; [Huan, Jun] Univ Kansas, Sch Engn, Lawrence, KS 66047 USA; [Tropsha, Alexander] Univ N Carolina, Sch Pharm, Chapel Hill, NC 27599 USA; [Dang, Jiangbo] Siemens Corp, Corp Technol, Princeton, NJ 08540 USA</t>
  </si>
  <si>
    <t>University of South Alabama; University of Kansas; University of North Carolina; University of North Carolina Chapel Hill; Siemens AG</t>
  </si>
  <si>
    <t>Huang, JS (corresponding author), Univ S Alabama, Sch Comp, Mobile, AL 36688 USA.</t>
  </si>
  <si>
    <t>huang@southalabama.edu; jhuan@ittc.ku.edu; alex_tropsha@unc.edu; jiangbo.dang@siemens.com; hz1101@jagmail.southalabama.edu; mx1201@jagmail.southalabama.edu</t>
  </si>
  <si>
    <t>Huan, Jun/A-1007-2015; Tropsha, Alexander/AAB-8324-2020</t>
  </si>
  <si>
    <t>2156-1125</t>
  </si>
  <si>
    <t>2156-1133</t>
  </si>
  <si>
    <t>978-1-4799-1309-1; 978-1-4799-1310-7</t>
  </si>
  <si>
    <t>IEEE INT C BIOINFORM</t>
  </si>
  <si>
    <t>Computer Science, Interdisciplinary Applications; Mathematical &amp; Computational Biology</t>
  </si>
  <si>
    <t>Computer Science; Mathematical &amp; Computational Biology</t>
  </si>
  <si>
    <t>BB9FD</t>
  </si>
  <si>
    <t>WOS:000348252400120</t>
  </si>
  <si>
    <t>Ungureanu, G; Jordao, R; Sander, I</t>
  </si>
  <si>
    <t>Ungureanu, George; Jordao, Rodolfo; Sander, Ingo</t>
  </si>
  <si>
    <t>PROCEEDINGS OF THE 2020 FORUM FOR SPECIFICATION AND DESIGN LANGUAGES (FDL)</t>
  </si>
  <si>
    <t>International Forum on Design Languages</t>
  </si>
  <si>
    <t>Forum for Specification and Design Languages (FDL)</t>
  </si>
  <si>
    <t>SEP 15-17, 2020</t>
  </si>
  <si>
    <t>Kiel, GERMANY</t>
  </si>
  <si>
    <t>Inst Elect &amp; Elect Engineers,IEEE Council Elect Design Automat,IFIP Working Grp 10 5 Design &amp; Engn Elect Syst,Scheidt &amp; Bachmann Syst Technik GmbH,Dr Werner Petersen Fdn,Kiel Univ,Univ Verona, Dept Comp Sci</t>
  </si>
  <si>
    <t>models of computation; parallel simulation; dataflow; discrete event systems</t>
  </si>
  <si>
    <t>The shift towards parallel computing witnessed since the turn of this century has forced us to rethink traditional software design paradigms to better utilize resources. Yet, the simulation of time-aware systems remains a challenging topic due to the inherent semantics of time and causality whose consistency needs to be controlled, traditionally in form of a global event queue, limiting the potential for parallel exploitation. We propose a rehash of this problem by tackling it from a different modeling perspective, one which is able to express concurrency more naturally, i.e. dataflow (DF) models of computation (MoCs). By abstracting time aspects as an algebra hosted on a pure DF MoC, we are able to apply recent results from MoC theory not only for the purpose of describing deterministic behaviors for distributed timed systems, but also to overcome the existing limitations of timed execution in order to increase a simulation model's performance. We use a well-known example of a deadlock-prone distributed discrete event system as a driver to introduce the modeling concepts and show their potential for parallelism.</t>
  </si>
  <si>
    <t>[Ungureanu, George; Jordao, Rodolfo; Sander, Ingo] KTH Royal Inst Technol, Sch EECS, Stockholm, Sweden</t>
  </si>
  <si>
    <t>Royal Institute of Technology</t>
  </si>
  <si>
    <t>Ungureanu, G (corresponding author), KTH Royal Inst Technol, Sch EECS, Stockholm, Sweden.</t>
  </si>
  <si>
    <t>ugeorge@kth.se; jordao@kth.se; ingo@kth.se</t>
  </si>
  <si>
    <t>UNGUREANU, George/JEP-3348-2023</t>
  </si>
  <si>
    <t>Swedish Governmental Agency for Innovation Systems, NFFP7 project: Correct by construction design methodology [2017-04892]; Vinnova [2017-04892] Funding Source: Vinnova</t>
  </si>
  <si>
    <t>Swedish Governmental Agency for Innovation Systems, NFFP7 project: Correct by construction design methodology(Vinnova); Vinnova(Vinnova)</t>
  </si>
  <si>
    <t>This research was partially funded by the Swedish Governmental Agency for Innovation Systems, NFFP7 project: Correct by construction design methodology #2017-04892.</t>
  </si>
  <si>
    <t>1636-9874</t>
  </si>
  <si>
    <t>978-1-7281-8928-4</t>
  </si>
  <si>
    <t>INT FORUM DES LANG</t>
  </si>
  <si>
    <t>10.1109/fdl50818.2020.9232931</t>
  </si>
  <si>
    <t>Computer Science, Hardware &amp; Architecture; Computer Science, Software Engineering; Engineering, Electrical &amp; Electronic</t>
  </si>
  <si>
    <t>BT1UJ</t>
  </si>
  <si>
    <t>WOS:000803059600001</t>
  </si>
  <si>
    <t>Al-Sabbagh, KW; Staron, M; Hebig, R</t>
  </si>
  <si>
    <t>Al-Sabbagh, Khaled Walid; Staron, Miroslaw; Hebig, Regina</t>
  </si>
  <si>
    <t>Class noise; Attribute noise; Test case selection</t>
  </si>
  <si>
    <t>Big data and machine learning models have been increasingly used to support software engineering processes and practices. One example is the use of machine learning models to improve test case selection in continuous integration. However, one of the challenges in building such models is the large volume of noise that comes in data, which impedes their predictive performance. In this paper, we address this issue by studying the effect of two types of noise, called class and attribute, on the predictive performance of a test selection model. For this purpose, we analyze the effect of class noise by using an approach that relies on domain knowledge for relabeling contradictory entries and removing duplicate ones. Thereafter, an existing approach from the literature is used to experimentally study the effect of attribute noise removal on learning. The analysis results show that the best learning is achieved when training a model on class-noise cleaned data only - irrespective of attribute noise. Specifically, the learning performance of the model reported 81% precision, 87% recall, and 84% f-score compared with 44% precision, 17% recall, and 25% f-score for a model built on uncleaned data. Finally, no causality relationship between attribute noise removal and the learning of a model for test case selection was drawn. (C) 2021 The Author(s). Published by Elsevier Inc.</t>
  </si>
  <si>
    <t>[Al-Sabbagh, Khaled Walid; Staron, Miroslaw; Hebig, Regina] Chalmers Univ Gothenburg, Gothenburg, Sweden</t>
  </si>
  <si>
    <t>Chalmers University of Technology</t>
  </si>
  <si>
    <t>Al-Sabbagh, KW (corresponding author), Chalmers Univ Gothenburg, Gothenburg, Sweden.</t>
  </si>
  <si>
    <t>khaled.al-sabbagh@gu.se; miroslaw.staron@gu.se; regina.hebig@gu.se</t>
  </si>
  <si>
    <t>Hebig, Regina/B-5284-2015</t>
  </si>
  <si>
    <t>Al-Sabbagh, Khaled/0000-0003-2571-5099</t>
  </si>
  <si>
    <t>WR5FG</t>
  </si>
  <si>
    <t>WOS:000714524600008</t>
  </si>
  <si>
    <t>Celse, B; Cauvin, S; Heim, B; Gentil, S; Travé-Massuyès, L</t>
  </si>
  <si>
    <t>Model based diagnostic module for a FCC pilot plant</t>
  </si>
  <si>
    <t>OIL AND GAS SCIENCE AND TECHNOLOGY-REVUE D IFP ENERGIES NOUVELLES</t>
  </si>
  <si>
    <t>FAULT-DIAGNOSIS; SYSTEMS</t>
  </si>
  <si>
    <t>This paper presents a diagnostic module developed by IFP and tested off-line on a FCC (Fluid Catalytic Cracking) pilot plant. The method uses four successive complementary techniques. They enable to go step by step from the observations to a sentence in natural language describing the faults. First, a quantitative causal model is elaborated from a quantitative behavioural model. Causality is obtained from the structure of each equation. Then, global and local alarms are generated using residuals (differences between measures and outputs of the model) and fuzzy logic reasoning. Then, a hitting set algorithm is applied to determine sets of components or equipment which are suspected to have an abnormal behaviour. Finally, expert human operator knowledge about those components is used to identify the fault(s) and produce messages for the operators. This software is currently tested off-line on the FCC pilot plant at IFP The performance of the diagnostic module is illustrated on four practical scenarios of abnormal behaviour. This work is conducted as part of the CHEM EC funding project.</t>
  </si>
  <si>
    <t>IFP Lyon, F-69390 Vernaison, France; IFP Energies Nouvelles, F-92852 Rueil Malmaison, France; LAG, F-38402 St Martin Dheres, France; CNRS, LAAS, F-31077 Toulouse, France</t>
  </si>
  <si>
    <t>IFP Energies Nouvelles; IFP Energies Nouvelles; Centre National de la Recherche Scientifique (CNRS)</t>
  </si>
  <si>
    <t>Celse, B (corresponding author), IFP Lyon, BP 3, F-69390 Vernaison, France.</t>
  </si>
  <si>
    <t>benoit.celse@ifp.fr; sylvie.cauvin@ifp.fr; sylviane.gentil@inpg.fr; louise@laas.fr</t>
  </si>
  <si>
    <t>Math et Info, Direction Math/C-1462-2013</t>
  </si>
  <si>
    <t>EDP SCIENCES S A</t>
  </si>
  <si>
    <t>LES ULIS CEDEX A</t>
  </si>
  <si>
    <t>17, AVE DU HOGGAR, PA COURTABOEUF, BP 112, F-91944 LES ULIS CEDEX A, FRANCE</t>
  </si>
  <si>
    <t>1294-4475</t>
  </si>
  <si>
    <t>1953-8189</t>
  </si>
  <si>
    <t>OIL GAS SCI TECHNOL</t>
  </si>
  <si>
    <t>Oil Gas Sci. Technol.</t>
  </si>
  <si>
    <t>10.2516/ogst:2005047</t>
  </si>
  <si>
    <t>Energy &amp; Fuels; Engineering, Chemical; Engineering, Petroleum</t>
  </si>
  <si>
    <t>Energy &amp; Fuels; Engineering</t>
  </si>
  <si>
    <t>973IL</t>
  </si>
  <si>
    <t>WOS:000232516000007</t>
  </si>
  <si>
    <t>Zucco, C; Paglia, C; Graziano, S; Bella, S; Cannataro, M</t>
  </si>
  <si>
    <t>Zucco, Chiara; Paglia, Clarissa; Graziano, Sonia; Bella, Sergio; Cannataro, Mario</t>
  </si>
  <si>
    <t>Sentiment Analysis and Text Mining of Questionnaires to Support Telemonitoring Programs</t>
  </si>
  <si>
    <t>INFORMATION</t>
  </si>
  <si>
    <t>text mining; sentiment analysis; Web-based questionnaire; telemedicine; telemonitoring; telehomecare</t>
  </si>
  <si>
    <t>CYSTIC-FIBROSIS; HOME TELEHEALTH; TELEMEDICINE</t>
  </si>
  <si>
    <t>While several studies have shown how telemedicine and, in particular, home telemonitoring programs lead to an improvement in the patient's quality of life, a reduction in hospitalizations, and lower healthcare costs, different variables may affect telemonitoring effectiveness and purposes. In the present paper, an integrated software system, based on Sentiment Analysis and Text Mining, to deliver, collect, and analyze questionnaire responses in telemonitoring programs is presented. The system was designed to be a complement to home telemonitoring programs with the objective of investigating the paired relationship between opinions and the adherence scores of patients and their changes through time. The novel contributions of the system are: (i) the design and software prototype for the management of online questionnaires over time; and (ii) an analysis pipeline that leverages a sentiment polarity score by using it as a numerical feature for the integration and the evaluation of open-ended questions in clinical questionnaires. The software pipeline was initially validated with a case-study application to discuss the plausibility of the existence of a directed relationship between a score representing the opinion polarity of patients about telemedicine, and their adherence score, which measures how well patients follow the telehomecare program. In this case-study, 169 online surveys sent by 38 patients enrolled in a home telemonitoring program provided by the Cystic Fibrosis Unit at the Bambino Gesu Children's Hospital in Rome, Italy, were collected and analyzed. The experimental results show that, under a Granger-causality perspective, a predictive relationship may exist between the considered variables. If supported, these preliminary results may have many possible implications of practical relevance, for instance the early detection of poor adherence in patients to enable the application of personalized and targeted actions.</t>
  </si>
  <si>
    <t>[Zucco, Chiara; Cannataro, Mario] Magna Graecia Univ Catanzaro, Dept Med &amp; Surg Sci, I-88100 Catanzaro, Italy; [Paglia, Clarissa; Bella, Sergio] Bambino Gesu Pediat Hosp, Unit Cyst Fibrosis, I-00165 Rome, Italy; [Graziano, Sonia] Bambino Gesu Pediat Hosp, Unit Clin Psychol, I-00165 Rome, Italy; [Cannataro, Mario] Magna Graecia Univ Catanzaro, Data Analyt Res Ctr, I-88100 Catanzaro, Italy</t>
  </si>
  <si>
    <t>Magna Graecia University of Catanzaro; IRCCS Bambino Gesu; IRCCS Bambino Gesu; Magna Graecia University of Catanzaro</t>
  </si>
  <si>
    <t>Cannataro, M (corresponding author), Magna Graecia Univ Catanzaro, Dept Med &amp; Surg Sci, I-88100 Catanzaro, Italy.;Cannataro, M (corresponding author), Magna Graecia Univ Catanzaro, Data Analyt Res Ctr, I-88100 Catanzaro, Italy.</t>
  </si>
  <si>
    <t>chiara.zucco@unicz.it; clarissa.paglia@opbg.net; graziano.sonia@gmail.com; sergio.bella@opbg.net; cannataro@unicz.it</t>
  </si>
  <si>
    <t>Cannataro, Mario/B-1503-2012</t>
  </si>
  <si>
    <t>Cannataro, Mario/0000-0003-1502-2387; Zucco, Chiara/0000-0003-0048-0457; bella, sergio/0000-0002-4302-2600; Graziano, Sonia/0000-0002-7478-8414</t>
  </si>
  <si>
    <t>2078-2489</t>
  </si>
  <si>
    <t>Information</t>
  </si>
  <si>
    <t>PJ8AL</t>
  </si>
  <si>
    <t>WOS:000601983100001</t>
  </si>
  <si>
    <t>Moulay, M; Leiva, RG; Maroni, PJR; Diez, F; Mancuso, V; Anta, AF</t>
  </si>
  <si>
    <t>Moulay, Mohamed; Leiva, Rafael Garcia; Maroni, Pablo J. Rojo; Diez, Fernando; Mancuso, Vincenzo; Anta, Antonio Fernandez</t>
  </si>
  <si>
    <t>COMPUTER COMMUNICATIONS</t>
  </si>
  <si>
    <t>Troubleshooting; Anomaly detection; Feature selection; Interpretable machine learning</t>
  </si>
  <si>
    <t>INFORMATION; DIAGNOSIS; FRAMEWORK</t>
  </si>
  <si>
    <t>Leveraging machine learning (ML) for the detection of network problems dates back to handling call-dropping issues in telephony. However, troubleshooting cellular networks is still a manual task, assigned to experts who monitor the network around the clock. To help in this task we present CIAN (from Causality Inference of Anomalies in Networks), a practical and interpretable ML methodology, which we implement in the form of a software tool named TTrees (from Troubleshooting Trees). We have designed CIAN to automate the identification of the causes of performance anomalies in cellular networks. Our methodology is unsupervised and combines multiple ML algorithms (e.g., decision trees and clustering) and Kolmogorov complexity-inspired data analysis tools that we have developed for this work. CIAN can be used with small volumes of data and is quick at training.Our experiments use diverse data sets obtained from measurements in operational commercial mobile networks. They show that the TTrees implementation of CIAN can automatically identify and accurately classify network anomalies - e.g., cases for which a network low performance is not apparently justified by operational conditions - training with just a few hundreds of data samples. The resulting information hence enables precise troubleshooting actions. In particular, we showcase how TTrees can be flexibly used to monitor the performance of TCP and QUIC protocols when they are adopted to serve mobile users.</t>
  </si>
  <si>
    <t>[Moulay, Mohamed] Univ Carlos III Madrid, Madrid, Spain; [Leiva, Rafael Garcia] Vodafone, Madrid, Spain; [Maroni, Pablo J. Rojo] Nokia Cloud &amp; Networks Serv, Madrid, Spain; [Diez, Fernando] Univ Politecn Madrid, Madrid, Spain; [Mancuso, Vincenzo; Anta, Antonio Fernandez] IMDEA Networks Inst, Madrid, Spain</t>
  </si>
  <si>
    <t>Universidad Carlos III de Madrid; Vodafone Group; Universidad Politecnica de Madrid; IMDEA Networks Institute</t>
  </si>
  <si>
    <t>Moulay, M (corresponding author), Univ Carlos III Madrid, Madrid, Spain.</t>
  </si>
  <si>
    <t>mohamed.moulay@imdea.org</t>
  </si>
  <si>
    <t>; Fernandez Anta, Antonio/B-4176-2009</t>
  </si>
  <si>
    <t>Mancuso, Vincenzo/0000-0002-4661-381X; Fernandez Anta, Antonio/0000-0001-6501-2377; MOULAY, MOHAMED/0000-0002-9102-2357; Diez Munoz, Fernando/0000-0001-8326-6784</t>
  </si>
  <si>
    <t>Regional Government of Madrid [P2018/TCS4499]; FSE; FEDER; Spanish State Research Agency (AEI) [PID2019-109805RB-I00/AEI/10.13039/501100011033]</t>
  </si>
  <si>
    <t>Regional Government of Madrid; FSE(European Social Fund (ESF)); FEDER(European Union (EU)Spanish Government); Spanish State Research Agency (AEI)(Spanish Government)</t>
  </si>
  <si>
    <t>The work was partially supported by the Regional Government of Madrid (CM) , under grant EdgeData-CM (P2018/TCS4499, cofunded by FSE &amp; FEDER) . The work was also partially supported by the Spanish State Research Agency (AEI) PID2019-109805RB-I00/AEI/10.13039/501100011033 grant (ECID project) . All authors approved the version of the manuscript to be published.</t>
  </si>
  <si>
    <t>0140-3664</t>
  </si>
  <si>
    <t>1873-703X</t>
  </si>
  <si>
    <t>COMPUT COMMUN</t>
  </si>
  <si>
    <t>Comput. Commun.</t>
  </si>
  <si>
    <t>MAY 2022</t>
  </si>
  <si>
    <t>2A9KO</t>
  </si>
  <si>
    <t>WOS:000809815000005</t>
  </si>
  <si>
    <t>Bruysters, NYF; Pilkington, PD</t>
  </si>
  <si>
    <t>Bruysters, Niki Yuen Fen; Pilkington, Pamela D.</t>
  </si>
  <si>
    <t>Overprotective parenting experiences and early maladaptive schemas in adolescence and adulthood: A systematic review and meta-analysis</t>
  </si>
  <si>
    <t>CLINICAL PSYCHOLOGY &amp; PSYCHOTHERAPY</t>
  </si>
  <si>
    <t>early maladaptive schemas; meta-analyses; overprotective parenting; systematic review</t>
  </si>
  <si>
    <t>MEDIATING ROLE; CORE BELIEFS; DEPRESSION; THERAPY; BEHAVIOR; QUALITY; RISK; PSYCHOPATHOLOGY; TEMPERAMENT; VALIDATION</t>
  </si>
  <si>
    <t>Young's schema model identifies overprotection as a type of childhood experience associated with early maladaptive schemas. This review evaluated the evidence base examining overprotective parenting as a predictor of schema endorsement in adolescence and adulthood. A systematic review and meta-analysis were conducted in accordance with the PRISMA guidelines, and registered on PROSPERO (CRD42021258990). PsycINFO, CINAHL and PubMed databases were searched on 5 June 2021 for eligible studies reporting original data on unadjusted association(s) between overprotective parenting and schema endorsement in samples with a mean age of 12 years or older. Studies were excluded if they were not in English or peer reviewed or participants were exposed to an intervention. Meta-analyses using Meta-Essentials software examined the relationship between maternal and paternal overprotective parenting with Young's 18 schemas. An adapted version of the Appraisal tool for Cross-Sectional Studies (AXIS) was used to assess methodological quality. A total of 16 articles were included. Based on 36 meta-analyses (Pooled N = 1,496 to 3,218), several schemas demonstrated positive small correlations with maternal overprotective parenting (range: r = 0.15, 95% CI = 0.10, 0.19 [Entitlement] to r = 0.29, 95% CI = 0.13, 0.43 [Enmeshment]) and paternal overprotective parenting (range: r = 0.15, 95% CI = 0.10, 0.20 [Abandonment] to r = 0.24, 95% CI = 0.10, .36 [Enmeshment]). Considerable heterogeneity was detected, but subgroup analyses were not significant. Overall, recollections of overprotective parenting experiences were primarily associated with schemas relating to disconnection and rejection, and impaired autonomy and performance. However, the literature has thus far relied on retrospective measures of parenting, and longitudinal research is needed to establish causality.</t>
  </si>
  <si>
    <t>[Bruysters, Niki Yuen Fen; Pilkington, Pamela D.] Australian Catholic Univ, Sch Behav &amp; Hlth Sci, Sydney, NSW, Australia</t>
  </si>
  <si>
    <t>Australian Catholic University</t>
  </si>
  <si>
    <t>Bruysters, NYF (corresponding author), Australian Catholic Univ, Sch Behav &amp; Hlth Sci, Sydney, NSW, Australia.</t>
  </si>
  <si>
    <t>nikiyuenfen.bruysters@myacu.edu.au</t>
  </si>
  <si>
    <t>Pilkington, Pamela/0000-0001-5852-3232; Bruysters, Niki Yuen Fen/0000-0002-2800-7154</t>
  </si>
  <si>
    <t>1063-3995</t>
  </si>
  <si>
    <t>1099-0879</t>
  </si>
  <si>
    <t>CLIN PSYCHOL PSYCHOT</t>
  </si>
  <si>
    <t>Clin. Psychol. Psychother.</t>
  </si>
  <si>
    <t>10.1002/cpp.2776</t>
  </si>
  <si>
    <t>Psychology, Clinical</t>
  </si>
  <si>
    <t>8J7UT</t>
  </si>
  <si>
    <t>WOS:000840750200001</t>
  </si>
  <si>
    <t>Jose, BA; Xue, B; Shukla, SK</t>
  </si>
  <si>
    <t>Jose, Bijoy A.; Xue, Bin; Shukla, Sandeep K.</t>
  </si>
  <si>
    <t>ELECTRONIC NOTES IN THEORETICAL COMPUTER SCIENCE</t>
  </si>
  <si>
    <t>Synchronous Programming Model; Polychrony; SIGNAL; endochrony; isochrony; Globally Asynchronous Locally Synchronous Systems; Unidirectional Isochrony</t>
  </si>
  <si>
    <t>Safety-critical embedded applications are often distributed. For example, software in an automotive control or in avionics control are distributed over a large number of distributed processors which are connected over some domain specific buses. Correctness of such applications is of paramount importance due to their safety-critical nature. Synchronous programming models (e.g. Esterel, SIGNAL, Lustre) make synchrony assumption (zero time intra-module computation and zero time inter module communication) while modeling such applications so that the model is easier to verify. Once verified, models built with such assumptions need to be distributed over an asynchronous communication based platform which brings out the challenge of Globally Asynchronous and Locally synchronous (GALS) design. The correctness preserving refinement of a fully synchronous model onto a globally asynchronous communication media implies that various restrictions be imposed on the synchronous model. In the realm of polychronous programming model (exemplified by the SIGNAL language), a property called 'endo-isochrony' was proposed in early 1990s. Endochrony of individual modules assures safe sequential code generation from the module specification, and isochrony ensures safe communication between modules. In this paper, first we provide a more general sufficient condition for isochrony. Second, we generalize the definition of isochrony for weakly-endochronous modules. Further, we introduce the notion of directional isochrony which provides sufficient conditions for safe communication between modules in one direction but not in the other direction. The results in this paper not only simplifies the understanding of the conditions under which a polychronous specification can be implemented in GALS, but also sheds interesting lights on causality and isochrony. When the synchronous modules are reused as IPs, the conditions described here can be checked to see whether those modules can be composed asynchronously with the same behavior as their synchronous composition.</t>
  </si>
  <si>
    <t>[Jose, Bijoy A.; Xue, Bin; Shukla, Sandeep K.] Virginia Polytech Inst &amp; State Univ, FERMAT Lab, Blacksburg, VA 24061 USA</t>
  </si>
  <si>
    <t>Virginia Polytechnic Institute &amp; State University</t>
  </si>
  <si>
    <t>Jose, BA (corresponding author), Virginia Polytech Inst &amp; State Univ, FERMAT Lab, Blacksburg, VA 24061 USA.</t>
  </si>
  <si>
    <t>bijoy@vt.edu; xbin114@vt.edu; shukla@vt.edu</t>
  </si>
  <si>
    <t>SHUKLA, SANDEEP/T-6430-2019</t>
  </si>
  <si>
    <t>SHUKLA, SANDEEP/0000-0001-5525-7426</t>
  </si>
  <si>
    <t>NSF [CCF-0702316]; SRC [1818]</t>
  </si>
  <si>
    <t>NSF(National Science Foundation (NSF)); SRC</t>
  </si>
  <si>
    <t>We wish to thank Jean-Pierre Talpin (INRIA) and Dumitru Potop-Butucaru (INRIA) for useful discussions on the content of this paper. This work was partially supported by NSF grant CCF-0702316 and SRC task 1818.</t>
  </si>
  <si>
    <t>1571-0661</t>
  </si>
  <si>
    <t>ELECTRON NOTES THEOR</t>
  </si>
  <si>
    <t>Electron. Notes Theor. Comput. Sci.</t>
  </si>
  <si>
    <t>V1H6X</t>
  </si>
  <si>
    <t>WOS:000216913400005</t>
  </si>
  <si>
    <t>Ancona, M; Cazzola, W; Pini, S; Frascio, M</t>
  </si>
  <si>
    <t>Gasmelseid, TM</t>
  </si>
  <si>
    <t>Ancona, Massimo; Cazzola, Walter; Pini, Sonia; Frascio, Marco</t>
  </si>
  <si>
    <t>The Health Care Factory</t>
  </si>
  <si>
    <t>PHARMACOINFORMATICS AND DRUG DISCOVERY TECHNOLOGIES: THEORIES AND APPLICATIONS</t>
  </si>
  <si>
    <t>Article; Book Chapter</t>
  </si>
  <si>
    <t>Nowadays healthcare systems tend to expand their diagnostic components while restricting their therapeutic counterpart to enable cost reduction and improvement of care giving processes. Diagnostic components will capillary distribute in the territory as distributed and specialized centers of various sizes, interconnected by a wired/wireless network. On the other side, as stated by Umberto Veronesi in a recent interview, therapeutic components and care giving centers tend to reduce in size and number (today 70% of operations belong to the one-day-surgery class). Recent advances in the development of healthcare testing devices is supporting and pushing to the extreme this revolution and will strongly impact corresponding IT management models. In fact, the reduced size and advanced features of modern testing devices render such devices usable without the intervention of skilled personnel for carrying out most of the testing process. These devices can be used everywhere by everybody: in hospital wards, ambulances, or at the patient's home. The expected use of these devices will resemble the current frequent use of thermometers and sphygmomanometers which have, in the past, contributed to promote the role of patients as active managers of their diagnostic and treatment process. Today, more than 60% of medical tests could be provided at point-of-care, and this figure will approach the level of 80% in a few years (Felder, 1996). New intelligent wearable and implantable devices are under development, and their use in advanced wireless networks will make diagnostic testing ubiquitous and continuous. Intelligent devices will be able to continuously monitor the patient state and to send alarms to central management systems through a wireless connection whenever some of the monitored values are exceeding a given security boundary. Testing devices will become important actors of healthcare processes and will impact on the organization of patient management. Portable devices will be available to doctors and nurses and their use will be integrated into care giving processes instead of being managed by dedicated Laboratory Information Management Systems (LIMS) under the control of highly specialized technical staff. This capability will reduce the time spent between testing and care giving phases and will completely revolutionize the relationship between standard laboratory operations and patient management systems. This capability will shift standard care-giving processes, centered on localized and specialized places of care (hospitals, out-patients' department clinics, etc.) that are managed with a cyclic, time-based, and statically defined workflow, to a virtually ubiquitous reactive (i.e., event-driven) approach typical of units specialized for emergency treatments. In fact, an intensive use of intelligent and mobile patient monitoring systems tends to unbalance the relationship among synchronous, i.e. pre-scheduled, and asynchronous, i.e. event-driven, healthcare organizations that will be more exactly modeled as a reactive system, i.e. systems maintaining a permanent interaction with their own environment and respecting the causality order of events and assuming the characteristics of a real-time distributed system when time constraints must be respected. This approach has the capability of improving the healthcare delivery processes by linking patient data with more advanced and interactive clinical guidelines and protocols. The shorter time for the diagnostic process will introduce advanced process control techniques for implementing personalized plans of the cycle measure/treatment and in extreme cases to close the loop with automatic control algorithms (Robert, 2002, e. g., insulin infusion). The Health Care Factory is the proposal of a highly integrated system designed with the aim of improving the overall healthcare process management and of obtaining a flexible and deeper understanding of the patient treatment mechanisms. The Health Care Factory is based on a software/hardware infrastructure designed for modeling the healthcare problem-including ubiquitous laboratory automation, miniaturized, and lab-on-a-chip devices management, local (i.e., in the hospital), and remote (telemedicine) patient health control-like an integrated large, real-time, ubiquitous, and distributed discrete plant automation problem.</t>
  </si>
  <si>
    <t>[Ancona, Massimo; Frascio, Marco] Univ Genoa, Genoa, Italy; [Cazzola, Walter] Univ Milan, I-20122 Milan, Italy</t>
  </si>
  <si>
    <t>University of Genoa; University of Milan</t>
  </si>
  <si>
    <t>Ancona, M (corresponding author), Univ Genoa, Genoa, Italy.</t>
  </si>
  <si>
    <t>FRASCIO, MARCO/KIH-4531-2024; Cazzola, Walter/AAA-3953-2019</t>
  </si>
  <si>
    <t>FRASCIO, MARCO/0000-0002-1115-8482; Cazzola, Walter/0000-0002-4652-8113</t>
  </si>
  <si>
    <t>HERSEY</t>
  </si>
  <si>
    <t>701 E CHOCOLATE AVE, STE 200, HERSEY, PA 17033-1240 USA</t>
  </si>
  <si>
    <t>978-1-4666-0309-7</t>
  </si>
  <si>
    <t>10.4018/978-1-4666-0309-7.ch012</t>
  </si>
  <si>
    <t>10.4018/978-1-4666-0309-7</t>
  </si>
  <si>
    <t>Computer Science, Information Systems; Medical Informatics; Pharmacology &amp; Pharmacy</t>
  </si>
  <si>
    <t>Book Citation Index – Science (BKCI-S)</t>
  </si>
  <si>
    <t>Computer Science; Medical Informatics; Pharmacology &amp; Pharmacy</t>
  </si>
  <si>
    <t>BDW21</t>
  </si>
  <si>
    <t>WOS:000315269000012</t>
  </si>
  <si>
    <t>Amarasinghe, AAMD</t>
  </si>
  <si>
    <t>Walpita, CN; Sorgeloos, P; Karunasagar, I; Ranaweera, KKDS</t>
  </si>
  <si>
    <t>Amarasinghe, A. A. M. D.</t>
  </si>
  <si>
    <t>A study on the impact of industrial production index (IPI) to beverage, food and tobacco sector index with special reference to Colombo Stock Exchange</t>
  </si>
  <si>
    <t>INTERNATIONAL CONFERENCE OF SABARAGAMUWA UNIVERSITY OF SRI LANKA 2015 (ICSUSL 2015)</t>
  </si>
  <si>
    <t>Procedia Food Science</t>
  </si>
  <si>
    <t>International Conference of Sabaragamuwa-University-of-Sri Lanka (ICSUSL)</t>
  </si>
  <si>
    <t>Sabaragamuwa Univ Sri Lanka, Colombo, SRI LANKA</t>
  </si>
  <si>
    <t>Sabaragamuwa Univ Sri Lanka</t>
  </si>
  <si>
    <t>Sector Return; Industrial Production Index (IPI); Granger Causality; Regression</t>
  </si>
  <si>
    <t>This study attempts to explore the impact of Industrial Production Index to sector performance of Beverage, Food and Tobacco in Colombo Stock Exchange Sri Lanka. Secondary data were used for the analysis. Sector index was taken from the Data Library of Colombo Stock Exchange and Industrial Production Index was taken from Annual Reports of Central Bank Sri Lanka. Monthly data were gathered from January 2002 to December 2014. For the time series data set, first, the stationary was checked using Augmented Dickey-Fuller and Phillips Perron Tests of E-views software. The results of stationary check show that the sector index is stationary at 1st difference in both ADF and PP tests. Industrial Production Index is stationary at 2nd difference in ADF test but 1st difference is stationary in PP test. Because of the seasonal trend in IPI 12th difference also considered and it is stationary in both ADF and PP tests. Granger Causality test was used to find out the causal relationship between variables. Results show the one way causality that the changes occurring in IPI will have an effect on changes in sector index. But changes in sector index will not have any effect on changes in IPI. Finally a regression was used to find out the relationship between variables. A Pearson Correlation coefficient was checked to find the correlation among variables before moving to the regression. Result of correlation test shows 84% higher correlation between variables and regression result shows a significant positive relationship amongvariables. The study concludes that Industrial Production Index will positively impact on Beverage, Food and Tobacco sector Index in Sri Lanka. It can be recommended that the changes occurring in the IPI be considered by Investors when they buy and sell stocks in BFT sector. (C) 2016 The Authors. Published by Elsevier Ltd.</t>
  </si>
  <si>
    <t>[Amarasinghe, A. A. M. D.] Sabaragamuwa Univ Sri Lanka, Fac Management Studies, Dept Accountancy &amp; Finance, Belihuloya, Sri Lanka</t>
  </si>
  <si>
    <t>Sabaragamuwa University of Sri Lanka</t>
  </si>
  <si>
    <t>Amarasinghe, AAMD (corresponding author), Sabaragamuwa Univ Sri Lanka, Fac Management Studies, Dept Accountancy &amp; Finance, Belihuloya, Sri Lanka.</t>
  </si>
  <si>
    <t>malithamarasingha@yahoo.com</t>
  </si>
  <si>
    <t>2211-601X</t>
  </si>
  <si>
    <t>PROC FOOD SCI</t>
  </si>
  <si>
    <t>10.1016/j.profoo.2016.02.054</t>
  </si>
  <si>
    <t>Agriculture, Multidisciplinary; Engineering, Environmental; Environmental Sciences; Food Science &amp; Technology</t>
  </si>
  <si>
    <t>Agriculture; Engineering; Environmental Sciences &amp; Ecology; Food Science &amp; Technology</t>
  </si>
  <si>
    <t>BG2NJ</t>
  </si>
  <si>
    <t>WOS:000387491600053</t>
  </si>
  <si>
    <t>Rehman, NU</t>
  </si>
  <si>
    <t>Rehman, Naqeeb Ur</t>
  </si>
  <si>
    <t>Drivers of firms' growth: a case study of software firms in Islamabad/Rawalpindi regions</t>
  </si>
  <si>
    <t>JOURNAL OF MANAGEMENT DEVELOPMENT</t>
  </si>
  <si>
    <t>Management; Knowledge-based systems</t>
  </si>
  <si>
    <t>RESEARCH-AND-DEVELOPMENT; PRODUCTIVITY; SMES; PERFORMANCE; ENTERPRISES; INNOVATION</t>
  </si>
  <si>
    <t>Purpose - The purpose of this paper is to identify the drivers of firm's growth such as research and development (R&amp;D), absorptive capacity, knowledge management, organisation culture, access to finance, internationalisation and so forth. As far as the contribution is concerned, two objectives have been achieved from this empirical paper. First, this paper fills an important gap in the literature by determining the drivers of firm's growth. Second, this study analysed the Pakistani software industry at micro level by investigating the firm's knowledge-based assets and their significant association with labour productivity growth. Based on a face to face interview of 69 software firms, this study found that firm size, access to finance, internationalisation (exporting and outward foreign direct investment), business improvement methods and knowledge management have a positive impact on the firm's labour productivity growth. In comparison, firm undertaking R&amp;D and absorptive capacity showed negative association with labour productivity growth. This study implies that these software firms have low investment in knowledge-based assets. In summary, this empirical study suggests that high sunk costs, low investment in knowledge-based assets and shortage of skills generally affect the labour productivity of these software firms. Design/methodology/approach - Survey analysis, using cross section data analysis. Findings - This study found that firm size, access to finance, internationalisation (exporting and outward FDI), business improvement methods and knowledge management have a positive impact on the firm's labour productivity growth. In comparison, firm undertaking R&amp;D and absorptive capacity showed negative association with labour productivity growth. In summary, this empirical study suggests that high sunk costs, low investment in knowledge-based assets and shortage of skills generally affect the labour productivity of these software firms. Research limitations/implications - Additionally, suggestions for future research would be to investigate the relationship between drivers of firm growth and innovation performance. The survey analysis could be extended to other parts of country such as Karachi and Lahore for resolving causality. Originality/value - First, this paper fills an important gap in the literature by determining the drivers of firm's growth. Second, this study analysed the Pakistani software industry at micro level by investigating the firm's knowledge-based assets and their significant association with labour productivity growth.</t>
  </si>
  <si>
    <t>Hazara Univ, Mansehra, Pakistan</t>
  </si>
  <si>
    <t>Hazara University</t>
  </si>
  <si>
    <t>Rehman, NU (corresponding author), Hazara Univ, Mansehra, Pakistan.</t>
  </si>
  <si>
    <t>dr.naqeeburrehman@gmail.com</t>
  </si>
  <si>
    <t>REHMAN, NAQEEB UR/ACI-9854-2022</t>
  </si>
  <si>
    <t>REHMAN, NAQEEB UR/0000-0003-1015-2588</t>
  </si>
  <si>
    <t>0262-1711</t>
  </si>
  <si>
    <t>1758-7492</t>
  </si>
  <si>
    <t>J MANAG DEV</t>
  </si>
  <si>
    <t>J. Manag. Dev.</t>
  </si>
  <si>
    <t>10.1108/JMD-05-2014-0041</t>
  </si>
  <si>
    <t>CQ4LW</t>
  </si>
  <si>
    <t>WOS:000360577400002</t>
  </si>
  <si>
    <t>Ming, T; Teng, W; Jodaki, S</t>
  </si>
  <si>
    <t>Ming, Tian; Teng, Wang; Jodaki, Susan</t>
  </si>
  <si>
    <t>A model to investigate the effect of information technology and information systems on the ease of managers' decision-making</t>
  </si>
  <si>
    <t>KYBERNETES</t>
  </si>
  <si>
    <t>Decision-making; IT infrastructure; Expert systems; Marketing information systems; Organizational variables</t>
  </si>
  <si>
    <t>E-GOVERNMENT</t>
  </si>
  <si>
    <t>Purpose Decision-making and problem-solving are ongoing progressions of evaluating situations or problems, considering substitutes, making choices and following them up with the necessary actions. The relationship between managers' decision-making and information technology (IT) has long been of interest to researchers. This study aims to examine the changes in novel technologies in facilitating managers' decisions that influence the quality and timeliness of information and decision-making. Design/methodology/approach The present paper is a descriptive-correlative study in terms of the data collection method and is applicable in terms of purpose. In addition, the library-field method was used to collect information. Because of the target and subject of the research of the statistical population, this research contains all managers of a management organization that are 100 people. The present study is used in the structural equation modeling method to examine causal models and evaluate the reliability and validity of the measurement model. The presented model and the gathered information from the questionnaires were analyzed through SmartPLS software. Findings The results indicate that the IT infrastructure, expert systems, marketing information systems (ISs) and organizational variables significantly influence the ease of managers' decision-making and considering these dimensions is a step in the success of managers' decisions. Research limitations/implications - This study used a questionnaire to collect information, which may result in some people refusing to provide a real answer and giving an unrealistic answer. This study is also cross-sectional, and therefore, makes it difficult to conclude about causality. In addition, access to statistics and information is one of the significant pillars of research. Practical implications - The paper presents useful advice for improving decision-making. In addition, the topic is relevant to the ease of managers' decisions. A better understanding of the impact of IT infrastructure, expert systems, marketing ISs and organizational variables could significantly enhance managers' success. Originality/value The ideas and topics discussed are equally applicable to libraries and can provide new insights into the impact of IT infrastructures, expert systems, marketing ISs and organizational variables on the ease of decision makers as a source of competition.</t>
  </si>
  <si>
    <t>[Ming, Tian] Hohai Univ, Business Sch, Nanjing, Peoples R China; [Teng, Wang] Hohai Univ, World Water Valley Inst, Nanjing, Peoples R China; [Jodaki, Susan] Abadan Payam Noor Univ, Dept Business Management, Abadan, Iran</t>
  </si>
  <si>
    <t>Hohai University; Hohai University</t>
  </si>
  <si>
    <t>Ming, T (corresponding author), Hohai Univ, Business Sch, Nanjing, Peoples R China.</t>
  </si>
  <si>
    <t>momoidabj2018@163.com</t>
  </si>
  <si>
    <t>MOE (Ministry of Education in China) Project of Humanities and Social Sciences [19YJC630155]; Fundamental Research Funds for the Central Universities [2017B1821, 2017B18214]; Postgraduate Research and Practice Innovation Program of Jiangsu Province [KYCX17_0513]; National Social Science Foundation of China [16ZDA046]</t>
  </si>
  <si>
    <t>MOE (Ministry of Education in China) Project of Humanities and Social Sciences; Fundamental Research Funds for the Central Universities(Fundamental Research Funds for the Central Universities); Postgraduate Research and Practice Innovation Program of Jiangsu Province; National Social Science Foundation of China(National Office of Philosophy and Social Sciences)</t>
  </si>
  <si>
    <t>This research was funded by MOE (Ministry of Education in China) Project of Humanities and Social Sciences, grant number 19YJC630155; Fundamental Research Funds for the Central Universities, grant number 2017B1821 and 2017B18214; Postgraduate Research and Practice Innovation Program of Jiangsu Province, grant numberKYCX17_0513; and National Social Science Foundation of China, grant number 16ZDA046.</t>
  </si>
  <si>
    <t>0368-492X</t>
  </si>
  <si>
    <t>1758-7883</t>
  </si>
  <si>
    <t>MAR 29</t>
  </si>
  <si>
    <t>MAR 2020</t>
  </si>
  <si>
    <t>Computer Science, Cybernetics</t>
  </si>
  <si>
    <t>RG7JL</t>
  </si>
  <si>
    <t>WOS:000525136400001</t>
  </si>
  <si>
    <t>Marusic, S; Bacic-Vrca, V; Neto, PRO; Franic, M; Erdeljic, V; Gojo-Tomic, N</t>
  </si>
  <si>
    <t>Marusic, Srecko; Bacic-Vrca, Vesna; Obreli Neto, Paulo Roque; Franic, Miljenko; Erdeljic, Viktorija; Gojo-Tomic, Nives</t>
  </si>
  <si>
    <t>Actual drug-drug interactions in elderly patients discharged from internal medicine clinic: a prospective observational study</t>
  </si>
  <si>
    <t>EUROPEAN JOURNAL OF CLINICAL PHARMACOLOGY</t>
  </si>
  <si>
    <t>Adverse drug reactions; Croatia; Diminished therapeutic effect; Drug-drug interactions; Elderly patients</t>
  </si>
  <si>
    <t>AGE-RELATED-CHANGES; HOSPITALIZED-PATIENTS; ADVERSE; PEOPLE; HYPERKALEMIA; MEDICATIONS; CLOPIDOGREL; PREVALENCE; PREDICTORS; FREQUENCY</t>
  </si>
  <si>
    <t>The aim of the study was to evaluate the incidence and type of actual drug-drug interactions (DDIs) that result in adverse drug reactions (ADRs) or diminished therapeutic effect in elderly patients within 30 days of discharge from an internal medicine clinic. A prospective observational study was conducted at the Internal Medicine Clinic of University Hospital Dubrava, Zagreb, Croatia, between October and December 2011. Patients aged a parts per thousand yen65 years discharged from the Internal Medicine Clinic during the study period with a prescription for two or more medications were eligible for inclusion in the study. A total of 222 patients were ultimately enrolled in the study. For each patient, potential DDIs were identified using Lexi-Interact software. The follow-up visit was scheduled approximately 30 days after discharge. Causality between DDIs and ADRs or diminished therapeutic effect of drugs was assessed by two independent clinicians. Potential DDIs were identified in 190 (85.6 %) patients. Actual DDIs were detected in 21 (9.5 %) patients. In 19 patients, DDIs resulted in an ADR. Diminished therapeutic effect resulting from DDIs was detected in two patients. Angiotensin-converting enzyme inhibitors were the drug class most frequently associated with DDI-related ADRs. A significant incidence of actual DDIs suggests that DDIs play an important role in patient safety. Drug therapy should be initiated if absolutely necessary, and the number of drugs used to treat elderly patients should be minimized to reduce the incidence of DDI-related adverse patient outcomes.</t>
  </si>
  <si>
    <t>[Marusic, Srecko; Erdeljic, Viktorija; Gojo-Tomic, Nives] Univ Hosp Dubrava, Dept Clin Pharmacol, Zagreb 10000, Croatia; [Bacic-Vrca, Vesna] Univ Hosp Dubrava, Dept Clin Pharm, Zagreb 10000, Croatia; [Obreli Neto, Paulo Roque] Univ Estadual Maringa, Dept Pharmacol &amp; Therapeut, BR-87020290 Maringa, Parana, Brazil; [Franic, Miljenko] Univ Hosp Dubrava, Dept Orthoped Surg, Zagreb 10000, Croatia</t>
  </si>
  <si>
    <t>Universidade Estadual de Maringa</t>
  </si>
  <si>
    <t>Marusic, S (corresponding author), Univ Hosp Dubrava, Dept Clin Pharmacol, Av Gojka Suska 6, Zagreb 10000, Croatia.</t>
  </si>
  <si>
    <t>srmarusic@inet.hr</t>
  </si>
  <si>
    <t>Erdeljić Turk, Viktorija/AGL-4879-2022</t>
  </si>
  <si>
    <t>Erdeljić Turk, Viktorija/0000-0002-2774-6385</t>
  </si>
  <si>
    <t>0031-6970</t>
  </si>
  <si>
    <t>1432-1041</t>
  </si>
  <si>
    <t>EUR J CLIN PHARMACOL</t>
  </si>
  <si>
    <t>Eur. J. Clin. Pharmacol.</t>
  </si>
  <si>
    <t>10.1007/s00228-013-1531-7</t>
  </si>
  <si>
    <t>205GA</t>
  </si>
  <si>
    <t>WOS:000323429900012</t>
  </si>
  <si>
    <t>Lei, YR; Zhou, Y; Lin, YSX; Xu, MW; Wang, YY</t>
  </si>
  <si>
    <t>Lei, Yiran; Zhou, Yu; Lin, Yunsenxiao; Xu, Mingwei; Wang, Yangyang</t>
  </si>
  <si>
    <t>2021 IEEE 29TH INTERNATIONAL CONFERENCE ON NETWORK PROTOCOLS (ICNP 2021)</t>
  </si>
  <si>
    <t>IEEE International Conference on Network Protocols Proceedings</t>
  </si>
  <si>
    <t>29th IEEE International Conference on Network Protocols (ICNP)</t>
  </si>
  <si>
    <t>NOV 01-05, 2021</t>
  </si>
  <si>
    <t>IEEE,Cisco Syst,Juniper Networks,Univ Texas Dallas, Dept Comp Sci,IEEE Comp Soc,IEEE Tech Comm Distributed Proc</t>
  </si>
  <si>
    <t>Service-level objectives (SLOs), as network performance requirements for delay and packet loss typically, should be guaranteed for increasing high-performance applications, e.g., telesurgery and cloud gaming. However, SLO violations are common and destructive in today's network operation. Detection and diagnosis, meaning monitoring performance to discover anomalies and analyzing causality of SLO violations respectively, are crucial for fast recovery. Unfortunately, existing diagnosis approaches require exhaustive causal information to function. Meanwhile, existing detection tools incur large overhead or are only able to provide limited information for diagnosis. This paper presents DOVE, a diagnosis-driven SLO detection system with high accuracy and low overhead. The key idea is to identify and report the information needed by diagnosis along with SLO violation alerts from the data plane selectively and efficiently. Network segmentation is introduced to balance scalability and accuracy. Novel algorithms to measure packet loss and percentile delay are implemented completely on the data plane without the involvement of the control plane for fine-grained SLO detection. We implement and deploy DOVE on Tofino and P4 software switch (BMv2) and show the effectiveness of DOVE with a use case. The reported SLO violation alerts and diagnosis-needing information are compared with ground truth and show high accuracy (&gt;97%). Our evaluation also shows that DOVE introduces up to two orders of magnitude less traffic overhead than NetSight. In addition, memory utilization and required processing ability are low to be deployable in real network topologies.</t>
  </si>
  <si>
    <t>[Lei, Yiran; Lin, Yunsenxiao; Xu, Mingwei] Tsinghua Univ, Dept Comp Sci &amp; Technol, Beijing, Peoples R China; [Xu, Mingwei; Wang, Yangyang] Tsinghua Univ, Inst Network Sci &amp; Cyberspace, Beijing, Peoples R China; [Lei, Yiran; Lin, Yunsenxiao; Xu, Mingwei; Wang, Yangyang] Beijing Natl Res Ctr Informat Sci &amp; Technol BNRis, Beijing, Peoples R China; [Zhou, Yu] Alibaba Inc, Hangzhou, Peoples R China</t>
  </si>
  <si>
    <t>Tsinghua University; Tsinghua University; Alibaba Group</t>
  </si>
  <si>
    <t>Lei, YR (corresponding author), Tsinghua Univ, Dept Comp Sci &amp; Technol, Beijing, Peoples R China.;Lei, YR (corresponding author), Beijing Natl Res Ctr Informat Sci &amp; Technol BNRis, Beijing, Peoples R China.</t>
  </si>
  <si>
    <t>Wang, Yangyang/GXH-5679-2022</t>
  </si>
  <si>
    <t>National Key R&amp;D Program of China [2019YFB1802504]; National Science Foundation of China [61625203, 61832013, 61872426]</t>
  </si>
  <si>
    <t>National Key R&amp;D Program of China; National Science Foundation of China(National Natural Science Foundation of China (NSFC))</t>
  </si>
  <si>
    <t>We thank all the reviewers and our shepherd Marco Canini for their valuable comments and advice. This research is supported by the National Key R&amp;D Program of China (2019YFB1802504) and the National Science Foundation of China (61625203, 61832013, and 61872426). Prof. Mingwei Xu and Dr. Yangyang Wang are the corresponding authors.</t>
  </si>
  <si>
    <t>1092-1648</t>
  </si>
  <si>
    <t>978-1-6654-4131-5</t>
  </si>
  <si>
    <t>I C NETWORK PROTOCOL</t>
  </si>
  <si>
    <t>Computer Science, Hardware &amp; Architecture; Computer Science, Information Systems; Telecommunications</t>
  </si>
  <si>
    <t>BS6KI</t>
  </si>
  <si>
    <t>WOS:000749316400071</t>
  </si>
  <si>
    <t>Meng, JJ; Xiao, XL; Wang, WR; Jiang, Y; Jin, YF; Wang, HH</t>
  </si>
  <si>
    <t>Meng, Jingjing; Xiao, Xueling; Wang, Wenru; Jiang, Ying; Jin, Yanfei; Wang, Honghong</t>
  </si>
  <si>
    <t>Sleep quality, social rhythms, and depression among people living with HIV: a path analysis based on social zeitgeber theory</t>
  </si>
  <si>
    <t>FRONTIERS IN PSYCHIATRY</t>
  </si>
  <si>
    <t>sleep quality; social rhythms; depression; HIV; AIDS; path analysis</t>
  </si>
  <si>
    <t>BIPOLAR DISORDER; SYMPTOMS; LIFE; DISTURBANCES; PREVALENCE; HIV/AIDS; THERAPY; STIGMA; METAANALYSIS; ASSOCIATION</t>
  </si>
  <si>
    <t>BackgroundPeople living with HIV frequently report sleep disturbances. The social zeitgeber theory, which proposes that stressful life events can interfere with sleep and even depression by destabilizing daily routines, provides new insights into identifying predictors of sleep disturbances and improving sleep in people living with HIV. ObjectiveTo explain the pathways affecting sleep quality in people living with HIV based on social zeitgeber theory. MethodsA cross-sectional study was conducted to assess sleep quality, social rhythms, depression, social support, and coping styles from December 2020 to February 2021. The hypothetical model was tested and respecified by performing path analysis and a bias-corrected bootstrapping method using IBM AMOS 24 software. The report of this study followed the STROBE checklist. ResultsA total of 737 people living with HIV participated in the study. The final model presented a good fit (goodness of fit = 0.999, adjusted goodness of fit index = 0.984, normed fit index = 0.996, comparative fit index = 0.998, Tucker-Lewis index = 0.988, root mean square error of approximation = 0.030, chi-squared/degree of freedom = 1.646), explaining 32.3% of the variance in sleep quality among people living with HIV. Lower social rhythm stability was directly associated with poorer sleep quality, and depression mediated the relationship between social rhythms and sleep quality. Social support and coping styles affected sleep quality through social rhythms and depression. LimitationThe cross-sectional study design precludes making assumptions about causality among factors. ConclusionThis study validates and extends the applicability of the social zeitgeber theory in the HIV context. Social rhythms have direct and indirect effects on sleep. Social rhythms, sleep, and depression is not simply linked in a cascading sequence but is theoretically linked in a complex way. More studies are needed to explore the predictors of social rhythms, and interventions for stabilizing social rhythms have the potential to alleviate sleep disturbances and depression in people living with HIV.</t>
  </si>
  <si>
    <t>[Meng, Jingjing; Xiao, Xueling; Jin, Yanfei; Wang, Honghong] Cent South Univ, Xiangya Sch Nursing, Changsha, Hunan, Peoples R China; [Wang, Wenru; Jiang, Ying] Natl Univ Singapore, Alice Lee Ctr Nursing Studies, Yong Loo Lin Sch Med, Singapore City, Singapore</t>
  </si>
  <si>
    <t>Central South University; National University of Singapore</t>
  </si>
  <si>
    <t>Wang, HH (corresponding author), Cent South Univ, Xiangya Sch Nursing, Changsha, Hunan, Peoples R China.</t>
  </si>
  <si>
    <t>honghong_wang@hotmail.com</t>
  </si>
  <si>
    <t>Meng, Jingjing/J-8756-2014</t>
  </si>
  <si>
    <t>1664-0640</t>
  </si>
  <si>
    <t>FRONT PSYCHIATRY</t>
  </si>
  <si>
    <t>Front. Psychiatry</t>
  </si>
  <si>
    <t>MAY 4</t>
  </si>
  <si>
    <t>10.3389/fpsyt.2023.1102946</t>
  </si>
  <si>
    <t>Psychiatry</t>
  </si>
  <si>
    <t>G4NT4</t>
  </si>
  <si>
    <t>WOS:000988948600001</t>
  </si>
  <si>
    <t>HLA_ACTOR_REPAST: An approach to distributing RePast models for high-performance simulations</t>
  </si>
  <si>
    <t>SIMULATION MODELLING PRACTICE AND THEORY</t>
  </si>
  <si>
    <t>Multi-agent systems; RePast; Modelling and distributed simulation; Actors; HLA/RTI; Java; Text annotation; AspectJ; Tileworld</t>
  </si>
  <si>
    <t>SYSTEMS; JAVA</t>
  </si>
  <si>
    <t>RePast is a popular agent toolkit with proven capabilities to fulfil the modelling challenges of large multi-agent systems (MASs) The toolkit though is normally used on a standalone workstation and therefore its practical use can be constrained (in space and time) by the limited available computing resources This paper proposes an original approach - HLA_ACTOR_REPAST - aimed to distributing RePast models for high-performance simulation of complex scalable models Novel in HLA_ACTOR_REPAST is an exploitation of a lean actor infrastructure implemented in Java Actors bring to RePast agents such features as migration location-transparent naming efficient communications and a control-centric framework Actors can be orchestrated by an in-the-large custom control structure which is in charge of ensuring the necessary message causality constraints Distribution and time management concerns depend on the IEEE standard HLA middleware The paper first discusses details of the software engineering process underlying the development of HLA_ACTOR_REPAST The mapping techniques assisted by Java text annotations and aspect-oriented programming try to minimize code intrusions in the original model and favour model transparency The paper then furnishes some experimental data which witness the good performance results achieved by applying HLA_ACTOR_REPAST to a distributed version of a classic MAS benchmark model (C) 2010 Elsevier B V All rights reserved</t>
  </si>
  <si>
    <t>Nigro, L (corresponding author), Univ Calabria, Dipartimento Elettron Informat &amp; Sistemist, Lab Ingn Software, I-87036 Arcavacata Di Rende, CS, Italy.</t>
  </si>
  <si>
    <t>Giordano, Andrea/AAX-7239-2020; Giordano, Andrea/KBC-8884-2024; Furfaro, Angelo/N-2923-2019</t>
  </si>
  <si>
    <t>Giordano, Andrea/0000-0001-8835-0328; Furfaro, Angelo/0000-0003-2537-8918</t>
  </si>
  <si>
    <t>1569-190X</t>
  </si>
  <si>
    <t>1878-1462</t>
  </si>
  <si>
    <t>SIMUL MODEL PRACT TH</t>
  </si>
  <si>
    <t>Simul. Model. Pract. Theory</t>
  </si>
  <si>
    <t>Computer Science, Interdisciplinary Applications; Computer Science, Software Engineering</t>
  </si>
  <si>
    <t>690FM</t>
  </si>
  <si>
    <t>WOS:000284987900022</t>
  </si>
  <si>
    <t>de Souza, KG; Barboza, F; Garruti, DVT</t>
  </si>
  <si>
    <t>de Souza, Kamyr Gomes; Barboza, Flavio; Garruti, Daniel Vitor Tartari</t>
  </si>
  <si>
    <t>COMPUTATIONAL ECONOMICS</t>
  </si>
  <si>
    <t>Discourse analysis; Sentiment analysis; Twitter; Cryptocurrencies; Masternodes; Decentralized Finance; C8; D83; D84; G12; G14</t>
  </si>
  <si>
    <t>DECENTRALIZED FINANCE; BLOCKCHAIN</t>
  </si>
  <si>
    <t>Recent advancements in cryptography and digital assets have triggered a profound transformation, causing a reorganization of the financial sector. The growing popularity of cryptocurrencies as investment instruments has raised concerns regarding the influencer mentions on social media impact on their price dynamics. This study assesses the discourse surrounding major cryptocurrencies and tokens within the decentralized finance (DeFi) and masternode sectors, examining its influence on prices and trading volumes during the period from 2019 to 2021. The study verifies the alignment between social media communications concerning these assets and their intended objectives. The analysis utilizes KHCoder software to explore topics with the highest public engagement, revealing that DeFi users frequently exhibit herd-like behavior by actively pursuing high-return farming trends, often at the expense of unique project attributes. In contrast, discourse surrounding masternode tokens more closely adheres to project objectives. The study employs panel models and Granger causality tests to investigate the relationship between cryptocurrency market performance, interactions on social media, and tweet sentiment. The findings substantiate a causal and temporal connection between micro-discourses on Twitter and asset prices, as well as trading volumes.</t>
  </si>
  <si>
    <t>[de Souza, Kamyr Gomes; Barboza, Flavio; Garruti, Daniel Vitor Tartari] Univ Fed Uberlandia, Sch Business &amp; Management, Uberlandia, MG, Brazil</t>
  </si>
  <si>
    <t>de Souza, KG (corresponding author), Univ Fed Uberlandia, Sch Business &amp; Management, Uberlandia, MG, Brazil.</t>
  </si>
  <si>
    <t>kamyr@ufu.br</t>
  </si>
  <si>
    <t>Gomes de Souza, Kamyr/0000-0001-9489-4479</t>
  </si>
  <si>
    <t>0927-7099</t>
  </si>
  <si>
    <t>1572-9974</t>
  </si>
  <si>
    <t>COMPUT ECON</t>
  </si>
  <si>
    <t>Comput. Econ.</t>
  </si>
  <si>
    <t>2023 DEC 2</t>
  </si>
  <si>
    <t>DEC 2023</t>
  </si>
  <si>
    <t>Economics; Management; Mathematics, Interdisciplinary Applications</t>
  </si>
  <si>
    <t>Business &amp; Economics; Mathematics</t>
  </si>
  <si>
    <t>Z3PE0</t>
  </si>
  <si>
    <t>WOS:001111217400001</t>
  </si>
  <si>
    <t>El-Kassar, AN; Makki, D; Gonzalez-Perez, MA</t>
  </si>
  <si>
    <t>El-Kassar, Abdul-Nasser; Makki, Dania; Gonzalez-Perez, Maria Alejandra</t>
  </si>
  <si>
    <t>Student-university identification and loyalty through social responsibility A cross-cultural analysis</t>
  </si>
  <si>
    <t>INTERNATIONAL JOURNAL OF EDUCATIONAL MANAGEMENT</t>
  </si>
  <si>
    <t>Higher education; Perceived importance of USR; Student loyalty; Student-university identification; University social responsibility</t>
  </si>
  <si>
    <t>CUSTOMER-COMPANY IDENTIFICATION; GROUP AFFILIATION; FIRM PERFORMANCE; CSR INITIATIVES; SERVICE QUALITY; SATISFACTION; CONSUMERS; ANTECEDENTS; IDENTITY; CITIZENSHIP</t>
  </si>
  <si>
    <t>Purpose The purpose of this paper is to highlight the value of university social responsibility (USR) by investigating its impact on student-university identification and student loyalty. It also examines the mediating effect of student-university identification and the moderating effect of the perceived importance of USR. A comparative study is also conducted between students from two diverse cultural backgrounds. Design/methodology/approach An online questionnaire was administered to students of universities in two different emerging markets economies (Lebanon and Colombia). The collected data were tested by applying descriptive techniques, cluster analysis and partial least square structural equation modeling with multi-group analysis using SmartPLS3.0 software. Findings The findings revealed that USR affects student loyalty both directly and indirectly through student-university identification. Research limitations/implications - Assessing the model through a more varied sample population from different cultural backgrounds would entail more universal results and the ability to generalize the causality relationship between USR and student identification and loyalty. Originality/value - This study is a valuable addition to the scarce literature on USR and its interplay with student-university identification. It presents USR as a vital marketing tool to achieve student identification and loyalty, being key factors that impact student enrollment and retention. It also translates into a competitive advantage for higher education institutions to overcome the fierce competition in the educational market. Additionally, this research can be considered a laboratory for theory testing and theory building due to its unique context and original primary data.</t>
  </si>
  <si>
    <t>[El-Kassar, Abdul-Nasser] Lebanese Amer Univ, Informat Technol &amp; Operat Management, Beirut, Lebanon; [Makki, Dania] Lebanese Amer Univ, Byblos, Lebanon; [Gonzalez-Perez, Maria Alejandra] Univ EAFIT, Management, Medellin, Colombia</t>
  </si>
  <si>
    <t>Lebanese American University; Lebanese American University; Universidad EAFIT</t>
  </si>
  <si>
    <t>El-Kassar, AN (corresponding author), Lebanese Amer Univ, Informat Technol &amp; Operat Management, Beirut, Lebanon.</t>
  </si>
  <si>
    <t>abdulnasser.kassar@lau.edu.lb</t>
  </si>
  <si>
    <t>Makki, Dania/AAT-5859-2021; El-Kassar, Abdul-Nasser/AAD-6123-2020; Gonzalez-Perez, Maria Alejandra/IUM-9313-2023; Gonzalez-Perez, Maria Alejandra/B-1863-2012</t>
  </si>
  <si>
    <t>Makki, Dania/0000-0002-4416-6040; El-Kassar, Abdul-Nasser/0000-0002-8423-8723; Gonzalez-Perez, Maria Alejandra/0000-0001-6338-4281</t>
  </si>
  <si>
    <t>0951-354X</t>
  </si>
  <si>
    <t>1758-6518</t>
  </si>
  <si>
    <t>INT J EDUC MANAG</t>
  </si>
  <si>
    <t>Int. J. Educ. Manag.</t>
  </si>
  <si>
    <t>JAN 7</t>
  </si>
  <si>
    <t>10.1108/IJEM-02-2018-0072</t>
  </si>
  <si>
    <t>HK7ZT</t>
  </si>
  <si>
    <t>WOS:000458209500004</t>
  </si>
  <si>
    <t>Fan, YC; Liang, X</t>
  </si>
  <si>
    <t>Fan, Yuchao; Liang, Xiao</t>
  </si>
  <si>
    <t>Causal relationship between COVID-19 and chronic pain: A mendelian randomization study</t>
  </si>
  <si>
    <t>PLOS ONE</t>
  </si>
  <si>
    <t>INSTRUMENTS; INCREASE; FATIGUE; BIAS</t>
  </si>
  <si>
    <t>Objective COVID-19 is a highly transmissible disease that can result in long-term symptoms, including chronic pain. However, the mechanisms behind the persistence of long-COVID pain are not yet fully elucidated, highlighting the need for further research to establish causality. Mendelian randomization (MR), a statistical technique for determining a causal relationship between exposure and outcome, has been employed in this study to investigate the association between COVID-19 and chronic pain.Material and methods The IVW, MR Egger, and weighted median methods were employed. Heterogeneity was evaluated using Cochran's Q statistic. MR Egger intercept and MR-PRESSO tests were performed to detect pleiotropy. The Bonferroni method was employed for the correction of multiple testing. R software was used for all statistical analyses.Result Based on the IVW method, hospitalized COVID-19 patients exhibit a higher risk of experiencing lower leg joint pain compared to the normal population. Meanwhile, the associations between COVID-19 hospitalization and back pain, headache, and pain all over the body were suggestive. Additionally, COVID-19 patients requiring hospitalization were found to have a suggestive higher risk of experiencing neck or shoulder pain and pain all over the body compared to those who did not require hospitalization. Patients with severe respiratory-confirmed COVID-19 showed a suggestive increased risk of experiencing pain all over the body compared to the normal population.Conclusion Our study highlights the link between COVID-19 severity and pain in different body regions, with implications for targeted interventions to reduce COVID-19 induced chronic pain burden.</t>
  </si>
  <si>
    <t>[Fan, Yuchao] Univ Elect Sci &amp; Technol China, Affiliated Canc Hosp, Sichuan Canc Ctr, Dept Anesthesiol,Sichuan Clin Res Ctr Canc,Sichuan, Chengdu, Peoples R China; [Liang, Xiao] Sichuan Univ, West China Hosp, Dept Anesthesiol, Chengdu, Sichuan, Peoples R China</t>
  </si>
  <si>
    <t>University of Electronic Science &amp; Technology of China; Sichuan University</t>
  </si>
  <si>
    <t>Fan, YC (corresponding author), Univ Elect Sci &amp; Technol China, Affiliated Canc Hosp, Sichuan Canc Ctr, Dept Anesthesiol,Sichuan Clin Res Ctr Canc,Sichuan, Chengdu, Peoples R China.</t>
  </si>
  <si>
    <t>yuchaofan_pain@126.com</t>
  </si>
  <si>
    <t>Fan, Yuchao/0000-0001-8565-2777</t>
  </si>
  <si>
    <t>PUBLIC LIBRARY SCIENCE</t>
  </si>
  <si>
    <t>SAN FRANCISCO</t>
  </si>
  <si>
    <t>1160 BATTERY STREET, STE 100, SAN FRANCISCO, CA 94111 USA</t>
  </si>
  <si>
    <t>1932-6203</t>
  </si>
  <si>
    <t>PLoS One</t>
  </si>
  <si>
    <t>JAN 19</t>
  </si>
  <si>
    <t>e0295982</t>
  </si>
  <si>
    <t>10.1371/journal.pone.0295982</t>
  </si>
  <si>
    <t>GC7I6</t>
  </si>
  <si>
    <t>WOS:001150526800050</t>
  </si>
  <si>
    <t>Vigu, AL; Stanciu, D; Lotrean, LM; Campian, RS</t>
  </si>
  <si>
    <t>Vigu, Alexandra Lucia; Stanciu, Dorin; Lotrean, Lucia Maria; Campian, Radu Septimiu</t>
  </si>
  <si>
    <t>Complex interrelations between self-reported oral health attitudes and behaviors, the oral health status, and oral health-related quality of life</t>
  </si>
  <si>
    <t>moderated mediation; oral health; HUDBI; oral health-related quality of life; DMFT</t>
  </si>
  <si>
    <t>MODERATED MULTIPLE-REGRESSION; SAMPLE-SIZE; STATISTICAL POWER; DENTAL STUDENTS; SHORT-FORM; MEDIATION; VALIDATION; THERAPY; MODEL</t>
  </si>
  <si>
    <t>Purpose: The purpose of this study was to develop and test a moderated mediation model that was able to describe the relationships between oral health-related attitudes and behaviors, oral health status (OHS), and oral health-related quality of life. The hypothesized relations corresponded to research questions such as is a person's oral health predicted by the actions that person takes in order to prevent oral health conditions? and do individuals with better oral health also have higher levels of oral health-related quality of life?. Materials and methods: A cross-sectional correlational study with selected predictor variables was conducted in Cluj-Napoca, Romania, among 191 participants, enrolled in the fourth and sixth years of study at the Dentistry School of the Medicine and Pharmacology, University of Cluj-Napoca. Participants completed the Hiroshima University Dental Behavior Inventory (HUDBI) questionnaire targeting specific behavior and attitude with respect to their dental self-care, Oral Health Impact Profile (OHIP) short questionnaire for measuring oral health-related quality of life, and the current OHS was assessed objectively using Decayed, Missing, Filled Teeth/Surfaces (DMFT) index. Statistical analyses were done using structural equation modeling software. Results: Our research showed relevant associations between HUDBI, DMFT, and OHIP. The relationship between HUDBI and OHIP was mediated by DMFT. Furthermore, HUDBI worked as a moderator between DMFT and OHIP. Thus, our study revealed a case for moderated mediation, which is usually ignored in similar research. Conclusion: The straightforward causality between oral health-related behavior and the actual OHS must be considered with caution, as well as their impact on the oral health-related quality of life. Further research is needed to investigate the interaction between variables, the strength of the interrelations and the magnitude of their interactions, and the confidence that can be placed in these measurements, with respect to the general population and/or those lacking domain-specific education.</t>
  </si>
  <si>
    <t>[Vigu, Alexandra Lucia] Iuliu Hatieganu Univ Med &amp; Pharm, Dept Dent Mat &amp; Ergon, Cluj Napoca, Romania; [Stanciu, Dorin] Tech Univ Cluj Napoca, Dept Psychol &amp; Pedag, 15 Constantin Daicoviciu St,Tower Bldg,Room 205, Cluj Napoca, Romania; [Lotrean, Lucia Maria] Iuliu Hatieganu Univ Med &amp; Pharm, Dept Community Med, Cluj Napoca, Romania; [Campian, Radu Septimiu] Iuliu Hatieganu Univ Med &amp; Pharm, Dept Oral Rehabil Hlth &amp; Management, Cluj Napoca, Romania</t>
  </si>
  <si>
    <t>Iuliu Hatieganu University of Medicine &amp; Pharmacy; Technical University of Cluj Napoca; Iuliu Hatieganu University of Medicine &amp; Pharmacy; Iuliu Hatieganu University of Medicine &amp; Pharmacy</t>
  </si>
  <si>
    <t>Stanciu, D (corresponding author), Tech Univ Cluj Napoca, Dept Psychol &amp; Pedag, 15 Constantin Daicoviciu St,Tower Bldg,Room 205, Cluj Napoca, Romania.</t>
  </si>
  <si>
    <t>ionut.stanciu@dppd.utcluj.ro</t>
  </si>
  <si>
    <t>Stanciu, Ionut Dorin/IZD-8043-2023; Lotrean, Lucia M/C-2859-2011</t>
  </si>
  <si>
    <t>Stanciu, Ionut Dorin/0000-0002-7343-1667; Vigu, Alexandra/0000-0001-5057-6241</t>
  </si>
  <si>
    <t>10.2147/PPA.S159621</t>
  </si>
  <si>
    <t>GC8BQ</t>
  </si>
  <si>
    <t>WOS:000430018300001</t>
  </si>
  <si>
    <t>Wang, WQ; Krishnan, E</t>
  </si>
  <si>
    <t>Wang, Weiqi; Krishnan, Eswar</t>
  </si>
  <si>
    <t>Big Data and Clinicians: A Review on the State of the Science</t>
  </si>
  <si>
    <t>JMIR MEDICAL INFORMATICS</t>
  </si>
  <si>
    <t>big data; database; medical informatics; clinical research; medicine</t>
  </si>
  <si>
    <t>LARGE DATA SET; INDEPENDENT RISK-FACTOR; DATA WAREHOUSE; NEURAL-NETWORKS; INTEGRATION; VISUALIZATION; SYSTEM; HEALTH; DIAGNOSIS; CRITERIA</t>
  </si>
  <si>
    <t>Background: In the past few decades, medically related data collection saw a huge increase, referred to as big data. These huge datasets bring challenges in storage, processing, and analysis. In clinical medicine, big data is expected to play an important role in identifying causality of patient symptoms, in predicting hazards of disease incidence or reoccurrence, and in improving primary-care quality. Objective: The objective of this review was to provide an overview of the features of clinical big data, describe a few commonly employed computational algorithms, statistical methods, and software toolkits for data manipulation and analysis, and discuss the challenges and limitations in this realm. Methods: We conducted a literature review to identify studies on big data in medicine, especially clinical medicine. We used different combinations of keywords to search PubMed, Science Direct, Web of Knowledge, and Google Scholar for literature of interest from the past 10 years. Results: This paper reviewed studies that analyzed clinical big data and discussed issues related to storage and analysis of this type of data. Conclusions: Big data is becoming a common feature of biological and clinical studies. Researchers who use clinical big data face multiple challenges, and the data itself has limitations. It is imperative that methodologies for data analysis keep pace with our ability to collect and store data.</t>
  </si>
  <si>
    <t>[Wang, Weiqi; Krishnan, Eswar] Stanford Univ, Sch Med, 1000 Welch Rd,Suite 203, Palo Alto, CA 94304 USA</t>
  </si>
  <si>
    <t>Krishnan, E (corresponding author), Stanford Univ, Sch Med, 1000 Welch Rd,Suite 203, Palo Alto, CA 94304 USA.</t>
  </si>
  <si>
    <t>e.krishnan@stanford.edu</t>
  </si>
  <si>
    <t>krishnan, Eswar/AAY-1269-2020</t>
  </si>
  <si>
    <t>JMIR PUBLICATIONS, INC</t>
  </si>
  <si>
    <t>TORONTO</t>
  </si>
  <si>
    <t>130 QUEENS QUAY East, Unit 1100, TORONTO, ON M5A 0P6, CANADA</t>
  </si>
  <si>
    <t>2291-9694</t>
  </si>
  <si>
    <t>JMIR MED INF</t>
  </si>
  <si>
    <t>JMIR Med. Inf.</t>
  </si>
  <si>
    <t>JAN-JUN</t>
  </si>
  <si>
    <t>e1</t>
  </si>
  <si>
    <t>10.2196/medinform.2913</t>
  </si>
  <si>
    <t>V4C2Z</t>
  </si>
  <si>
    <t>WOS:000218801200009</t>
  </si>
  <si>
    <t>Tambe, P; Hitt, LM</t>
  </si>
  <si>
    <t>Tambe, Prasanna; Hitt, Lorin M.</t>
  </si>
  <si>
    <t>Now IT's Personal: Offshoring and the Shifting Skill Composition of the US Information Technology Workforce</t>
  </si>
  <si>
    <t>information systems; IT policy and management; management of IT human resources; organizational change; outsourcing; offshoring</t>
  </si>
  <si>
    <t>UNITED-STATES; WORKERS; PROFESSIONALS; DISAGGREGATION; COMPENSATION; CONTRACTORS; EMPLOYMENT; SYSTEMS; WORLD; FIRMS</t>
  </si>
  <si>
    <t>We combine new information technology (IT) offshoring and IT workforce microdata to investigate how the use of IT offshore captive centers is affecting the skill composition of the U. S. onshore IT workforce. The analysis is based on the theory that occupations involving tasks that are tradable, such as tasks that require little personal communication or hands-on interaction with U. S.-based objects, are vulnerable to being moved offshore. Consistent with this theory, we find that firms that have offshore IT captive centers have 8% less of their onshore IT workforce involved in tradable occupations; those without offshore captive centers have increased the proportion of onshore employment in these same occupations by 3%. In addition, we find that hourly IT workers (e. g., IT contractors) are disproportionately employed in tradable jobs, and their onshore employment is 2%-3% lower in firms with offshore captive centers. These findings persist after considering different measures of employment composition, including controls for human capital, firm performance, domestic outsourcing, and whether firms choose to build or buy software. Instrumental variables and corroborating regressions suggest that our estimates are conservative-the magnitude of the effect generally rises after accounting for reverse causality and measurement error.</t>
  </si>
  <si>
    <t>[Tambe, Prasanna] NYU, Stern Sch Business, New York, NY 10012 USA; [Hitt, Lorin M.] Univ Penn, Wharton Sch, Philadelphia, PA 19104 USA</t>
  </si>
  <si>
    <t>New York University; University of Pennsylvania</t>
  </si>
  <si>
    <t>Tambe, P (corresponding author), NYU, Stern Sch Business, 550 1St Ave, New York, NY 10012 USA.</t>
  </si>
  <si>
    <t>ptambe@stern.nyu.edu; lhitt@wharton.upenn.edu</t>
  </si>
  <si>
    <t>cheng, pui sze/U-2757-2017</t>
  </si>
  <si>
    <t>HANOVER</t>
  </si>
  <si>
    <t>7240 PARKWAY DR, STE 310, HANOVER, MD 21076-1344 USA</t>
  </si>
  <si>
    <t>10.1287/mnsc.1110.1445</t>
  </si>
  <si>
    <t>927LF</t>
  </si>
  <si>
    <t>WOS:000302908200002</t>
  </si>
  <si>
    <t>Roy, G; Sharma, S</t>
  </si>
  <si>
    <t>Roy, Gobinda; Sharma, Swati</t>
  </si>
  <si>
    <t>Measuring the role of factors on website effectiveness using vector autoregressive model</t>
  </si>
  <si>
    <t>JOURNAL OF RETAILING AND CONSUMER SERVICES</t>
  </si>
  <si>
    <t>Website effectiveness; Repeat visit; Average session duration; Bouncing rate; Vector auto-regression; Granger causality</t>
  </si>
  <si>
    <t>E-COMMERCE; ELECTRICITY CONSUMPTION; FLOW EXPERIENCE; WEB; DESIGN; INFORMATION; USABILITY; QUALITY</t>
  </si>
  <si>
    <t>Behavioral actions of online customers play an important role in influencing the website's effectiveness for online retailers and online business entities. The leading web analytics software measures the customers' behavior on a website using many key web metrics. However, the role of key metrics in measuring the dynamics nature of website effectiveness has largely been unexplored, especially for the non-transactional website. The study builds on flow theory to fill this gap. It presents a methodology to predict the website's effectiveness by examining the impact of three metrics (average session duration, repeat visit, and bouncing rate) on consumers' online behavioral outcomes witnessed through goal completion (GC) and goal conversion rate (GCR). Vector autoregressive (VAR) method is adopted to analyze the dynamic relations and effect among the metrics. The study provides an in-depth insight into the time-varying effect of each variable on website performance. The findings reveal that an engaged customer with high ASD (average session duration) or who revisits (RV) the site positively impacts GC and GCR. A negative effect of bouncing rate (BR) was found on goal conversion rate and goal completion. Interestingly, the study found granger causality between GC and GCR &amp; ASD, and RV. Based on the findings, the study provides vital theoretical and managerial implications.</t>
  </si>
  <si>
    <t>[Roy, Gobinda] Int Management Inst Kolkata, 2-4 C Judges Court Rd, Kolkata 700027, W Bengal, India; [Sharma, Swati] Jaypee Inst Informat Technol, A-10,Sect 62, Noida 201309, India</t>
  </si>
  <si>
    <t>International Management Institute (IMI) Kolkata; Jaypee Institute of Information Technology (JIIT)</t>
  </si>
  <si>
    <t>Roy, G (corresponding author), Int Management Inst Kolkata, 2-4 C Judges Court Rd, Kolkata 700027, W Bengal, India.</t>
  </si>
  <si>
    <t>gobinda.roy@gmail.com; sharma.a.swati@gmail.com</t>
  </si>
  <si>
    <t>Roy, Gobinda/I-3875-2016; sharma, swati/AAT-7539-2021</t>
  </si>
  <si>
    <t>sharma, swati/0000-0002-3260-8841; Roy, Gobinda/0000-0001-6660-2846</t>
  </si>
  <si>
    <t>0969-6989</t>
  </si>
  <si>
    <t>1873-1384</t>
  </si>
  <si>
    <t>J RETAIL CONSUM SERV</t>
  </si>
  <si>
    <t>J. Retail. Consum. Serv.</t>
  </si>
  <si>
    <t>10.1016/j.jretconser.2021.102656</t>
  </si>
  <si>
    <t>UU2TF</t>
  </si>
  <si>
    <t>WOS:000698653000015</t>
  </si>
  <si>
    <t>Kudlugi, M; Tessier, R</t>
  </si>
  <si>
    <t>IEEE TRANSACTIONS ON COMPUTER-AIDED DESIGN OF INTEGRATED CIRCUITS AND SYSTEMS</t>
  </si>
  <si>
    <t>asynchronous circuits; FPGA-based emulation; functional verification; static scheduling</t>
  </si>
  <si>
    <t>With the advent of system-on-a-chip design, many application specific integrated circuits (ASICs) now require multiple design clocks that operate asynchronously to each other. This design characteristic presents a significant challenge when these ASIC designs are mapped to parallel verification hardware such as parallel cycle-based simulators and logic emulators. In general, these systems require all computation and communication to be synchronized to a global system clock. As a result, the undefined relationship between design clocks can make it difficult to determine hold times for synchronous storage elements and causality relationships along reconvergent communication paths. This paper presents new scheduling and synchronization techniques to support accurate mapping of designs with multiple asynchronous clocks to parallel verification hardware. Through Analysis, it is shown that this approach is scalable to an unlimited number of domains And, supports increasingly large design sizes. To prove the effectiveness of the authors' approach, developed algorithms have been integrated into the compilation system for a commercial multi-FPGA logic emulation system. For three designs mapped to a logic emulator using this software environment, modeling fidelity is maintained and performance is enhanced versus previous manual mapping approaches. A theoretical analysis based on Rent's rule validates the scalability of the approach as device sizes increase.</t>
  </si>
  <si>
    <t>Mentor Graph Corp, Mentor Emulat Div, Waltham, MA 02451 USA; Univ Massachusetts, Dept Elect &amp; Comp Engn, Amherst, MA 01003 USA</t>
  </si>
  <si>
    <t>Mentor Graphics Inc; University of Massachusetts System; University of Massachusetts Amherst</t>
  </si>
  <si>
    <t>Mentor Graph Corp, Mentor Emulat Div, Waltham, MA 02451 USA.</t>
  </si>
  <si>
    <t>tessier@ecs.umass.edu</t>
  </si>
  <si>
    <t>0278-0070</t>
  </si>
  <si>
    <t>1937-4151</t>
  </si>
  <si>
    <t>IEEE T COMPUT AID D</t>
  </si>
  <si>
    <t>IEEE Trans. Comput-Aided Des. Integr. Circuits Syst.</t>
  </si>
  <si>
    <t>Computer Science, Hardware &amp; Architecture; Computer Science, Interdisciplinary Applications; Engineering, Electrical &amp; Electronic</t>
  </si>
  <si>
    <t>616BL</t>
  </si>
  <si>
    <t>WOS:000179281800002</t>
  </si>
  <si>
    <t>Afandi, M; Zulela, MS; Neolaka, A</t>
  </si>
  <si>
    <t>Afandi, Muhamad; Zulela, M. S.; Neolaka, Amos</t>
  </si>
  <si>
    <t>Causative Correlation of Teacher's Motivation and Discipline in Banyumanik, Semarang City</t>
  </si>
  <si>
    <t>INTERNATIONAL JOURNAL OF INSTRUCTION</t>
  </si>
  <si>
    <t>causative correlation; discipline; motivation; structural equation modeling; elementary teacher</t>
  </si>
  <si>
    <t>NONNORMAL DATA; CLIMATE</t>
  </si>
  <si>
    <t>The interaction between elementary school teacher's motivation and discipline in Indonesia has not been mapped well. This study aimed to identify patterns of motivation and discipline relationships using causality structural approaches to obtain more comprehensive understanding. This study was used an observational and quantitative descriptive method. A total of 162 elementary school teachers in Semarang City were involved as respondents, randomly. Teacher motivation and discipline were observed then analyzed using structural equation modelling (SEM) performed by LISREL software packages and SPSS. Teacher assessment results were grouped base on gender and work experience. The discipline was significantly positively correlated with motivation. The pattern of relationships between latent variables (motivation and discipline) showed a significant amount of good lead correlation. The value of R-2 between them reaches 0.80 indicating that the two variables affect each other higher enough. Furthermore, findings related to teacher motivation and discipline does not have differences between groups and gender, that means motivation and discipline both in gender and all work experiences were as equal as high performance. This research found that motivation is a strong driving factor to make teacher more discipline. The discipline itself pop up by high achievement or appreciation. The discipline also makes teachers get more positive achievement that may motivating them</t>
  </si>
  <si>
    <t>[Afandi, Muhamad; Zulela, M. S.; Neolaka, Amos] Univ Negeri Jakarta, Jakarta, Indonesia; [Afandi, Muhamad] Univ Islam Sultan AgungSemarang, Kota Semarang, Jawa Tengah, Indonesia</t>
  </si>
  <si>
    <t>Universitas Negeri Jakarta</t>
  </si>
  <si>
    <t>Afandi, M (corresponding author), Univ Negeri Jakarta, Jakarta, Indonesia.;Afandi, M (corresponding author), Univ Islam Sultan AgungSemarang, Kota Semarang, Jawa Tengah, Indonesia.</t>
  </si>
  <si>
    <t>mafandi@unissula.ac.id; zulelams@unj.ac.id; aneolaka@unj.ac.id</t>
  </si>
  <si>
    <t>AFANDI, MUHAMAD/0000-0001-6799-9216</t>
  </si>
  <si>
    <t>Directorate General of Research and Development, Ministry of Research, Technology and Higher Education of the Republic of Indonesia; Directorate of Research and Community Service</t>
  </si>
  <si>
    <t>A special thanks is delivered to the Directorate of Research and Community Service, Directorate General of Research and Development, Ministry of Research, Technology and Higher Education of the Republic of Indonesia for providing research grant as a part of the Doctoral research. This original research article was arranged and published as a part of dissertation research to complete the Doctor in Elementary Education at Postgraduate Program of University of Jakarta.</t>
  </si>
  <si>
    <t>GATE ASSOC TEACHING &amp; EDUCATION-GATE, SWITZERLAND</t>
  </si>
  <si>
    <t>GATE ASSOC TEACHING &amp; EDUCATION-GATE, SWITZERLAND, BASEL, SWITZERLAND</t>
  </si>
  <si>
    <t>1694-609X</t>
  </si>
  <si>
    <t>1308-1470</t>
  </si>
  <si>
    <t>INT J INSTR</t>
  </si>
  <si>
    <t>Int. J. Instr.</t>
  </si>
  <si>
    <t>10.29333/iji.2021.14130a</t>
  </si>
  <si>
    <t>PT3DE</t>
  </si>
  <si>
    <t>WOS:000608496700030</t>
  </si>
  <si>
    <t>Weber, A; Mak, SH; Berenbaum, F; Sellam, J; Zheng, YP; Han, YF; Wen, CY</t>
  </si>
  <si>
    <t>Weber, Adrian; Mak, Shing Hung; Berenbaum, Francis; Sellam, Jeremie; Zheng, Yong-Ping; Han, Yifan; Wen, Chunyi</t>
  </si>
  <si>
    <t>Association between osteoarthritis and increased risk of dementia: A systemic review and meta-analysis</t>
  </si>
  <si>
    <t>MEDICINE</t>
  </si>
  <si>
    <t>dementia; meta-analysis; osteoarthritis; systematic review</t>
  </si>
  <si>
    <t>COGNITIVE IMPAIRMENT; KNEE OSTEOARTHRITIS; DISEASE; NATIONWIDE; BURDEN; EPIDEMIOLOGY; INFLAMMATION; COMORBIDITY</t>
  </si>
  <si>
    <t>Objective:To investigate the possible association between osteoarthritis (OA) and the risk of dementia.Methods:Cohort, case-control, and cross-sectional studies were obtained from wide literature search up to 20 April 2018 from following electronic databases: PubMed, Embase, Cochrane, using the MeSH terms: osteoarthritis AND dementia. The literature search was then expanded to congress abstracts. After screening and selection of relevant studies by two investigators, data was extracted. Estimates were then calculated using a random-effect size model. Sensitivity-analysis was conducted for gender and age adjusted studies and pooled for studies with STROBE quality assessment score 75%. Publication bias was assessed by Funnel plot. Analyses were performed using Data Analysis and Statistical Software Version 14.2.Results:Nearly 1549 publication references were initially retrieved. Twenty-six publications were checked with full-text. Six observational studies with 388,252 individuals were included. OA was associated with a significantly increased risk for dementia (OR=1.20; 95% confidence interval (CI), 1.03-1.39, I-2=95.6%, P&lt;.05). After pooling the studies with adjustment of age and gender, the risk increased (OR 1.36; 95% CI, 1.22-1.51, I-2=75.6%, P&lt;.0001). After pooling the study with a STROBE Quality score 75% the risk for dementia was slightly increased (OR 1.33; 95% CI, 1.17-1.5, I-2=93.5%, p&lt;0.0001).Conclusions:There is an association between osteoarthritis and the risk of dementia. This meta-analysis does not provide causality. Further prospective cohort studies are needed to clarify, if knee-, hip-, or hand-OA are independent risk factors for Alzheimer's disease and vascular dementia.</t>
  </si>
  <si>
    <t>[Weber, Adrian; Zheng, Yong-Ping; Wen, Chunyi] Hong Kong Polytech Univ, Dept Biomed Engn, Hung Hom, Hong Kong, Peoples R China; [Mak, Shing Hung; Han, Yifan] Hong Kong Polytech Univ, Shenzhen Res Inst, State Key Lab Chinese Med &amp; Mol Pharmacol Incubat, Shenzhen, Peoples R China; [Mak, Shing Hung; Han, Yifan] Hong Kong Polytech Univ, Dept Appl Biol &amp; Chem Technol, Hung Hom, Hong Kong, Peoples R China; [Berenbaum, Francis; Sellam, Jeremie] Sorbonne Univ, St Antoine Hosp, Dept Rheumatol, Paris, France</t>
  </si>
  <si>
    <t>Hong Kong Polytechnic University; Hong Kong Polytechnic University; Hong Kong Polytechnic University; Assistance Publique Hopitaux Paris (APHP); Sorbonne Universite; Hopital Universitaire Saint-Antoine - APHP</t>
  </si>
  <si>
    <t>Wen, CY (corresponding author), Hong Kong Polytech Univ, Dept Biomed Engn, Hung Hom, Hong Kong, Peoples R China.</t>
  </si>
  <si>
    <t>chunyi.wen@polyu.edu.hk</t>
  </si>
  <si>
    <t>Berenbaum, Francis/AAO-5690-2020; Zheng, Yong-Ping/M-1197-2015; WEN, Chunyi/P-4168-2017</t>
  </si>
  <si>
    <t>Berenbaum, Francis/0000-0001-8252-7815; Zheng, Yong-Ping/0000-0002-3407-9226; Han, Yifan/0000-0002-5833-069X; WEN, Chunyi/0000-0003-1949-7822; MAK, Shinghung/0000-0002-9103-4833</t>
  </si>
  <si>
    <t>Shenzhen Basic Research Program [JCYJ20160331141459373]; Guangdong-Hong Kong Technology Cooperation Funding Scheme [GHP/012/16GD]; Research Grants Council of Hong Kong [15101014]</t>
  </si>
  <si>
    <t>Shenzhen Basic Research Program; Guangdong-Hong Kong Technology Cooperation Funding Scheme; Research Grants Council of Hong Kong(Hong Kong Research Grants Council)</t>
  </si>
  <si>
    <t>This work was supported by Shenzhen Basic Research Program (JCYJ20160331141459373), Guangdong-Hong Kong Technology Cooperation Funding Scheme (GHP/012/16GD), and Research Grants Council of Hong Kong (15101014).</t>
  </si>
  <si>
    <t>0025-7974</t>
  </si>
  <si>
    <t>1536-5964</t>
  </si>
  <si>
    <t>Medicine (Baltimore)</t>
  </si>
  <si>
    <t>e14355</t>
  </si>
  <si>
    <t>10.1097/MD.0000000000014355</t>
  </si>
  <si>
    <t>HQ6ZY</t>
  </si>
  <si>
    <t>WOS:000462570100003</t>
  </si>
  <si>
    <t>Dean, RT; Dunsmuir, WTM</t>
  </si>
  <si>
    <t>Dean, Roger T.; Dunsmuir, William T. M.</t>
  </si>
  <si>
    <t>Dangers and uses of cross-correlation in analyzing time series in perception, performance, movement, and neuroscience: The importance of constructing transfer function autoregressive models</t>
  </si>
  <si>
    <t>BEHAVIOR RESEARCH METHODS</t>
  </si>
  <si>
    <t>Autocorrelation; Autoregression; Cross-correlation; Continuous responses; Time series analysis; Granger causality; Prewhitening; Transfer function modeling</t>
  </si>
  <si>
    <t>EEG-DATA</t>
  </si>
  <si>
    <t>Many articles on perception, performance, psychophysiology, and neuroscience seek to relate pairs of time series through assessments of their cross-correlations. Most such series are individually autocorrelated: they do not comprise independent values. Given this situation, an unfounded reliance is often placed on cross-correlation as an indicator of relationships (e.g., referent vs. response, leading vs. following). Such cross-correlations can indicate spurious relationships, because of autocorrelation. Given these dangers, we here simulated how and why such spurious conclusions can arise, to provide an approach to resolving them. We show that when multiple pairs of series are aggregated in several different ways for a cross-correlation analysis, problems remain. Finally, even a genuine cross-correlation function does not answer key motivating questions, such as whether there are likely causal relationships between the series. Thus, we illustrate how to obtain a transfer function describing such relationships, informed by any genuine cross-correlations. We illustrate the confounds and the meaningful transfer functions by two concrete examples, one each in perception and performance, together with key elements of the R software code needed. The approach involves autocorrelation functions, the establishment of stationarity, prewhitening, the determination dof cross-correlation functions, the assessment of Granger causality, and autoregressive model development. Autocorrelation also limits the interpretability of other measures of possible relationships between pairs of time series, such as mutual information. We emphasize that further complexity may be required as the appropriate analysis is pursued fully, and that causal intervention experiments will likely also be needed.</t>
  </si>
  <si>
    <t>[Dean, Roger T.] Univ Western Sydney, MARCS Inst, Locked Bag 1797, Penrith, NSW 2751, Australia; [Dunsmuir, William T. M.] Univ New S Wales, Sch Math &amp; Stat, Sydney, NSW, Australia</t>
  </si>
  <si>
    <t>Western Sydney University; University of New South Wales Sydney</t>
  </si>
  <si>
    <t>Dean, RT (corresponding author), Univ Western Sydney, MARCS Inst, Locked Bag 1797, Penrith, NSW 2751, Australia.</t>
  </si>
  <si>
    <t>roger.dean@uws.edu.au</t>
  </si>
  <si>
    <t>Dean, Roger Thornton/0000-0002-8859-8902</t>
  </si>
  <si>
    <t>Australian Research Council</t>
  </si>
  <si>
    <t>Australian Research Council(Australian Research Council)</t>
  </si>
  <si>
    <t>We acknowledge support from the Australian Research Council.</t>
  </si>
  <si>
    <t>ONE NEW YORK PLAZA, SUITE 4600, NEW YORK, NY, UNITED STATES</t>
  </si>
  <si>
    <t>1554-351X</t>
  </si>
  <si>
    <t>1554-3528</t>
  </si>
  <si>
    <t>BEHAV RES METHODS</t>
  </si>
  <si>
    <t>Behav. Res. Methods</t>
  </si>
  <si>
    <t>10.3758/s13428-015-0611-2</t>
  </si>
  <si>
    <t>Psychology, Mathematical; Psychology, Experimental</t>
  </si>
  <si>
    <t>DR2ZO</t>
  </si>
  <si>
    <t>WOS:000379772600027</t>
  </si>
  <si>
    <t>Presson, AP; Sobel, EM; Papp, JC; Suarez, CJ; Whistler, T; Rajeevan, MS; Vernon, SD; Horvath, S</t>
  </si>
  <si>
    <t>Presson, Angela P.; Sobel, Eric M.; Papp, Jeanette C.; Suarez, Charlyn J.; Whistler, Toni; Rajeevan, Mangalathu S.; Vernon, Suzanne D.; Horvath, Steve</t>
  </si>
  <si>
    <t>Integrated Weighted Gene Co-expression Network Analysis with an Application to Chronic Fatigue Syndrome</t>
  </si>
  <si>
    <t>BMC SYSTEMS BIOLOGY</t>
  </si>
  <si>
    <t>MENDELIAN RANDOMIZATION; HPA AXIS; EXPRESSION; POLYMORPHISMS; ENCEPHALOMYOPATHY; IMMUNODEFICIENCY; IDENTIFICATION; PREVALENCE; ALOPECIA; MUTATION</t>
  </si>
  <si>
    <t>Background: Systems biologic approaches such as Weighted Gene Co-expression Network Analysis (WGCNA) can effectively integrate gene expression and trait data to identify pathways and candidate biomarkers. Here we show that the additional inclusion of genetic marker data allows one to characterize network relationships as causal or reactive in a chronic fatigue syndrome (CFS) data set. Results: We combine WGCNA with genetic marker data to identify a disease-related pathway and its causal drivers, an analysis which we refer to as Integrated WGCNA or IWGCNA. Specifically, we present the following IWGCNA approach: 1) construct a co-expression network, 2) identify trait-related modules within the network, 3) use a trait-related genetic marker to prioritize genes within the module, 4) apply an integrated gene screening strategy to identify candidate genes and 5) carry out causality testing to verify and/or prioritize results. By applying this strategy to a CFS data set consisting of microarray, SNP and clinical trait data, we identify a module of 299 highly correlated genes that is associated with CFS severity. Our integrated gene screening strategy results in 20 candidate genes. We show that our approach yields biologically interesting genes that function in the same pathway and are causal drivers for their parent module. We use a separate data set to replicate findings and use Ingenuity Pathways Analysis software to functionally annotate the candidate gene pathways. Conclusion: We show how WGCNA can be combined with genetic marker data to identify disease-related pathways and the causal drivers within them. The systems genetics approach described here can easily be used to generate testable genetic hypotheses in other complex disease studies.</t>
  </si>
  <si>
    <t>[Presson, Angela P.; Sobel, Eric M.; Papp, Jeanette C.; Suarez, Charlyn J.; Horvath, Steve] Univ Calif Los Angeles, Los Angeles, CA 90024 USA; [Whistler, Toni; Rajeevan, Mangalathu S.; Vernon, Suzanne D.] Ctr Dis Control &amp; Prevent, Div Viral &amp; Rickettsial Dis, Natl Ctr Zoonot Vector Borne &amp; Enter Dis, Atlanta, GA USA; [Vernon, Suzanne D.] CFIDS, Charlotte, NC USA</t>
  </si>
  <si>
    <t>University of California System; University of California Los Angeles; Centers for Disease Control &amp; Prevention - USA</t>
  </si>
  <si>
    <t>Horvath, S (corresponding author), Univ Calif Los Angeles, Los Angeles, CA 90024 USA.</t>
  </si>
  <si>
    <t>apresson@ucla.edu; esobel@mednet.ucla.edu; jcpapp@mednet.ucla.ed; charlynsuarez@yahoo.com; taw6@cdc.gov; mor4@cdc.gov; sdv2@cdc.gov; shorvath@mednet.ucla.edu</t>
  </si>
  <si>
    <t>Whistler, Toni/A-6709-2009</t>
  </si>
  <si>
    <t>Sobel, Eric/0000-0002-1718-0031; Whistler, Toni/0000-0002-7250-908X</t>
  </si>
  <si>
    <t>USPHS [U19 AI063603, T32 HG002536, P50CA092131, HL28481, CA16042]</t>
  </si>
  <si>
    <t>USPHS(United States Department of Health &amp; Human ServicesUnited States Public Health Service)</t>
  </si>
  <si>
    <t>This work was supported in part by USPHS grants U19 AI063603 (SH), T32 HG002536 (APP), P50CA092131 (SH), HL28481 (SH) and CA16042 (SH).</t>
  </si>
  <si>
    <t>1752-0509</t>
  </si>
  <si>
    <t>BMC SYST BIOL</t>
  </si>
  <si>
    <t>BMC Syst. Biol.</t>
  </si>
  <si>
    <t>NOV 6</t>
  </si>
  <si>
    <t>Mathematical &amp; Computational Biology</t>
  </si>
  <si>
    <t>407CG</t>
  </si>
  <si>
    <t>WOS:000263340600001</t>
  </si>
  <si>
    <t>Cingolani, D; Pellegrini, A; Quaglia, F</t>
  </si>
  <si>
    <t>Cingolani, Davide; Pellegrini, Alessandro; Quaglia, Francesco</t>
  </si>
  <si>
    <t>ACM TRANSACTIONS ON MODELING AND COMPUTER SIMULATION</t>
  </si>
  <si>
    <t>Optimistic synchronization; time warp; software reversibility</t>
  </si>
  <si>
    <t>SIMULATION; DYMELOR; MODEL</t>
  </si>
  <si>
    <t>The Time Warp synchronization protocol for Parallel Discrete Event Simulation (PDES) is universally considered a viable solution to exploit the intrinsic simulation model parallelism and to provide model execution speedup. Yet it leads the PDES system to execute events in an order that may generate causal inconsistencies that need to be recovered via rollback, which requires restoration of a previous (consistent) simulation state whenever a causality violation is detected. The rollback operation is so critical for the performance of a Time Warp system that it has been extensively studied in the literature for decades to find approaches suitable to optimize it. The proposed solutions can be roughly classified as based on either checkpointing or reverse computing. In this article, we explore the practical design and implementation of a fully new approach based on the runtime generation of so-called undo code blocks, which are blocks of instructions implementing the reverse memory side effects generated by the forward execution of the events. However, this is not done by recomputing the original values to be restored, as instead it occurs in reverse computing schemes. Hence, the philosophy undo code blocks rely on is similar in spirit to that of undo-logs (as a form of checkpointing). Nevertheless, they are not data logs (as instead checkpoints are); rather, they are logs of instructions. Our proposal is fully transparent, thanks to the reliance on static software instrumentation (targeting the x86 architecture and Linux systems). Also, as we show, it can be combined with classical checkpointing to further improve the runtime behavior of the state recoverability support as a function of the workload. We also present experimental results related to our implementation, which is released as free software and fully integrated into the open source ROOT-Sim package. Experimental data support the viability and effectiveness of our proposal.</t>
  </si>
  <si>
    <t>[Cingolani, Davide; Pellegrini, Alessandro; Quaglia, Francesco] Sapienza Univ Rome, Dipartimento Ingn Informat Automat &amp; Gest Antonio, Via Ariosto 25, I-00185 Rome, Italy</t>
  </si>
  <si>
    <t>Cingolani, D (corresponding author), Sapienza Univ Rome, Dipartimento Ingn Informat Automat &amp; Gest Antonio, Via Ariosto 25, I-00185 Rome, Italy.</t>
  </si>
  <si>
    <t>cingolani@dis.uniroma1.it; pellegrini@dis.uniroma1.it; quaglia@dis.uniroma1.it</t>
  </si>
  <si>
    <t>2 PENN PLAZA, STE 701, NEW YORK, NY 10121-0701 USA</t>
  </si>
  <si>
    <t>1049-3301</t>
  </si>
  <si>
    <t>1558-1195</t>
  </si>
  <si>
    <t>ACM T MODEL COMPUT S</t>
  </si>
  <si>
    <t>Computer Science, Interdisciplinary Applications; Mathematics, Applied</t>
  </si>
  <si>
    <t>FA5PM</t>
  </si>
  <si>
    <t>WOS:000405495800006</t>
  </si>
  <si>
    <t>Bruhn, FRP; Morais, MHF; Cardoso, DL; Bruhn, NCP; Ferreira, F; da Rocha, CMBM</t>
  </si>
  <si>
    <t>Pascoti Bruhn, Fabio Raphael; Franco Morais, Maria Helena; Cardoso, Denis Lucio; Pereira Bruhn, Nadia Campos; Ferreira, Fernando; Barcellos Magalhaes da Rocha, Christiane Maria</t>
  </si>
  <si>
    <t>Spatial and temporal relationships between human and canine visceral leishmaniases in Belo Horizonte, Minas Gerais, 2006-2013</t>
  </si>
  <si>
    <t>PARASITES &amp; VECTORS</t>
  </si>
  <si>
    <t>Leishmania infantum; Public health; Spatial analysis; Time series; Epidemiology</t>
  </si>
  <si>
    <t>SAO-PAULO; ASSOCIATION; SPREAD; BRAZIL; STATE; DOGS</t>
  </si>
  <si>
    <t>Background: Visceral leishmaniasis is a serious public health problem in Brazil, and control of this disease constitutes a major challenge. The purpose of this study was to assess the existing spatial and temporal relationships between cases of canine visceral leishmaniasis (CanL) and human visceral leishmaniasis (HVL) recorded in Belo Horizonte, State of Minas Gerais, from 2006 to 2013. Methods: Data provided by the Belo Horizonte Health Services regarding the disease control routine were analyzed in order to perform a retrospective observational and ecological study. Information regarding the incidence rate of HVL and canine seroprevalence was examined in relation to control actions performed atthe 148 coverage areas of healthcare centers for the period between 2006 and 2013. A time series analysis was performed using the Gretl 1.9.12 software followed by the assessment of the existing increasing or declining trend and seasonality in the occurrence of CanL and HVL. Autoregressive integrated moving average (ARIMA) models were adjusted, intervention analysis was performed, vector autoregressive models were developed, and Granger causality was used for testing temporal relationships between variables. The hot spot analysis tool was used for cluster identification through Getis-OrdGi statistics. The ArcGis for desktop 10.2.1 software was used for spatial analysis. Results: We identified 866 HVL cases in Belo Horizonte between 2006 and 2013. The mean proportion of canine seroprevalence (PCP) was 7.31% and the mean proportion of monitored hosts (PMH) was 6.73%.HVL and PCP showed a decreasing trend, while PMH increased over time (P&lt;0.05). Vector Autoregressive (VAR) and Granger analysis showed a temporal relation between CanL and HVL cases. Maps illustrating the spatial distribution of cases and obituaries of HVL and CanL cases also showed an apparent association between the occurrence of leishmaniasis in humans, and data about canine cases recorded in the previous years. Conclusions: Cases of HVL were preceded by PMH and PCP cases. Similar results were observed for intraspecific cases (i.e. between PCP and other canine cases and between HVL and other HVL cases), which indicated the existence of favorable environmental conditions for the transmission and spread of L infantum in Belo Horizonte.</t>
  </si>
  <si>
    <t>[Pascoti Bruhn, Fabio Raphael] Fed Univ Pelotas UFPel, Zoonosis Control Ctr UFPel, Dept Prevent Vet, Capao Do Leao, RS, Brazil; [Franco Morais, Maria Helena] Municipal Dept Hlth Belo Horizonte, Belo Horizonte, MG, Brazil; [Cardoso, Denis Lucio; Barcellos Magalhaes da Rocha, Christiane Maria] Fed Univ Lavras UFLA, Dept Prevent Vet, Belo Horizonte, MG, Brazil; [Pereira Bruhn, Nadia Campos] Fed Univ Pelotas UFPel, Ctr Mercosul Integrat, Pelotas, RS, Brazil; [Ferreira, Fernando] Univ Sao Paulo, Sch Vet Med, Dept Prevent Vet Med &amp; Anim Hlth, Sao Paulo, Brazil</t>
  </si>
  <si>
    <t>Universidade Federal de Pelotas; Universidade Federal de Lavras; Universidade Federal de Pelotas; Universidade de Sao Paulo</t>
  </si>
  <si>
    <t>da Rocha, CMBM (corresponding author), Fed Univ Lavras UFLA, Dept Prevent Vet, Belo Horizonte, MG, Brazil.</t>
  </si>
  <si>
    <t>rochac@dmv.ufla.br</t>
  </si>
  <si>
    <t>Ferreira, Fernando/C-9038-2013; da Rocha, Christiane Maria Barcellos Magalhães/S-4924-2019</t>
  </si>
  <si>
    <t>Ferreira, Fernando/0000-0002-9160-7355; da Rocha, Christiane Maria Barcellos Magalhães/0000-0002-2012-9552; PASCOTI BRUHN, FABIO RAPHAEL/0000-0002-4191-965X</t>
  </si>
  <si>
    <t>Conselho Nacional de Desenvolvimento Cientifico e Tecnologico (CNPq)</t>
  </si>
  <si>
    <t>Conselho Nacional de Desenvolvimento Cientifico e Tecnologico (CNPq)(Conselho Nacional de Desenvolvimento Cientifico e Tecnologico (CNPQ))</t>
  </si>
  <si>
    <t>This study was funded by the Conselho Nacional de Desenvolvimento Cientifico e Tecnologico (CNPq) that granted research scholarship to CMBMR.</t>
  </si>
  <si>
    <t>1756-3305</t>
  </si>
  <si>
    <t>PARASITE VECTOR</t>
  </si>
  <si>
    <t>Parasites Vectors</t>
  </si>
  <si>
    <t>JUN 28</t>
  </si>
  <si>
    <t>10.1186/s13071-018-2877-6</t>
  </si>
  <si>
    <t>Parasitology; Tropical Medicine</t>
  </si>
  <si>
    <t>GK9WF</t>
  </si>
  <si>
    <t>WOS:000436607700006</t>
  </si>
  <si>
    <t>Shahzad, U; Asl, MG; Panait, M; Sarker, T; Apostu, SA</t>
  </si>
  <si>
    <t>Shahzad, Umer; Asl, Mahdi Ghaemi; Panait, Mirela; Sarker, Tapan; Apostu, Simona Andreea</t>
  </si>
  <si>
    <t>Emerging interaction of artificial intelligence with basic materials and oil &amp; gas companies: A comparative look at the Islamic vs. conventional markets</t>
  </si>
  <si>
    <t>RESOURCES POLICY</t>
  </si>
  <si>
    <t>System software; Artificial intelligence; Basic materials; Oil &amp; gas companies; Quantile connectedness; Causality-in-quantiles</t>
  </si>
  <si>
    <t>CONSISTENT NONPARAMETRIC TEST; IMPULSE-RESPONSE ANALYSIS; CAUSALITY; TECHNOLOGIES; INDUSTRY</t>
  </si>
  <si>
    <t>As part of the artificial intelligence (AI) industry there are many companies engaged in providing hardware that enhances the use of artificial intelligence technology for big data analysis, along with companies that are involved in data analytics, software, system software, and artificial intelligence software. This paper examines the quantiles-based connectedness and non-linear causality-in-quantiles nexus of AI enterprises with basic materials and oil &amp; gas companies, and their Islamic markets. Formally, we consider two perspectives, including before and after the pandemic of COVID-19 (for period May 18, 2018-June 01, 2022). It is observed that in the network of AI-based investments and companies related to basic materials and oil &amp; gas industries, AI is a net recipient of shocks before and during the COVID-19 era, with a higher intensity of shock-receiving in the normal market and during COVID-19-affected period than in the upper and lower tails and prior to COVID-19 period. However, AI could serve as the cause-in-quantiles of oil &amp; gas-related companies in the Islamic markets (in both pre-COVID-19 and COVID-19 timeframes) and conventional oil &amp; gas firms (only within COVID-19). On the other hand, both the Islamic and the conventional basic materials and oil &amp; gas businesses appear to be a non-linear cause-in-variance of the AI technology in the middle quantiles of the COVID-19 situation. Aside from this, the only causal factors from resources-based markets to AI are Islamic and conventional basic materials companies, as observed only during COVID-19. Based on our analysis, COVID-19 presented an excellent opportunity for improving the involvement of AI innovations with basic materials and oil &amp; gas companies. As a consequence, the basic materials market may be able to provide hardware and software infrastructures to support the technology of artificial intelligence. Also, the inventions that enter the oil &amp; gas industry due to the use of artificial intelligence could have a significant impact on their average performance. In this light, AI could be recognized as a strategic link in the supply chain of basic materials and oil &amp; gas companies. There are many implications arising from these new insights for the developers of AI applications, resource policy-makers and managers, as well as investors who are interested in investing in new technologies.</t>
  </si>
  <si>
    <t>[Shahzad, Umer] Anhui Univ Finance &amp; Econ, Sch Stat &amp; Appl Math, Bengbu, Peoples R China; [Asl, Mahdi Ghaemi] Kharazmi Univ, Fac Econ, Tehran, Iran; [Panait, Mirela] Petr Gas Univ Ploiesti, Romania &amp; Inst Natl Econ, Bucharest, Romania; [Sarker, Tapan] Univ Southern Queensland, Sch Business, Brisbane, Australia; [Apostu, Simona Andreea] Bucharest Univ Econ Studies, Bucharest, Romania; [Apostu, Simona Andreea] Inst Natl Econ, Bucharest, Romania</t>
  </si>
  <si>
    <t>Anhui University of Finance &amp; Economics; Kharazmi University; Oil &amp; Gas University of Ploiesti; University of Southern Queensland; Bucharest University of Economic Studies</t>
  </si>
  <si>
    <t>Asl, MG (corresponding author), Kharazmi Univ, Fac Econ, Tehran, Iran.</t>
  </si>
  <si>
    <t>umer@aufe.edu.cn; m.ghaemi@khu.ac.ir; mirela.matei@upg-ploiesti.ro; tapan.sarker@usq.edu.au; simona.apostu@csie.ase</t>
  </si>
  <si>
    <t>Ghaemi Asl, Mahdi/GZK-2341-2022; Mirela, Panait/K-3300-2019; Sarker, Tapan/ABG-2973-2021; Apostu, Simona Andreea/B-8099-2019; Shahzad, Umer/ABC-8034-2020</t>
  </si>
  <si>
    <t>Ghaemi Asl, Mahdi/0000-0002-2246-2914; Mirela, Panait/0000-0002-5158-753X; Apostu, Simona Andreea/0000-0003-1727-0114; Shahzad, Umer/0000-0002-7010-4054; Sarker, Tapan/0000-0002-0682-2940</t>
  </si>
  <si>
    <t>0301-4207</t>
  </si>
  <si>
    <t>1873-7641</t>
  </si>
  <si>
    <t>RESOUR POLICY</t>
  </si>
  <si>
    <t>Resour. Policy</t>
  </si>
  <si>
    <t>10.1016/j.resourpol.2022.103197</t>
  </si>
  <si>
    <t>DEC 2022</t>
  </si>
  <si>
    <t>Environmental Studies</t>
  </si>
  <si>
    <t>8C2DQ</t>
  </si>
  <si>
    <t>WOS:000917426000001</t>
  </si>
  <si>
    <t>Al Rowily, A; Jalal, Z; Price, MJ; Abutaleb, MH; Almodiaemgh, H; Al Ammari, M; Paudyal, V</t>
  </si>
  <si>
    <t>Al Rowily, Abdulrhman; Jalal, Zahraa; Price, Malcolm J.; Abutaleb, Mohammed H.; Almodiaemgh, Hind; Al Ammari, Maha; Paudyal, Vibhu</t>
  </si>
  <si>
    <t>Prevalence, contributory factors and severity of medication errors associated with direct-acting oral anticoagulants in adult patients: a systematic review and meta-analysis</t>
  </si>
  <si>
    <t>Non-vitamin K antagonist oral anticoagulants; Direct acting oral anticoagulants (DOACs); Medication errors; Systematic review; Meta-analysis</t>
  </si>
  <si>
    <t>DABIGATRAN; RIVAROXABAN; CARE</t>
  </si>
  <si>
    <t>Purpose This study aimed to estimate the prevalence, contributory factors, and severity of medication errors associated with direct acting oral anticoagulants (DOACs). Methods A systematic review and meta-analysis were undertaken by searching 11 databases including Medline, Embase, and CINHAL between January 2008 and September 2020. The pooled prevalence of errors and predictive intervals were estimated using random-effects models using Stata software. Data related to error causation were synthesised according to Reason's accident causation model. Results From the 5205 titles screened, 32 studies were included which were mostly based in hospitals and included DOAC treatment for thromboembolism and atrial fibrillation. The proportion of study population who experienced either prescription, administration, or dispensing error ranged from 5.3 to 37.3%. The pooled percentage of patients experiencing prescribing error was 20% (95% CI 15-25%; I-2 = 96%; 95% PrI 4-43%). Prescribing error constituted the majority of all error types with a pooled estimate of 78% (95%CI 73-82%; I-2 = 0) of all errors. The common reported causes were active failures including wrong drug, and dose for the indication. Mistakes such as non-consideration of renal function, and error-provoking conditions such as lack of knowledge were common contributing factors. Adverse events such as potentially fatal intracranial haemorrhage or patient deaths were linked to the errors but causality assessments were often missing. Conclusions Despite their favourable safety profile, DOAC medication errors are common. There is a need to promote multidisciplinary working, guideline-adherence, training, and education of healthcare professionals, and the use of theory-based and technology-facilitated interventions to minimise errors and maximise the benefits of DOACs usage in all settings. Protocol A protocol developed as per PRISMA-P guideline is registered under PROSPERO ID = CRD42019122996</t>
  </si>
  <si>
    <t>[Al Rowily, Abdulrhman; Jalal, Zahraa; Paudyal, Vibhu] Univ Birmingham, Coll Med &amp; Dent Sci, Sir Robert Aitken Inst Med Res, Inst Clin Sci,Sch Pharm, Birmingham B15 2TT, W Midlands, England; [Al Rowily, Abdulrhman] King Fahad Mil Med Complex KFMMC, Med Dept, Minist Def, Pharmaceut Care Dept, Dhahran, Saudi Arabia; [Price, Malcolm J.] Univ Birmingham, Inst Appl Hlth Res, Birmingham, W Midlands, England; [Price, Malcolm J.] Univ Hosp Birmingham NHS Fdn Trust, NIHR Birmingham Biomed Res Ctr, Birmingham, W Midlands, England; [Abutaleb, Mohammed H.] Minist Hlth, Pharmaceut Care Dept, King Fahad Cent Hosp, Jazan, Saudi Arabia; [Almodiaemgh, Hind; Al Ammari, Maha] King Saud Bin Abdulaziz Univ Hlth Sci, King Abdullah Int Med Res Ctr, King Abdulaziz Med City, Pharmaceut Care Dept, Riyadh, Saudi Arabia</t>
  </si>
  <si>
    <t>University of Birmingham; University of Birmingham; University of Birmingham; Ministry of Health - Saudi Arabia; King Saud Bin Abdulaziz University for Health Sciences; King Abdullah International Medical Research Center (KAIMRC); King Abdulaziz Medical City; King Abdulaziz Medical City - Riyadh</t>
  </si>
  <si>
    <t>Paudyal, V (corresponding author), Univ Birmingham, Coll Med &amp; Dent Sci, Sir Robert Aitken Inst Med Res, Inst Clin Sci,Sch Pharm, Birmingham B15 2TT, W Midlands, England.</t>
  </si>
  <si>
    <t>v.paudyal@bham.ac.uk</t>
  </si>
  <si>
    <t>; Abutaleb, Mohammed H./I-2595-2013</t>
  </si>
  <si>
    <t>Paudyal, Vibhu/0000-0002-4173-6490; Price, Malcolm/0000-0002-7352-3027; Abutaleb, Mohammed H./0000-0002-5300-5900; ALROWILY, ABDULRHMAN SARRAH R/0000-0002-8813-7612</t>
  </si>
  <si>
    <t>Saudi Ministry of Education; NIHR Birmingham Biomedical Research Centre at the University Hospitals Birmingham NHS Foundation Trust; University of Birmingham</t>
  </si>
  <si>
    <t>AA was sponsored by the Saudi Ministry of Education for the PhD programme. No other funding was received for the conduct of this study. MJP was supported by the NIHR Birmingham Biomedical Research Centre at the University Hospitals Birmingham NHS Foundation Trust and the University of Birmingham.</t>
  </si>
  <si>
    <t>10.1007/s00228-021-03212-y</t>
  </si>
  <si>
    <t>ZU6XM</t>
  </si>
  <si>
    <t>WOS:000732506300001</t>
  </si>
  <si>
    <t>Harrer, M; Cuijpers, P; Schuurmans, LKJ; Kaiser, T; Buntrock, C; van Straten, A; Ebert, D</t>
  </si>
  <si>
    <t>Harrer, Mathias; Cuijpers, Pim; Schuurmans, Lea K. J.; Kaiser, Tim; Buntrock, Claudia; van Straten, Annemieke; Ebert, David</t>
  </si>
  <si>
    <t>Evaluation of randomized controlled trials: a primer and tutorial for mental health researchers</t>
  </si>
  <si>
    <t>Mental health; Randomized controlled trial; Data analysis; Tutorial</t>
  </si>
  <si>
    <t>PSYCHOTHERAPY OUTCOME RESEARCH; MULTIPLE-IMPUTATION; CLINICAL-TRIALS; BASE-LINE; SUBTHRESHOLD DEPRESSION; CAUSAL INFERENCE; PLACEBO; REGISTRATION; INTERVENTION; METAANALYSIS</t>
  </si>
  <si>
    <t>Background Considered one of the highest levels of evidence, results of randomized controlled trials (RCTs) remain an essential building block in mental health research. They are frequently used to confirm that an intervention works and to guide treatment decisions. Given their importance in the field, it is concerning that the quality of many RCT evaluations in mental health research remains poor. Common errors range from inadequate missing data handling and inappropriate analyses (e.g., baseline randomization tests or analyses of within-group changes) to unduly interpretations of trial results and insufficient reporting. These deficiencies pose a threat to the robustness of mental health research and its impact on patient care. Many of these issues may be avoided in the future if mental health researchers are provided with a better understanding of what constitutes a high-quality RCT evaluation.Methods In this primer article, we give an introduction to core concepts and caveats of clinical trial evaluations in mental health research. We also show how to implement current best practices using open-source statistical software.Results Drawing on Rubin's potential outcome framework, we describe that RCTs put us in a privileged position to study causality by ensuring that the potential outcomes of the randomized groups become exchangeable. We discuss how missing data can threaten the validity of our results if dropouts systematically differ from non-dropouts, introduce trial estimands as a way to co-align analyses with the goals of the evaluation, and explain how to set up an appropriate analysis model to test the treatment effect at one or several assessment points. A novice-friendly tutorial is provided alongside this primer. It lays out concepts in greater detail and showcases how to implement techniques using the statistical software R, based on a real-world RCT dataset.Discussion Many problems of RCTs already arise at the design stage, and we examine some avoidable and unavoidable weak spots of this design in mental health research. For instance, we discuss how lack of prospective registration can give way to issues like outcome switching and selective reporting, how allegiance biases can inflate effect estimates, review recommendations and challenges in blinding patients in mental health RCTs, and describe problems arising from underpowered trials. Lastly, we discuss why not all randomized trials necessarily have a limited external validity and examine how RCTs relate to ongoing efforts to personalize mental health care.</t>
  </si>
  <si>
    <t>[Harrer, Mathias; Schuurmans, Lea K. J.; Ebert, David] Tech Univ Munich, Psychol &amp; Digital Mental Hlth Care, Georg Brauchle Ring 60-62, D-80992 Munich, Germany; [Harrer, Mathias] Friedrich Alexander Univ Erlangen Nuremberg, Inst Psychol, Clin Psychol &amp; Psychotherapy, Erlangen, Germany; [Cuijpers, Pim; van Straten, Annemieke] Vrije Univ Amsterdam, Amsterdam Publ Hlth Res Inst, Dept Clin Neuro &amp; Dev Psychol, Amsterdam, Netherlands; [Cuijpers, Pim] Vrije Univ Amsterdam, WHO Collaborating Ctr Res &amp; Disseminat Psychol Int, Amsterdam, Netherlands; [Kaiser, Tim] Free Univ Berlin, Methods &amp; Evaluat Qual Assurance, Berlin, Germany; [Buntrock, Claudia] Otto von Guericke Univ, Inst Social Med &amp; Hlth Syst Res ISMHSR, Med Fac, Magdeburg, Germany</t>
  </si>
  <si>
    <t>Technical University of Munich; University of Erlangen Nuremberg; Vrije Universiteit Amsterdam; Vrije Universiteit Amsterdam; Free University of Berlin; Otto von Guericke University</t>
  </si>
  <si>
    <t>Harrer, M (corresponding author), Tech Univ Munich, Psychol &amp; Digital Mental Hlth Care, Georg Brauchle Ring 60-62, D-80992 Munich, Germany.;Harrer, M (corresponding author), Friedrich Alexander Univ Erlangen Nuremberg, Inst Psychol, Clin Psychol &amp; Psychotherapy, Erlangen, Germany.</t>
  </si>
  <si>
    <t>mathias.harrer@tum.de</t>
  </si>
  <si>
    <t>Kaiser, Tim/S-9339-2019</t>
  </si>
  <si>
    <t>Kaiser, Tim/0000-0002-6307-5347; van Straten, Annemieke/0000-0001-6875-2215; Harrer, Mathias/0000-0001-7016-2687</t>
  </si>
  <si>
    <t>We would like to thank Stella Wernicke for her helpful feedback on this article.</t>
  </si>
  <si>
    <t>AUG 30</t>
  </si>
  <si>
    <t>10.1186/s13063-023-07596-3</t>
  </si>
  <si>
    <t>Q6JP1</t>
  </si>
  <si>
    <t>WOS:001058568900001</t>
  </si>
  <si>
    <t>IMPACT OF STOCK MARKETS ON THE ECONOMY IN THE V4 COUNTRIES</t>
  </si>
  <si>
    <t>E &amp; M EKONOMIE A MANAGEMENT</t>
  </si>
  <si>
    <t>ADF test of stationarity; Granger causality; impulse-response analysis; stock market; VECM; V4</t>
  </si>
  <si>
    <t>MACROECONOMIC INDICATORS; GROWTH</t>
  </si>
  <si>
    <t>The performance of the economy should generally reflect the performance of stock markets. Production increases, prices rise, and companies' profits increase if the economy grows. And the shares should naturally make the profits (which means among other things, higher dividends) even more attractive. But is that really true? The aim of the article is to find out the relationship between the development of stock markets and the economic growth in Visegrad Group countries (V4). The subject of the survey is both the long-term relationship and the short-term relationship in the course of economic cycles. The article uses the tools of time series econometrics, especially VECMs, including corresponding diagnostics, Granger causality and block erogeneity. The relationships between the variables examined vary from country to country. The long-term relationship between the development of stock markets and the economic growth was confirmed in Slovakia and Hungary. It was confirmed that the GDP growth rate influenced the growth rate of stock indices in all V4 countries. The opposite relationship (the stock index growth rate influences the GDP growth rate) was not confirmed only in the Czech Republic. Quarterly data for the period from 2005/Q1 to 2018/Q4 was used for the analysis. This period was selected because all of the V4 countries have been members of the European Union since 2004. The EViews software version 9 was used for the calculations. Variables used in this research are: the GDP, the stock exchange index of the country and stock trading volume. The PX, SAX, BUX and WIG20 stock indices are considered to be the crucial representatives of individual stock markets in this work.</t>
  </si>
  <si>
    <t>[Krkoskova, Radmila] Silesian Univ Opava, Sch Business Adm Karvina, Dept Informat &amp; Math, Opava, Czech Republic</t>
  </si>
  <si>
    <t>Krkosková, R (corresponding author), Silesian Univ Opava, Sch Business Adm Karvina, Dept Informat &amp; Math, Opava, Czech Republic.</t>
  </si>
  <si>
    <t>Krkošková, Radmila/AAA-6609-2021</t>
  </si>
  <si>
    <t>project Application of Customer Relationship Management Systems in Small and Medium-sized Enterprises [SGS/19/2019]</t>
  </si>
  <si>
    <t>project Application of Customer Relationship Management Systems in Small and Medium-sized Enterprises</t>
  </si>
  <si>
    <t>This paper was supported by the project no. SGS/19/2019, Application of Customer Relationship Management Systems in Small and Medium-sized Enterprises accepted in 2019.</t>
  </si>
  <si>
    <t>TECHNICAL UNIV LIBEREC</t>
  </si>
  <si>
    <t>LIBEREC 1</t>
  </si>
  <si>
    <t>FAC ECONOMICS, STUDENTSKA 2, IC 46747885, LIBEREC 1, 461 17, CZECH REPUBLIC</t>
  </si>
  <si>
    <t>1212-3609</t>
  </si>
  <si>
    <t>2336-5064</t>
  </si>
  <si>
    <t>E M EKON MANAG</t>
  </si>
  <si>
    <t>E M Ekon. Manag.</t>
  </si>
  <si>
    <t>10.15240/tul/001/2020-3-009</t>
  </si>
  <si>
    <t>Economics; Management</t>
  </si>
  <si>
    <t>NQ6GJ</t>
  </si>
  <si>
    <t>WOS:000570968300009</t>
  </si>
  <si>
    <t>Stoklasova, R</t>
  </si>
  <si>
    <t>Stoklasova, Radmila</t>
  </si>
  <si>
    <t>DEFAULT RATE IN THE CZECH REPUBLIC DEPENDING ON SELECTED MACROECONOMIC INDICATORS</t>
  </si>
  <si>
    <t>ADF test of stationarity; banking sector; cointegration test; default rate; VAR model; VECM</t>
  </si>
  <si>
    <t>COINTEGRATION</t>
  </si>
  <si>
    <t>The aim of this article is to analyse which macroeconomic indicators affect the default rate in the Czech Republic in the long run and to create a model that would allow to describe the expected share of the default rate depending on the development of selected macroeconomic indicators on the basis of this analysis. The vector error correction model was used for this purpose to determine both long-term and short-term causal relationships. To create the resulting model, the econometric methodology was used, namely unit root tests, Granger causality for the determination of statistically significant relationships, information criteria and the Johansen cointegration test. The results show the validity of expected assumptions in the case of short-term relationships. There was a positive correlation between the unemployment rate and the default rate delayed by one quarter. A negative short-term relationship to the default rate was found in the case of real GDP and in the case of the Czech crown effective exchange rate index with a one-quarter delay. In the case of long-term relationships, surprising results were found regarding GDP and oil price development. As expected, it was found in the long run that the default rate is positively related to the unemployment and effective exchange rate of the Czech crown. The default rate indicator is one of the inputs of the stress testing model developed by the Czech National Bank. The model is based on the time series of the share of outstanding loans and the total amount of loans, and on selected macroeconomic indicators. Achieved empirical results are influenced by the fact that the Czech economy has undergone the period of currency crisis. The data used have the character of quarterly time series in the period from 2005Q1 to 2017Q1. EViews software version 9 was used for the calculations.</t>
  </si>
  <si>
    <t>[Stoklasova, Radmila] Silesian Univ Opava, Sch Business Adm Karvina, Dept Informat &amp; Math, Opava, Czech Republic</t>
  </si>
  <si>
    <t>Stoklasova, R (corresponding author), Silesian Univ Opava, Sch Business Adm Karvina, Dept Informat &amp; Math, Opava, Czech Republic.</t>
  </si>
  <si>
    <t>stoklasova@opf.slu.cz</t>
  </si>
  <si>
    <t>Ministry of Education, Youth and Sports Czech Republic within the Institutional Support for Long-term Development of a Research Organization</t>
  </si>
  <si>
    <t>This paper was supported by the Ministry of Education, Youth and Sports Czech Republic within the Institutional Support for Long-term Development of a Research Organization in 2017.</t>
  </si>
  <si>
    <t>10.15240/tul/001/2018-2-005</t>
  </si>
  <si>
    <t>GL7YI</t>
  </si>
  <si>
    <t>WOS:000437424800005</t>
  </si>
  <si>
    <t>Armstrong, R</t>
  </si>
  <si>
    <t>Armstrong, Ryan</t>
  </si>
  <si>
    <t>Critical realism and performance measurement and management: Addressing challenges for knowledge creation</t>
  </si>
  <si>
    <t>MANAGEMENT RESEARCH REVIEW</t>
  </si>
  <si>
    <t>Critical realism; Performance measurement systems; Strategic management and leadership; Performance management systems; Stratification; Generative mechanisms; Performance measurement and management; Retroduction; RRREIC</t>
  </si>
  <si>
    <t>MEASUREMENT SYSTEMS; CONSEQUENCES; ORGANIZATION; PHILOSOPHY; UNPACKING; DESIGN</t>
  </si>
  <si>
    <t>Purpose The purpose of this paper is to explore the implications of adopting a critical realist position for the study of performance measurement and management (PMM) systems. Design/methodology/approach This paper discusses recent challenges to knowledge creation in PMM, arguing that overcoming these will require revisiting often implicit philosophical assumptions related to how the world is and how we learn about it. A critical realist perspective is explored and illustrated with the case of a software company attempting to empower and motivate its team. Findings Critical realism provides a means of building interdisciplinary knowledge in PMM. In addition to a generative view of causality, critical realism could augment a systems view of PMM by adopting a stratified view of reality and through its applied approach to knowledge building. The case illustrates the RRREIC approach and highlights the interplay of mechanisms of different scales and how this requires interdisciplinarity. Research limitations/implications Approaching the study of PMM with critical realism requires going beyond a particular tool or practice to understand the theory behind it. Such an approach can facilitate a layered, nuanced analysis of the issues facing organizations in a changing context. Originality/value This paper adds to discussion of philosophical topics in management and PMM and could help resolve ongoing challenges to knowledge building in the field, especially around barriers to conducting interdisciplinary research. In combination with rigorous methods, a strong philosophical base can facilitate relevant, lasting theories that can respond to a changing organizational context.</t>
  </si>
  <si>
    <t>[Armstrong, Ryan] Univ Barcelona, Fac Econ &amp; Empresa, Barcelona, Spain</t>
  </si>
  <si>
    <t>University of Barcelona</t>
  </si>
  <si>
    <t>Armstrong, R (corresponding author), Univ Barcelona, Fac Econ &amp; Empresa, Barcelona, Spain.</t>
  </si>
  <si>
    <t>hello@ryanarmstrong.me</t>
  </si>
  <si>
    <t>Armstrong, Ryan/AAN-1263-2021; Armstrong, Ryan C/F-5061-2017</t>
  </si>
  <si>
    <t>Armstrong, Ryan/0000-0003-3081-0082;</t>
  </si>
  <si>
    <t>2040-8269</t>
  </si>
  <si>
    <t>2040-8277</t>
  </si>
  <si>
    <t>MANAG RES REV</t>
  </si>
  <si>
    <t>Manag. Res. Rev.</t>
  </si>
  <si>
    <t>10.1108/MRR-05-2018-0202</t>
  </si>
  <si>
    <t>IA2SN</t>
  </si>
  <si>
    <t>WOS:000469411900002</t>
  </si>
  <si>
    <t>Lin, H; Ji, YZ; Liang, L; Liu, W; Hu, ZL</t>
  </si>
  <si>
    <t>Iranpour, R; Zhao, J; Wang, A; Yang, FL; Li, X</t>
  </si>
  <si>
    <t>Lin, Hui; Ji, Yazhou; Liang, Liang; Liu, Wei; Hu, Zhaoling</t>
  </si>
  <si>
    <t>Reconstruction of Three Dimensional City Model Based on LIDAR</t>
  </si>
  <si>
    <t>ADVANCES IN ENVIRONMENTAL SCIENCE AND ENGINEERING, PTS 1-6</t>
  </si>
  <si>
    <t>1st International Conference on Energy and Environmental Protection (ICEEP 2012)</t>
  </si>
  <si>
    <t>JUN 23-24, 2012</t>
  </si>
  <si>
    <t>Hohhot, PEOPLES R CHINA</t>
  </si>
  <si>
    <t>Inner Mongolia Univ</t>
  </si>
  <si>
    <t>Airborne LIDAR; 3DCM; 3D Data Acquisition; DSM; Point Cloud; Data Classification and Extraction</t>
  </si>
  <si>
    <t>The research of Three Dimensional City Model (3DCM) has become a hot topic in GIS field in recent years, and it also has played an important role in traffic, land, mining, surveying and mapping, and other fields, especially in urban planning. However, the difficulty to acquire 3D data is the key obstacle to the further development of 3DCM. Airborne LIDAR, integrating GPS, INS and scanning laser rangefinder, can rapidly acquire the 3D position of ground by airplane, which is very economical, efficient and convenient to acquire 3D data. Because traditional three-dimensional data acquisition method can't meet the need of the city's fast development, airborne LIDAR technology is regarded as a convenient, swift, high-efficient three-dimensional data acquisition method. Compared with traditional methods, the airborne LIDAR technology has the following characteristics: 1) High efficiency: in 12 hours, the airborne LIDAR can scan 1000 square kilometers, next, with the help of the related post-processing software, LIDAR cloud data can transform them into GIS format or other receivable format in certain automatic or semiautomatic mode. 2) High precision: because the pulse of laser light isn't easily subject to shadow and solar angle, it greatly improves the data quality. The flight height limit has no influence on its elevation data precision, which is superior to the conventional photogrammetry. The plane precision may achieve 0.15 to 1 meter, the elevation precision may achieve 10 centimeters. 3) All-weather feature: airborne LIDAR is active remote sensing without considering the digital aerial photogrammetry. 4) Rich information: with the aid of airborne LIDAR,we can obtains not only the three dimensional coordinate of ground point, but also the three dimensional coordinate of terrain details, such as trees, buildings, roads. If it is integrated with CCD, it could gains image information. We acquired the airborne LIDAR data of 20 square kilometers in the central area of Shanghai using ALTM3100 airborne LIDAR system of the Optech company in 2006.This paper introduces the data processing procedure of the airborne LIDAR data, LIDAR system uses random commercial software to process plane GPS tracking data, plane attitude data, laser ranging data and the swinging angle data of laser scanning mirror, finally, obtaining the three-dimensional coordinates(X,Y,Z) data of various surveying points. Which three-dimensional discrete dot matrix data is without attribute suspending in the air namely LIDAR original data, named point cloud. LIDAR data performs pre-processing to obtain digital surface model (DSM), which is classified and extracted, we acquire topography and object related to modeling, preparing for three-dimensional city model. Data pre-processing includes abnormal point deletion, coordinate transformation and flight strip combination. At present, we used famous business software Terra Solid, developed by Company of Finland to realize the classification and extraction from the LIDAR data Terra Solid depends on Micro Station platform, on the basis of classification and extraction algorithms presented by Axelsson, et al. of Swedish, including a lot of module such as TerraScan, TerraModeler and TerraPhoto. TerraScan is used in the field of LIDAR data classification and extraction, TerraModeler is used for producing and dealing with various planes, TerraPhoto is used for dealing with the primitive image, topography model and building model are got by using this software, complicated artificial building (Oriental Pearl, Jin Mao mansion etc.) need artificial repair and disposal, data processing of 20 sq. km. takes more than one month, efficiency has been improved greatly on the premise of guaranteeing the precision. Topography model and building model can be obtained by using TerraSolid and combining a few manual intervention based on DSM, The topography model is expressed with the triangulated irregular network (TIN), the building model is expressed with 3ds format, three dimensional model of non - texture of Lujiazui region of Shanghai was gained by LIDAR data. In order to achieving better visualization effect, the topography model overlaps orthophoto, and stuck true texture to building model, true city landscape of Lujiazui region of Shanghai is established. This paper has introduce post-processing procedure of airborne LIDAR data systematically, has realized the fast reconstruction of three-dimension urban model based on LIDAR data, enable this technology to serve the information construction of the city better.</t>
  </si>
  <si>
    <t>[Lin, Hui] China Univ Min &amp; Technol, Sch Environm Sci &amp; Spatial Informat, Jiangsu 221009, Peoples R China</t>
  </si>
  <si>
    <t>Lin, H (corresponding author), China Univ Min &amp; Technol, Sch Environm Sci &amp; Spatial Informat, Jiangsu 221009, Peoples R China.</t>
  </si>
  <si>
    <t>linhuixznu@126.com; 63879292@qq.com; liangl1981@163.com; liuwei@126.com; huzhaol@126.com</t>
  </si>
  <si>
    <t>Martins, Joao/HJH-0731-2022</t>
  </si>
  <si>
    <t>DURNTEN-ZURICH</t>
  </si>
  <si>
    <t>KREUZSTRASSE 10, 8635 DURNTEN-ZURICH, SWITZERLAND</t>
  </si>
  <si>
    <t>1022-6680</t>
  </si>
  <si>
    <t>978-3-03785-416-7</t>
  </si>
  <si>
    <t>ADV MATER RES-SWITZ</t>
  </si>
  <si>
    <t>518-523</t>
  </si>
  <si>
    <t>Chemistry, Multidisciplinary; Engineering, Environmental; Environmental Sciences; Materials Science, Multidisciplinary</t>
  </si>
  <si>
    <t>Chemistry; Engineering; Environmental Sciences &amp; Ecology; Materials Science</t>
  </si>
  <si>
    <t>BDM58</t>
  </si>
  <si>
    <t>WOS:000313845902295</t>
  </si>
  <si>
    <t>Xue, WF; He, XN; Su, J; Li, SH; Zhang, HF</t>
  </si>
  <si>
    <t>Xue, Wenfeng; He, Xiaona; Su, Jie; Li, Sihan; Zhang, Huafang</t>
  </si>
  <si>
    <t>Association between dysphagia and activities of daily living in older adults: a systematic review and meta-analysis</t>
  </si>
  <si>
    <t>EUROPEAN GERIATRIC MEDICINE</t>
  </si>
  <si>
    <t>Review; Early Access</t>
  </si>
  <si>
    <t>Dysphagia; Activities of daily living; ADL; Systematic review; Meta-analysis</t>
  </si>
  <si>
    <t>EATING ASSESSMENT-TOOL; OROPHARYNGEAL DYSPHAGIA; NUTRITIONAL-STATUS; SARCOPENIC DYSPHAGIA; SWALLOWING DISORDERS; HEALTH-STATUS; SELF-CARE; DISABILITY; DIFFICULTIES; DEPENDENCE</t>
  </si>
  <si>
    <t>Purpose Numerous epidemiological studies have suggested a possible association between dysphagia and the risk of decline in Activities of daily living (ADL) among older adults. This systematic review and meta-analysis aimed to elucidate the relationship between dysphagia and ADL in older adults. Methods PubMed, Web of Science, Cochrane Library, Embase, Ebsco, MEDLINE, Wiley, CINAHL, and Ovid databases were comprehensively examined for relevant studies published up to October 31, 2022. Quantitative studies published in English were included to explore the relationship between dysphagia and ADL in people aged 65 years and older. The NIH Quality Assessment Tool was used to assess the study quality. R software was used to draw forest plots and I-2 was employed to indicate study heterogeneity. Sensitivity analysis was performed using the one-by-one exclusion method. Publication bias was measured using funnel plots and Egger's test. Results A total of 3,498 studies were retrieved from the database, 22 of which were eventually included in the systematic evaluation, and 14 of which were subjected to meta-analysis. Data from nine studies were categorical variables, and meta-analysis results showed that swallowing disorders in older adults were associated with a lower ability to perform ADL (OR = 3.39, 95% CI: 2.55-4.50, p &lt; 0.001), with moderate heterogeneity (I-2 = 62%, p = 0.006). Data from seven studies were continuous variables, resulting in a negative association between the prevalence of dysphagia and ADLs in older adults (SMD = -0.80, 95% CI: -1.08 to -0.51, p &lt; 0.001), with high heterogeneity (I-2 = 94%, p &lt; 0.001). Sensitivity analysis showed robust results, funnel plots and Egger's test indicated no publication bias. Conclusion Dysphagia is significantly associated with the capacity to perform ADL. Prevention and screening of dysphagia in older patients dependent on others for daily care are needed. Further long-term studies are needed in the future to prove causality.</t>
  </si>
  <si>
    <t>[Xue, Wenfeng; He, Xiaona; Su, Jie; Li, Sihan; Zhang, Huafang] Zhejiang Univ, Affiliated Hosp 4, Dept Nursing, Sch Med, Yiwu 322000, Peoples R China; [Xue, Wenfeng; He, Xiaona; Su, Jie; Li, Sihan; Zhang, Huafang] Zhejiang Univ, Int Inst Med, Int Sch Med, Yiwu 322000, Peoples R China</t>
  </si>
  <si>
    <t>Zhejiang University; Zhejiang University</t>
  </si>
  <si>
    <t>Zhang, HF (corresponding author), Zhejiang Univ, Affiliated Hosp 4, Dept Nursing, Sch Med, Yiwu 322000, Peoples R China.;Zhang, HF (corresponding author), Zhejiang Univ, Int Inst Med, Int Sch Med, Yiwu 322000, Peoples R China.</t>
  </si>
  <si>
    <t>wuyizhangyichi@zju.edu.cn</t>
  </si>
  <si>
    <t>Zhang, Huafang/0000-0002-9547-7826</t>
  </si>
  <si>
    <t>Zhejiang Provincial Natural Science Foundation of China</t>
  </si>
  <si>
    <t>Zhejiang Provincial Natural Science Foundation of China(Natural Science Foundation of Zhejiang Province)</t>
  </si>
  <si>
    <t>No Statement Available</t>
  </si>
  <si>
    <t>1878-7649</t>
  </si>
  <si>
    <t>1878-7657</t>
  </si>
  <si>
    <t>EUR GERIATR MED</t>
  </si>
  <si>
    <t>Eur. Geriatr. Med.</t>
  </si>
  <si>
    <t>2024 JUN 6</t>
  </si>
  <si>
    <t>10.1007/s41999-024-00999-8</t>
  </si>
  <si>
    <t>JUN 2024</t>
  </si>
  <si>
    <t>Geriatrics &amp; Gerontology</t>
  </si>
  <si>
    <t>TS5F1</t>
  </si>
  <si>
    <t>WOS:001243254400001</t>
  </si>
  <si>
    <t>Anastácio, PM; Gonçalves, SC; Pardal, MA; Marques, JC</t>
  </si>
  <si>
    <t>A model for amphipod (Talitrus saltator) population dynamics</t>
  </si>
  <si>
    <t>ESTUARINE COASTAL AND SHELF SCIENCE</t>
  </si>
  <si>
    <t>International Workshop on Sandy Beaches</t>
  </si>
  <si>
    <t>OCT 18-23, 2001</t>
  </si>
  <si>
    <t>FLORENCE, ITALY</t>
  </si>
  <si>
    <t>sandy beaches; sandhopper; Crustacea; recruitment; photoperiod; temperature; Atlantic Ocean; Portugal</t>
  </si>
  <si>
    <t>BEACH; VALIDATION; CRUSTACEA; MONTAGU; PATTERNS; ZONATION; COAST</t>
  </si>
  <si>
    <t>This study provides a population dynamics model for one of the most common species (Talitrus saltator) in sandy beaches. Sensitivity analysis showed that in the model the abundance of T. saltator is deeply affected by variations in the minimum recruitment day length, the minimum temperature at recruitment, and the period between recruitments. The mortality rate, as expected, also had a profound effect on model performance. The abundance (IST, ind m(-1)) of T. saltator was most sensitive to the initial number of individuals in age class 5 (ca. 4 months old) and least sensitive to the initial number in age class 9 (ca. 8 months old). Data used for the calibration of the model were obtained in the Lavos beach in central Portugal. The model is based on differential equations and it was constructed using Stella simulation software. Five different model versions were tested corresponding to different modes of recruitment that could fit the data. It was found that the best model was obtained when considering reproduction dependent on temperature and photoperiod and occurring on a semi-lunar basis. Two out of the five different model versions tested gave a good statistical performance. Only one of these two model versions makes an effective use of causality mechanisms. This was also the model with the best intercept and slope of the simulated vs. observed regression equation. The other statistically satisfactory model used continuous reproduction between two dates. These dates do not match a photoperiod threshold. The final model version (e) may serve as a useful tool, when used alone or when coupled with other models. One of its uses could be in assessing the effects of human actions upon a sandy beach ecosystem. (C) 2003 Elsevier Ltd. All rights reserved.</t>
  </si>
  <si>
    <t>Univ Evora, IMAR, Dept Ecol, P-7000671 Evora, Portugal; Univ Evora, IMAR, Dept Zool, Fac Sci &amp; Technol, P-3004517 Evora, Portugal</t>
  </si>
  <si>
    <t>University of Evora; University of Evora</t>
  </si>
  <si>
    <t>Anastácio, PM (corresponding author), Univ Evora, IMAR, Dept Ecol, Rua Romao Ramalho 59, P-7000671 Evora, Portugal.</t>
  </si>
  <si>
    <t>anast@uevora.pt</t>
  </si>
  <si>
    <t>Marques, João Carlos/L-9478-2014; Anastácio, Pedro M./B-4716-2008; Gonçalves, Sílvia/U-1591-2019; Pardal, Miguel Angelo/C-3984-2009</t>
  </si>
  <si>
    <t>Marques, João Carlos/0000-0001-8865-8189; Anastácio, Pedro M./0000-0003-1808-3847; Goncalves, Silvia/0000-0003-1970-0181; Pardal, Miguel Angelo/0000-0001-6048-7007</t>
  </si>
  <si>
    <t>ACADEMIC PRESS LTD- ELSEVIER SCIENCE LTD</t>
  </si>
  <si>
    <t>24-28 OVAL RD, LONDON NW1 7DX, ENGLAND</t>
  </si>
  <si>
    <t>0272-7714</t>
  </si>
  <si>
    <t>1096-0015</t>
  </si>
  <si>
    <t>ESTUAR COAST SHELF S</t>
  </si>
  <si>
    <t>Estuar. Coast. Shelf Sci.</t>
  </si>
  <si>
    <t>OCT 10</t>
  </si>
  <si>
    <t>10.1016/S0272-7714(03)00041-6</t>
  </si>
  <si>
    <t>Marine &amp; Freshwater Biology; Oceanography</t>
  </si>
  <si>
    <t>744XZ</t>
  </si>
  <si>
    <t>WOS:000186659300014</t>
  </si>
  <si>
    <t>Lu, YL; Ding, WW; Liu, M</t>
  </si>
  <si>
    <t>Lu, Yali; Ding, Wenwen; Liu, Meng</t>
  </si>
  <si>
    <t>Study on the evaluation model of collaborative governance capacity of sustainable supply chain in water diversion projects</t>
  </si>
  <si>
    <t>WATER POLICY</t>
  </si>
  <si>
    <t>Evaluation model of collaborative governance capacity; Sustainable supply chain (SSC); Water diversion project (WDP)</t>
  </si>
  <si>
    <t>PERFORMANCE EVALUATION</t>
  </si>
  <si>
    <t>In order to objectively evaluate the operation effect of the Sustainable Supply Chain (SSC) collaborative governance of Water Diversion Projects (WDPs), this paper, from the perspectives of SSC and collaborative governance, and according to the existing modes of SSC collaborative governance of WDPs, constructs the collaborative management mechanism of related subjects of WDPs, and then constructs the evaluation model of the collaborative governance capacity of WDPs by using the DEMATEL (Decision-Making Trial and Evaluation Laboratory)-ANP (Analytic Network Process) method. Specifically, in this paper, the indexes at various levels are selected through literature mining and text analysis, and the mutual influence degrees among index are determined with the help of DEMATEL, so that the causality diagram can be drawn. On this basis, we obtain the global weight and the mixed weight of each index by using the ANP method and SD (Super Decisions) software, thus determining the relative importance of each index. The study finds that with regard to the SSC collaborative governance capability of WDPs, the highest requirement is made on Information Collaboration Capability (ICC) which also provides the foundational guarantee. The proportion carried by Subject Participation and Collaboration Capability (SPCC) is the lowest, however, its mixed weight is 1.9077, second only to ICC. Both Water Quantity Collaboration Capability (WQCC) and Water Quality Assurance Coordination Capacity (WQACC) account for a high percentage, which is consistent with the actual situation. The study provides a capability evaluation index system for the SSC collaborative governance of WDPs, enriches the theory of SSC collaborative governance of WDPs, and provides decision-making support for the operation and management of WDPs.</t>
  </si>
  <si>
    <t>[Lu, Yali; Ding, Wenwen] North China Univ Water Resources &amp; Elect Power, Sch Management &amp; Econ, Zhengzhou 450046, Henan, Peoples R China; [Liu, Meng] Univ Shanghai Sci &amp; Technol, Business Sch, Shanghai 200093, Peoples R China</t>
  </si>
  <si>
    <t>North China University of Water Resources &amp; Electric Power; University of Shanghai for Science &amp; Technology</t>
  </si>
  <si>
    <t>Liu, M (corresponding author), Univ Shanghai Sci &amp; Technol, Business Sch, Shanghai 200093, Peoples R China.</t>
  </si>
  <si>
    <t>1034100196@qq.com</t>
  </si>
  <si>
    <t>National Natural Science Foundation of China [71974056]; Science and Technology Innovation Talent Support Plan of Colleges and Universities in Henan Province [2021-CX-005]</t>
  </si>
  <si>
    <t>National Natural Science Foundation of China(National Natural Science Foundation of China (NSFC)); Science and Technology Innovation Talent Support Plan of Colleges and Universities in Henan Province</t>
  </si>
  <si>
    <t>This study was supported financially by the National Natural Science Foundation of China (grant number: 71974056) and by the Science and Technology Innovation Talent Support Plan of Colleges and Universities in Henan Province (grant number: 2021-CX-005).</t>
  </si>
  <si>
    <t>IWA PUBLISHING</t>
  </si>
  <si>
    <t>REPUBLIC-EXPORT BLDG, UNITS 1 04 &amp; 1 05, 1 CLOVE CRESCENT, LONDON, ENGLAND</t>
  </si>
  <si>
    <t>1366-7017</t>
  </si>
  <si>
    <t>1996-9759</t>
  </si>
  <si>
    <t>Water Policy</t>
  </si>
  <si>
    <t>10.2166/wp.2022.200</t>
  </si>
  <si>
    <t>Water Resources</t>
  </si>
  <si>
    <t>4Y4OX</t>
  </si>
  <si>
    <t>WOS:000839609000001</t>
  </si>
  <si>
    <t>Sahoo, S; Pal, A; Naser, SM; Bagchi, C; Munshi, S; Tripathi, SK; Acharya, M; Samajdar, SS</t>
  </si>
  <si>
    <t>Sahoo, Satyabrata; Pal, Asutosh; Naser, Syed Mohammad; Bagchi, Chiranjib; Munshi, Santanu; Tripathi, Santanu Kumar; Acharya, Mrinal; Samajdar, Shambo Samrat</t>
  </si>
  <si>
    <t>Treatment Reconciliation in Parkinson's Reference to Wearing-off and Motor Fluctuations: A Registry-based, Prospective, Observational Study</t>
  </si>
  <si>
    <t>JOURNAL OF CLINICAL AND DIAGNOSTIC RESEARCH</t>
  </si>
  <si>
    <t>Co-morbidity; Life quality; Pathology; Synuclein; Tremors; Tolerability</t>
  </si>
  <si>
    <t>MEDICATION ADHERENCE; DISEASE; DYSKINESIA; LEVODOPA; UPDATE</t>
  </si>
  <si>
    <t>Introduction: Parkinson's Disease (PD) is the second most frequent neurodegenerative disease and dopaminergic agents are frequently used as a treatment while 'end of dose deterioration' or 'Wearing -Off (WO)' phenomenon is common with these agents. Treatment reconciliation may be helpful in this situation and there is dearth of studies especially in India. Aim: To study the WO effects in patients of PD, their pharmacotherapy and outcome. Materials and Methods: This registry -based, prospective, observational, outcomes -based study was conducted in the Department of Clinical and Experimental Pharmacology, School of Tropical Medicine, Kolkata, West Bengal, India, in collaboration with Department of Neuromedicine of Kolkata Medical College and private clinics of a Neurologist from January 2020 to December 2021. An attempt was also undertaken to make a registry of Idiopathic Parkinson's Disease (IPD) patients. WO Questionnaire 19 -items (WOQ-19), Movement Disorder Society-Unified Parkinson's Disease Rating Scale (MDS-UPDRS Scale), The 39 -items Parkinson's Disease Questionnaire (PDQ-39 questionnaire), The 8 -items Morisky Medication Adherence Scale (MMAS scale), suspected Adverse Drug Reaction (ADR) Reporting Form of Indian Pharmacoepia commission (version 1.3), World Health Organisation- Uppsala Monitoring Centre (WHO-UMC) Scale, Naranjo causality assessment scale, Hartwig and Seigel's Severity Assessment Scale were used in the present study. The study was commenced after obtaining approval from institutional ethics committee. The data was then analysed with parametric or non parametric tests using (mean +/- Standard Deviation (SD), median, Fisher's-exact test, Friedman's Analysis of Variance (ANOVA) test, Wilcoxon matched pair signed -rank test). Data collected and then statistically analysed by using WPS Excel version 2021 and GraphPad Prism version 9 software. Results: Total IPD patients were found to be 111 in the present study with a mean age of IPD patients as 61.85 +/- 7.20 years. Incidence of WO in the present study was found to be 40.5% among IPD patients. Most common characteristic of WO was found to be tremor in 104 (28.8%) patients followed by slowness of movement in 63 (17.5%) patients. WHO-UMC scale and Naranjo causality assesment scale both revealed 36.4% ADRs were probable category and 63.6% were possible category. MDS-UPDRS Score, PDQ-39 Score, MMAS-8 score significantly (p -value &lt;0.05) improved during the course of treatment. Conclusion: Dose adjustment of syndopa was mostly used in the management of WO phenomenon and significant improvement in the quality of life of the patients was seen.</t>
  </si>
  <si>
    <t>[Sahoo, Satyabrata; Naser, Syed Mohammad; Bagchi, Chiranjib; Munshi, Santanu; Tripathi, Santanu Kumar; Samajdar, Shambo Samrat] Sch Trop Med, Dept Clin &amp; Expt Pharmacol, Kolkata, West Bengal, India; [Pal, Asutosh] Med Coll, Dept Neuromed, Kolkata, West Bengal, India; [Bagchi, Chiranjib] Sch Trop Med, Dept Clin &amp; Expt Pharmacol, Kolkata 700073, West Bengal, India</t>
  </si>
  <si>
    <t>Calcutta School of Tropical Medicine (CSTM); Calcutta School of Tropical Medicine (CSTM)</t>
  </si>
  <si>
    <t>Bagchi, C (corresponding author), Sch Trop Med, Dept Clin &amp; Expt Pharmacol, Kolkata 700073, West Bengal, India.</t>
  </si>
  <si>
    <t>bchiranjib@yahoo.co.in</t>
  </si>
  <si>
    <t>PREMCHAND SHANTIDEVI RESEARCH FOUNDATION</t>
  </si>
  <si>
    <t>DELHI</t>
  </si>
  <si>
    <t>71 JAIN COLONY, VEER NAGAR, DELHI, 110 007, INDIA</t>
  </si>
  <si>
    <t>2249-782X</t>
  </si>
  <si>
    <t>0973-709X</t>
  </si>
  <si>
    <t>J CLIN DIAGN RES</t>
  </si>
  <si>
    <t>J. Clin. Diagn. Res.</t>
  </si>
  <si>
    <t>WC12</t>
  </si>
  <si>
    <t>10.7860/JCDR/2023/61854.18099</t>
  </si>
  <si>
    <t>KH2Q7</t>
  </si>
  <si>
    <t>WOS:001179006700102</t>
  </si>
  <si>
    <t>Lucchetta, RC; da Mata, BPM; Mastroianni, PD</t>
  </si>
  <si>
    <t>Lucchetta, Rosa Camila; Miglioli da Mata, Barbara Paes; Mastroianni, Patricia de Carvalho</t>
  </si>
  <si>
    <t>Association between Development of Dementia and Use of Benzodiazepines: A Systematic Review and Meta-Analysis</t>
  </si>
  <si>
    <t>PHARMACOTHERAPY</t>
  </si>
  <si>
    <t>aging; Alzheimer's disease; dementia; antianxiety agents; hypnotic agents; patient safety</t>
  </si>
  <si>
    <t>DEVELOPING ALZHEIMERS-DISEASE; INAPPROPRIATE MEDICATION USE; LONG-TERM USE; PSYCHOTROPIC MEDICATION; RISK; POPULATION</t>
  </si>
  <si>
    <t>Study ObjectiveThe use of benzodiazepines and the development of dementia is controversial, with studies indicating that benzodiazepines could be either a protective factor or a risk factor for dementia, or no association may exist between the two. Our objective was to identify whether such an association exists. DesignSystematic review and meta-analysis of 12 prospective and retrospective cohort studies and case-control studies. ParticipantsA total of 981,133 (in the systematic review) and 980,860 (in the meta-analysis) adults or elderly individuals. Measurements and Main ResultsA search of the PubMed, LILACS, and Cochrane Central Register of Controlled Trials databases, as well as a manual search of the reference lists of the included publications and reviews, was performed. We included studies that reported the incidence of dementia and in ever users of benzodiazepines. Data were analyzed by using a random effects model in R software. Quality of the evidence was assessed with the Grading of Recommendations Assessment, Development and Evaluation (GRADE) certainty ratings system. The results of the main meta-analysis suggest that benzodiazepines can be a risk factor for developing dementia (odds ratio 1.38, 95% confidence interval 1.07-1.77; I-2 = 98%; 95% prediction interval 0.58-3.25; very low certainty). ConclusionOur results suggest an association between the use of benzodiazepines and the development of dementia. However, the current evidence lacks the power to infer differences between the effects of Alzheimer's disease and vascular dementias, long-acting and short-acting benzodiazepines, and various exposure loads (duration and dose). Future long-term prospective cohort studies are necessary, with adequate adjustments for confounding variables, strategies to minimize reverse causality, reporting of subgroups aimed at greater homogeneity of findings, adequate statistical power to identify high-magnitude effects, and defined daily dose analyses for dose-response gradient.</t>
  </si>
  <si>
    <t>[Lucchetta, Rosa Camila] Univ Fed Parana, Pharm, 632 Av Prefeito Lothario Meissner, Curitiba, Parana, Brazil; [Miglioli da Mata, Barbara Paes; Mastroianni, Patricia de Carvalho] Univ Julio de Mesquita Filho Unesp, Drugs &amp; Med, Araraquara, SP, Brazil</t>
  </si>
  <si>
    <t>Universidade Federal do Parana</t>
  </si>
  <si>
    <t>Lucchetta, RC (corresponding author), Univ Fed Parana, Pharm, 632 Av Prefeito Lothario Meissner, Curitiba, Parana, Brazil.;Mastroianni, PD (corresponding author), UNESP, Rodovia Araraquara Jau,Km 1 S-N,Campus Ville, BR-14800903 Araraquara, SP, Brazil.</t>
  </si>
  <si>
    <t>rc.lucch@yahoo.com.br; patricia-mastroianni@yahoo.com.br</t>
  </si>
  <si>
    <t>Mastroianni, Patricia de Carvalho/Y-7107-2019; Lucchetta, Rosa C/L-4557-2013; de Carvalho Mastroianni, Patricia/G-8191-2016</t>
  </si>
  <si>
    <t>Mastroianni, Patricia de Carvalho/0000-0001-8467-7278; Lucchetta, Rosa C/0000-0002-4004-1320;</t>
  </si>
  <si>
    <t>0277-0008</t>
  </si>
  <si>
    <t>1875-9114</t>
  </si>
  <si>
    <t>Pharmacotherapy</t>
  </si>
  <si>
    <t>10.1002/phar.2170</t>
  </si>
  <si>
    <t>GW0NT</t>
  </si>
  <si>
    <t>WOS:000446565000003</t>
  </si>
  <si>
    <t>Wang, D; Xiao, T; Thongtanunam, P; Kula, RG; Matsumoto, K</t>
  </si>
  <si>
    <t>Wang, Dong; Xiao, Tao; Thongtanunam, Patanamon; Kula, Raula Gaikovina; Matsumoto, Kenichi</t>
  </si>
  <si>
    <t>Understanding shared links and their intentions to meet information needs in modern code review: A case study of the OpenStack and Qt projects</t>
  </si>
  <si>
    <t>Code review; Mining software repositories; Link sharing; Information needs</t>
  </si>
  <si>
    <t>Code reviews serve as a quality assurance activity for software teams. Especially for Modern Code Review, sharing a link during a review discussion serves as an effective awareness mechanism where Code reviews are good FYIs [for your information].. Although prior work has explored link sharing and the information needs of a code review, the extent to which links are used to properly conduct a review is unknown. In this study, we performed a mixed-method approach to investigate the practice of link sharing and their intentions. First, through a quantitative study of the OpenStack and Qt projects, we identify 19,268 reviews that have 39,686 links to explore the extent to which the links are shared, and analyze a correlation between link sharing and review time. Then in a qualitative study, we manually analyze 1,378 links to understand the role and usefulness of link sharing. Results indicate that internal links are more widely referred to (93% and 80% for the two projects). Importantly, although the majority of the internal links are referencing to reviews, bug reports and source code are also shared in review discussions. The statistical models show that the number of internal links as an explanatory factor does have an increasing relationship with the review time. Finally, we present seven intentions of link sharing, with providing context being the most common intention for sharing links. Based on the findings and a developer survey, we encourage the patch author to provide clear context and explore both internal and external resources, while the review team should continue link sharing activities. Future research directions include the investigation of causality between sharing links and the review process, as well as the potential for tool support.</t>
  </si>
  <si>
    <t>[Wang, Dong; Xiao, Tao; Kula, Raula Gaikovina; Matsumoto, Kenichi] Nara Inst Sci &amp; Technol, Ikoma, Japan; [Thongtanunam, Patanamon] Univ Melbourne, Melbourne, Vic, Australia</t>
  </si>
  <si>
    <t>Nara Institute of Science &amp; Technology; University of Melbourne</t>
  </si>
  <si>
    <t>Wang, D (corresponding author), Nara Inst Sci &amp; Technol, Ikoma, Japan.</t>
  </si>
  <si>
    <t>wang.dong.vt8@is.naist.jp; tao.xiao.ts2@is.naist.jp; patanamon.t@unimelb.edu.au; raula-k@is.naist.jp; matumoto@is.naist.jp</t>
  </si>
  <si>
    <t>Kula, Raula/AAD-6079-2019</t>
  </si>
  <si>
    <t>Kula, Raula/0000-0003-2324-0608; Xiao, Tao/0000-0003-4070-585X</t>
  </si>
  <si>
    <t>Japanese Society for the Promotion of Science (JSPS) KAKENHI [JP18H04094, JP20K19774, JP20H05706]; Australian Research Council's Discovery Early Career Researcher Award (DECRA) [DE210101091]; Grants-in-Aid for Scientific Research [20K19774] Funding Source: KAKEN; Australian Research Council [DE210101091] Funding Source: Australian Research Council</t>
  </si>
  <si>
    <t>Japanese Society for the Promotion of Science (JSPS) KAKENHI(Ministry of Education, Culture, Sports, Science and Technology, Japan (MEXT)Japan Society for the Promotion of ScienceGrants-in-Aid for Scientific Research (KAKENHI)); Australian Research Council's Discovery Early Career Researcher Award (DECRA)(Australian Research Council); Grants-in-Aid for Scientific Research(Ministry of Education, Culture, Sports, Science and Technology, Japan (MEXT)Japan Society for the Promotion of ScienceGrants-in-Aid for Scientific Research (KAKENHI)); Australian Research Council(Australian Research Council)</t>
  </si>
  <si>
    <t>This work is supported by Japanese Society for the Promotion of Science (JSPS) KAKENHI Grant Numbers JP18H04094, JP20K19774, and JP20H05706. P. Thongtanunam was partially supported by the Australian Research Council's Discovery Early Career Researcher Award (DECRA) funding scheme (DE210101091).</t>
  </si>
  <si>
    <t>UJ9IF</t>
  </si>
  <si>
    <t>WOS:000691590700004</t>
  </si>
  <si>
    <t>Hauben, M; Hung, EY</t>
  </si>
  <si>
    <t>Hauben, Manfred; Hung, Eric Y.</t>
  </si>
  <si>
    <t>Revisiting the reported signal of acute pancreatitis with rasburicase: an object lesson in pharmacovigilance</t>
  </si>
  <si>
    <t>THERAPEUTIC ADVANCES IN DRUG SAFETY</t>
  </si>
  <si>
    <t>index publication; pancreatitis; pharmacovigilance; rasburicase; signal detection</t>
  </si>
  <si>
    <t>DRUG-INTERACTIONS; SAFETY; HEMOLYSIS; GOLD; TOOL</t>
  </si>
  <si>
    <t>Introduction: There is an interest in methodologies to expeditiously detect credible signals of drug-induced pancreatitis. An example is the reported signal of pancreatitis with rasburicase emerging from a study [the 'index publication' (IP)] combining quantitative signal detection findings from a spontaneous reporting system (SRS) and electronic health records (EHRs). The signal was reportedly supported by a clinical review with a case series manuscript in progress. The reported signal is noteworthy, being initially classified as a false-positive finding for the chosen reference standard, but reclassified as a 'clinically supported' signal. Objective: This paper has dual objectives: to revisit the signal of rasburicase and acute pancreatitis and extend the original analysis via reexamination of its findings, in light of more contemporary data; and to motivate discussions on key issues in signal detection and evaluation, including recent findings from a major international pharmacovigilance research initiative. Methodology: We used the same methodology as the IP, including the same disproportionality analysis software/dataset for calculating observed to expected reporting frequencies (O/Es), Medical Dictionary for Regulatory Activities Preferred Term, and O/E metric/threshold combination defining a signal of disproportionate reporting. Baseline analysis results prompted supplementary analyses using alternative analytical choices. We performed a comprehensive literature search to identify additional published case reports of rasburicase and pancreatitis. Results: We could not replicate positive findings (e.g. a signal or statistic of disproportionate reporting) from the SRS data using the same algorithm, software, dataset and vendor specified in the IP. The reporting association was statistically highlighted in default and supplemental analysis when more sensitive forms of disproportionality analysis were used. Two of three reports in the FAERS database were assessed as likely duplicate reports. We did not identify any additional reports in the FAERS corresponding to the three cases identified in the IP using EHRs. We did not identify additional published reports of pancreatitis associated with rasburicase. Discussion: Our exercise stimulated interesting discussions of key points in signal detection and evaluation, including causality assessment, signal detection algorithm performance, pharmacovigilance terminology, duplicate reporting, mechanisms for communicating signals, the structure of the FAERs database, and recent results from a major international pharmacovigilance research initiative.</t>
  </si>
  <si>
    <t>[Hauben, Manfred] NYU, Sch Med, 235 East 42nd St,Mail Stop 219-9-W, New York, NY 10017 USA; [Hauben, Manfred; Hung, Eric Y.] Pfizer Inc, Safety Sci Res, 235 East 42nd St,Mail Stop 219-9-W, New York, NY 10017 USA</t>
  </si>
  <si>
    <t>New York University; Pfizer</t>
  </si>
  <si>
    <t>Hauben, M (corresponding author), NYU, Sch Med, 235 East 42nd St,Mail Stop 219-9-W, New York, NY 10017 USA.;Hauben, M (corresponding author), Pfizer Inc, Safety Sci Res, 235 East 42nd St,Mail Stop 219-9-W, New York, NY 10017 USA.</t>
  </si>
  <si>
    <t>manfred.hauben@pfizer.com</t>
  </si>
  <si>
    <t>2042-0986</t>
  </si>
  <si>
    <t>2042-0994</t>
  </si>
  <si>
    <t>THER ADV DRUG SAF</t>
  </si>
  <si>
    <t>Ther. Adv. Drug Saf.</t>
  </si>
  <si>
    <t>10.1177/2042098616647955</t>
  </si>
  <si>
    <t>VF8DW</t>
  </si>
  <si>
    <t>WOS:000443648900004</t>
  </si>
  <si>
    <t>Abraha, HH; Liyanage, JP</t>
  </si>
  <si>
    <t>Tse, PW; Mathew, J; Wong, K; Lam, R; Ko, CN</t>
  </si>
  <si>
    <t>Abraha, Haftay H.; Liyanage, Jayantha P.</t>
  </si>
  <si>
    <t>Managing Modern Sociotechnical Systems: New Perspectives on Human-Organization-Technological Integration in Complex and Dynamic Environments</t>
  </si>
  <si>
    <t>ENGINEERING ASSET MANAGEMENT - SYSTEMS, PROFESSIONAL PRACTICES AND CERTIFICATION</t>
  </si>
  <si>
    <t>8th World Congress on Engineering Asset Management (WCEAM)</t>
  </si>
  <si>
    <t>OCT 30-NOV 01, 2013</t>
  </si>
  <si>
    <t>Int Soc Engn Asset Management, Hong Kong, PEOPLES R CHINA</t>
  </si>
  <si>
    <t>City Univ Hong Kong, Dept Syst Engn &amp; Engn Management,Community &amp; Construct Profess Dev Ctr,Ctr Syst Informat &amp; Qual Engn,City Univ Hong Kong, Smart Engn Asset Management Lab,Hong Kong Inst Util Specialists,ESRI,K C Wong Educ Fdn,Construct Ind Council UE Syst Inc,CLP Power Ltd,Hong Kong Elect,Hong Kong &amp; China Gas Co Ltd,Utech Engn Co Ltd</t>
  </si>
  <si>
    <t>Int Soc Engn Asset Management</t>
  </si>
  <si>
    <t>Complex systems; Human error; Human-Organization-Technology; Unwanted events; Risk; Safety incidents; Sociotechnical system</t>
  </si>
  <si>
    <t>HIGH-RELIABILITY</t>
  </si>
  <si>
    <t>Modern sociotechnical systems (SSs) are becoming increasingly advanced, complex, boundary-less, and technology-dominant systems that have major economic, societal and environmental implications. Digital technologies are enabling us to develop systems with various levels of complexities and interconnections involving different elements. This creates new ways of organizing work, new work processes, for instance: creating closer cooperation across organizational and geographical borders and this trend is likely to increase. Complexities are associated not only with the large scale hardware and software infrastructures, but also with the even more complex issues involved in human and organizational behaviours and characteristics. This implies that there are many hidden risks under the modern systems development and deployment process, and subsequently the potential for serious events are considerable. A major area for study in this context is the establishment of a seamless connection between the characteristics of the individual components (at micro-level) and the macro-behaviour of the complex SSs. Given the complexity of the systems involved, use of classical/traditional approaches (e. g. linear relations of causality) alone to understand the behaviour and performance of these systems are quite challenging, if not extremely limited in use. We need new perspectives to understand the behaviours and interactions in wider context, so that the new perspectives can capture the complex issues that influence Human-Organization-Technological (HOT) conditions within such systems, can emerge. This paper elaborates on an approach that can provide the basis for micro-macro integration to reduce vulnerabilities based on a better awareness (i. e. system thinking) taking into account the dynamic and complex context from a new perspective.</t>
  </si>
  <si>
    <t>[Abraha, Haftay H.; Liyanage, Jayantha P.] Univ Stavanger, N-4036 Stavanger, Norway</t>
  </si>
  <si>
    <t>Universitetet i Stavanger</t>
  </si>
  <si>
    <t>Abraha, HH (corresponding author), Univ Stavanger, N-4036 Stavanger, Norway.</t>
  </si>
  <si>
    <t>haftay.h.abraha@uis.no</t>
  </si>
  <si>
    <t>2195-4356</t>
  </si>
  <si>
    <t>978-3-319-09507-3; 978-3-319-09506-6</t>
  </si>
  <si>
    <t>LECT N MECH ENG</t>
  </si>
  <si>
    <t>Operations Research &amp; Management Science</t>
  </si>
  <si>
    <t>BD0OL</t>
  </si>
  <si>
    <t>WOS:000357494200094</t>
  </si>
  <si>
    <t>Xue, HR; Pan, W</t>
  </si>
  <si>
    <t>Xue, Haoran; Pan, Wei</t>
  </si>
  <si>
    <t>Inferring causal direction between two traits in the presence of horizontal pleiotropy with GWAS summary data</t>
  </si>
  <si>
    <t>PLOS GENETICS</t>
  </si>
  <si>
    <t>MULTIVARIABLE MENDELIAN RANDOMIZATION; GENETIC-VARIANTS; ASSOCIATION ANALYSES; WIDE ASSOCIATION; DISEASE; CHALLENGES; INFERENCE; RISK; EQTL</t>
  </si>
  <si>
    <t>Author summary In spite of its importance, due to technical challenges, orienting causal relationships between pairs of traits has been largely under-studied. Mendelian randomization (MR) Steiger's method has become increasingly used in the last two years. Here we point out several limitations with MR Steiger's method and propose alternative approaches. First, MR Steiger's method is based on using only one single SNP as the instrument variable (IV), for which we propose a correlation ratio-based method, called Causal Direction-Ratio, or simply CD-Ratio. An advantage of CD-Ratio is its inference of both the existence and (if so) the direction of a causal relationship, in contrast to MR Steiger's prior assumption of the existence and its poor performance if the assumption is violated. Furthermore, CD-Ratio can be extended to combine the results from multiple, possibly correlated, SNPs with improved statistical power. Second, we propose two methods, called CD-Egger and CD-GLS, for multiple and possibly correlated SNPs while allowing horizontal pleiotropy. Third, we propose three goodness-of-fit tests to check modeling assumptions for the three proposed methods. Finally, we introduce multivariable CD-Egger, analogous to multivariable MR, as a more robust approach, and an extension of CD-Ratio to cases with possibly bi-directional causal relationships. Our numerical studies demonstrated superior performance of our proposed methods over MR Steiger and bi-directional MR. Our proposed methods, along with freely available software, are expected to be useful in practice for causal inference. Orienting the causal relationship between pairs of traits is a fundamental task in scientific research with significant implications in practice, such as in prioritizing molecular targets and modifiable risk factors for developing therapeutic and interventional strategies for complex diseases. A recent method, called Steiger's method, using a single SNP as an instrument variable (IV) in the framework of Mendelian randomization (MR), has since been widely applied. We report the following new contributions. First, we propose a single SNP-based alternative, overcoming a severe limitation of Steiger's method in simply assuming, instead of inferring, the existence of a causal relationship. We also clarify a condition necessary for the validity of the methods in the presence of hidden confounding. Second, to improve statistical power, we propose combining the results from multiple, and possibly correlated, SNPs as multiple instruments. Third, we develop three goodness-of-fit tests to check modeling assumptions, including those required for valid IVs. Fourth, by relaxing one of the three IV assumptions in MR, we propose several methods, including an Egger regression-like approach and its multivariable version (analogous to multivariable MR), to account for horizontal pleiotropy of the SNPs/IVs, which is often unavoidable in practice. All our methods can simultaneously infer both the existence and (if so) the direction of a causal relationship, largely expanding their applicability over that of Steiger's method. Although we focus on uni-directional causal relationships, we also briefly discuss an extension to bi-directional relationships. Through extensive simulations and an application to infer the causal directions between low density lipoprotein (LDL) cholesterol, or high density lipoprotein (HDL) cholesterol, and coronary artery disease (CAD), we demonstrate the superior performance and advantage of our proposed methods over Steiger's method and bi-directional MR. In particular, after accounting for horizontal pleiotropy, our method confirmed the well known causal direction from LDL to CAD, while other methods, including bi-directional MR, might fail.</t>
  </si>
  <si>
    <t>[Xue, Haoran] Univ Minnesota, Sch Stat, Minneapolis, MN 55455 USA; [Pan, Wei] Univ Minnesota, Sch Publ Hlth, Div Biostat, Minneapolis, MN 55455 USA</t>
  </si>
  <si>
    <t>University of Minnesota System; University of Minnesota Twin Cities; University of Minnesota System; University of Minnesota Twin Cities</t>
  </si>
  <si>
    <t>Pan, W (corresponding author), Univ Minnesota, Sch Publ Hlth, Div Biostat, Minneapolis, MN 55455 USA.</t>
  </si>
  <si>
    <t>panxx014@umn.edu</t>
  </si>
  <si>
    <t>Xue, Haoran/0000-0001-7923-6128</t>
  </si>
  <si>
    <t>NIH [R01GM126002, R01AG065636, RF1AG067924, R21AG057038, R01HL116720, R01GM113250]; Beverly and Richard Fink Graduate Fellowship at the University of Minnesota; Minnesota Supercomputing Institute at the University of Minnesota</t>
  </si>
  <si>
    <t>NIH(United States Department of Health &amp; Human ServicesNational Institutes of Health (NIH) - USA); Beverly and Richard Fink Graduate Fellowship at the University of Minnesota; Minnesota Supercomputing Institute at the University of Minnesota</t>
  </si>
  <si>
    <t>HX was supported by NIH grant R01GM126002 and Beverly and Richard Fink Graduate Fellowship at the University of Minnesota. WP was supported by NIH grants R01AG065636, RF1AG067924, R21AG057038, R01HL116720, R01GM113250 and R01GM126002. This work was supported by the Minnesota Supercomputing Institute at the University of Minnesota. The funders had no role in study design, data collection and analysis, decision to publish, or preparation of the manuscript.</t>
  </si>
  <si>
    <t>1553-7404</t>
  </si>
  <si>
    <t>PLOS GENET</t>
  </si>
  <si>
    <t>PLoS Genet.</t>
  </si>
  <si>
    <t>e1009105</t>
  </si>
  <si>
    <t>10.1371/journal.pgen.1009105</t>
  </si>
  <si>
    <t>OP8TD</t>
  </si>
  <si>
    <t>WOS:000588362700002</t>
  </si>
  <si>
    <t>Lu, J; Dumitrascu, B; McDowell, IC; Jo, B; Barrera, A; Hong, LK; Leichter, SM; Reddy, TE; Engelhardt, BE</t>
  </si>
  <si>
    <t>Lu, Jonathan; Dumitrascu, Bianca; McDowell, Ian C.; Jo, Brian; Barrera, Alejandro; Hong, Linda K.; Leichter, Sarah M.; Reddy, Timothy E.; Engelhardt, Barbara E.</t>
  </si>
  <si>
    <t>PLOS COMPUTATIONAL BIOLOGY</t>
  </si>
  <si>
    <t>REGULATORY NETWORKS; BAYESIAN-APPROACH; SHP-1 EXPRESSION; SELECTION; GLUCOSE</t>
  </si>
  <si>
    <t>Gene regulatory network inference is essential to uncover complex relationships among gene pathways and inform downstream experiments, ultimately enabling regulatory network re-engineering. Network inference from transcriptional time-series data requires accurate, interpretable, and efficient determination of causal relationships among thousands of genes. Here, we develop Bootstrap Elastic net regression from Time Series (BETS), a statistical framework based on Granger causality for the recovery of a directed gene network from transcriptional time-series data. BETS uses elastic net regression and stability selection from bootstrapped samples to infer causal relationships among genes. BETS is highly parallelized, enabling efficient analysis of large transcriptional data sets. We show competitive accuracy on a community benchmark, the DREAM4 100-gene network inference challenge, where BETS is one of the fastest among methods of similar performance and additionally infers whether causal effects are activating or inhibitory. We apply BETS to transcriptional time-series data of differentially-expressed genes from A549 cells exposed to glucocorticoids over a period of 12 hours. We identify a network of 2768 genes and 31, 945 directed edges (FDR &lt;= 0.2). We validate inferred causal network edges using two external data sources: Overexpression experiments on the same glucocorticoid system, and genetic variants associated with inferred edges in primary lung tissue in the Genotype-Tissue Expression (GTEx) v6 project. BETS is available as an open source software package at . Author summary We can better understand human health and disease by studying the state of cells and how environmental dysregulation affects cell state. Cellular assays, when collected across time, can show us how genes in cells respond to stimuli. These time-series assays provide an opportunity to identify causal relationships among thousands of genes without performing hundreds of thousands of experiments. However, inferring causal relationships from these time-series data needs to be fast, robust, and accurate. We present a method, BETS, that infers causal gene networks from gene expression time series. BETS runs quickly because it is parallelized, allowing even data sets with thousands of genes to be analyzed. We demonstrate the performance of BETS compared to 21 other state-of-the-art inference methods on benchmark data. We then use BETS to build causal networks from gene expression responses to the widely-prescribed drug dexamethasone. We replicate the estimated causal relationships using gene expression data from the Genotype-Tissue Expression (GTEx) project and from additional experiments with dexamethasone. We release our software so that BETS can be used to accurately and effectively infer causal relationships from gene expression time-series assays.</t>
  </si>
  <si>
    <t>[Lu, Jonathan; Engelhardt, Barbara E.] Princeton Univ, Dept Comp Sci, Princeton, NJ 08544 USA; [Dumitrascu, Bianca; Jo, Brian] Princeton Univ, Lewis Sigler Inst Integrat Genom, Princeton, NJ 08544 USA; [McDowell, Ian C.] UCB Co, Element Genom, Durham, NC USA; [Barrera, Alejandro; Hong, Linda K.; Leichter, Sarah M.] Duke Univ, Ctr Genom &amp; Computat Biol, Durham, NC USA; [Barrera, Alejandro] Duke Univ, Med Ctr, Dept Biostat &amp; Bioinformat, Durham, NC USA; [Reddy, Timothy E.] Duke Univ, Dept Genome Sci, Durham, NC 27708 USA; [Engelhardt, Barbara E.] Princeton Univ, Ctr Stat &amp; Machine Learning, Princeton, NJ 08544 USA</t>
  </si>
  <si>
    <t>Princeton University; Princeton University; Duke University; Duke University; Duke University; Princeton University</t>
  </si>
  <si>
    <t>Engelhardt, BE (corresponding author), Princeton Univ, Dept Comp Sci, Princeton, NJ 08544 USA.;Reddy, TE (corresponding author), Duke Univ, Dept Genome Sci, Durham, NC 27708 USA.;Engelhardt, BE (corresponding author), Princeton Univ, Ctr Stat &amp; Machine Learning, Princeton, NJ 08544 USA.</t>
  </si>
  <si>
    <t>tim.reddy@duke.edu; bee@princeton.edu</t>
  </si>
  <si>
    <t>Engelhardt, Barbara/0000-0002-6139-7334; Jo, Brian/0000-0002-9641-7948; Barrera de Madariaga, Alejandro/0000-0001-9244-9822; McDowell, Ian/0000-0001-5811-1297; Dumitrascu, Bianca/0000-0001-8328-2354; Lu, Jonathan/0000-0002-1302-4875</t>
  </si>
  <si>
    <t>NIH (National Human Genome Research Institute) [R01 HL133218, U01 HG007900]; NSF 711 CAREER (Division of Information and Intelligent Systems) [1750729]; Direct For Computer &amp; Info Scie &amp; Enginr; Div Of Information &amp; Intelligent Systems [1750729] Funding Source: National Science Foundation</t>
  </si>
  <si>
    <t>NIH (National Human Genome Research Institute)(United States Department of Health &amp; Human ServicesNational Institutes of Health (NIH) - USANIH National Human Genome Research Institute (NHGRI)); NSF 711 CAREER (Division of Information and Intelligent Systems); Direct For Computer &amp; Info Scie &amp; Enginr; Div Of Information &amp; Intelligent Systems(National Science Foundation (NSF)NSF - Directorate for Computer &amp; Information Science &amp; Engineering (CISE))</t>
  </si>
  <si>
    <t>This work was funded by the following grants to BEE: NIH R01 HL133218 and NIH U01 HG007900 (National Human Genome Research Institute), and an NSF 711 CAREER 1750729 (Division of Information and Intelligent Systems). The funders had no role in study design, data collection and analysis, decision to publish, or preparation of the manuscript.</t>
  </si>
  <si>
    <t>1553-734X</t>
  </si>
  <si>
    <t>1553-7358</t>
  </si>
  <si>
    <t>PLOS COMPUT BIOL</t>
  </si>
  <si>
    <t>PLoS Comput. Biol.</t>
  </si>
  <si>
    <t>e1008223</t>
  </si>
  <si>
    <t>10.1371/journal.pcbi.1008223</t>
  </si>
  <si>
    <t>Biochemical Research Methods; Mathematical &amp; Computational Biology</t>
  </si>
  <si>
    <t>Biochemistry &amp; Molecular Biology; Mathematical &amp; Computational Biology</t>
  </si>
  <si>
    <t>QB1HW</t>
  </si>
  <si>
    <t>WOS:000613893600001</t>
  </si>
  <si>
    <t>Pellegrini, A; Peluso, S; Quaglia, F; Vitali, R</t>
  </si>
  <si>
    <t>Pellegrini, Alessandro; Peluso, Sebastiano; Quaglia, Francesco; Vitali, Roberto</t>
  </si>
  <si>
    <t>INTERNATIONAL JOURNAL OF PARALLEL PROGRAMMING</t>
  </si>
  <si>
    <t>Speculative computing; Discrete event applications; Parallel simulation; Multi-version schemes; Non-blocking algorithms</t>
  </si>
  <si>
    <t>MEMORY; MIGRATION</t>
  </si>
  <si>
    <t>Parallelizing (compute-intensive) discrete event simulation (DES) applications is a classical approach for speeding up their execution and for making very large/complex simulation models tractable. This has been historically achieved via parallel DES (PDES) techniques, which are based on partitioning the simulation model into distinct simulation objects (somehow resembling objects in classical object-oriented programming), whose states are disjoint, which are executed concurrently and rely on explicit event-exchange (or event-scheduling) primitives as the means to support mutual dependencies and notification of their state updates. With this approach, the application developer is necessarily forced to reason about state separation across the objects, thus being not allowed to rely on shared information, such as global variables, within the application code. This implicitly leads to the shift of the user-exposed programming model to one where sequential-style global variable accesses within the application code are not allowed. In this article we remove this limitation by providing support for managing global variables in the context of DES code developed in ANSI-C, which gets automatically parallelized. Particularly, we focus on speculative (also termed optimistic) PDES systems that run on top of multi-core machines, where simulation objects can concurrently process their events with no guarantee of causal consistency and actual violations of causality rules are recovered through rollback/recovery schemes. In compliance with the nature of speculative processing, in our proposal global variables are transparently mapped to multi-versions, so as to avoid any form of safety predicate verification upon their updates. Consistency is ensured via the introduction of a new rollback/recovery scheme based on detecting global variables' reads on non-correct versions. At the same time, efficiency in the execution is guaranteed by managing multi-version variables' lists via non-blocking algorithms. Furthermore, the whole approach is fully transparent, being it based on automatized instrumentation of the application software (particularly ELF objects). Hence the programmer is exposed to the classical (and easy to code) sequential-style programming scheme while accessing any global variable. An experimental assessment of our proposal, based on a suite of case study applications, run on top of an off-the-shelf Linux machine equipped with 32 CPU-cores and 64 GB of RAM, is also presented.</t>
  </si>
  <si>
    <t>[Pellegrini, Alessandro; Quaglia, Francesco; Vitali, Roberto] Univ Roma La Sapienza, DIAG, Via Ariosto 25, I-00185 Rome, Italy; [Peluso, Sebastiano] Virginia Tech, ECE Dept, Blacksburg, VA 24061 USA</t>
  </si>
  <si>
    <t>Sapienza University Rome; Virginia Polytechnic Institute &amp; State University</t>
  </si>
  <si>
    <t>Quaglia, F (corresponding author), Univ Roma La Sapienza, DIAG, Via Ariosto 25, I-00185 Rome, Italy.</t>
  </si>
  <si>
    <t>quaglia@dis.uniroma1.it</t>
  </si>
  <si>
    <t>SPRINGER/PLENUM PUBLISHERS</t>
  </si>
  <si>
    <t>0885-7458</t>
  </si>
  <si>
    <t>1573-7640</t>
  </si>
  <si>
    <t>INT J PARALLEL PROG</t>
  </si>
  <si>
    <t>Int. J. Parallel Program.</t>
  </si>
  <si>
    <t>DU2IW</t>
  </si>
  <si>
    <t>WOS:000382035500006</t>
  </si>
  <si>
    <t>Manolache, M; Epuran, G</t>
  </si>
  <si>
    <t>Manolache, Madalina; Epuran, Gheorghe</t>
  </si>
  <si>
    <t>The Mediating Impact of Goal-Role Clarity on the Relationship between Feedback-Seeking Behavior and Goal Orientations with Job Satisfaction Intrinsic Cognitions and Person-Organization Fit</t>
  </si>
  <si>
    <t>SUSTAINABILITY</t>
  </si>
  <si>
    <t>cognitive schemas; sustainable behavior; person-organization fit; feedback-seeking; goal orientation</t>
  </si>
  <si>
    <t>HUMAN-RESOURCE-MANAGEMENT; DISCRIMINANT VALIDITY; MODEL; SPECIFICATION; ENVIRONMENT; PREDICTORS; COMMITMENT; LEADERSHIP; KNOWLEDGE; OUTCOMES</t>
  </si>
  <si>
    <t>This study aims to offer a design for the cognitive calibration of employees' work behaviors. The study focuses on fostering sustainable behavioral patterns in the workplace by arguing that, to sustain the cognitive maintenance of workplace behaviors, the nexus between self-efficacy behaviors, ability beliefs, job-role clarity, and employees' perceived alignment should be considered during human resource (HR) processes and events, such as feedback conversations and performance reviews. The tool used to collect our data was a questionnaire administered both in paper format and digitally through an online platform compliant with European data protection regulations, to 210 professionals from two IT companies in northeastern Romania (n = 116 for the first sample and n = 94 for the second sample). The series of questions included Likert scales addressing frequency, (dis)agreement, and clarity. The model was tested using SPSS v.27 and SMART-PLS v.4 software, and the study used partial least squares structural equation modeling to examine the proposed hypotheses. Findings for Study 1 indicated that role clarity partially mediated the relationship between feedback-seeking and job cognitions whilst fully mediating the effect on person-organization fit. Results from Study 2 indicated that role clarity partially mediated the relationship between goal orientations and job cognitions and fully mediated the effect on person-organization fit. Therefore, it is possible to aid employees' in storing their employment narratives in coherent cognitive schemas while elevating their assessment of work values' alignment and meaningfulness. On this basis, effective tools and methodologies should be made available to employees, at the individual and team level, to help them understand the cognitive processing endorsing workplace behavioral patterns, compatibility, and causality for them to sustainably transform their workplace behavior.</t>
  </si>
  <si>
    <t>[Manolache, Madalina; Epuran, Gheorghe] Transilvania Univ Brasov, Fac Econ Sci &amp; Business Adm, Brasov 500036, Romania</t>
  </si>
  <si>
    <t>Transylvania University of Brasov</t>
  </si>
  <si>
    <t>Manolache, M (corresponding author), Transilvania Univ Brasov, Fac Econ Sci &amp; Business Adm, Brasov 500036, Romania.</t>
  </si>
  <si>
    <t>madalina.manolache@unitbv.ro; epuran.gheorghe@unitbv.ro</t>
  </si>
  <si>
    <t>Epuran, Gheorghe/N-4395-2015</t>
  </si>
  <si>
    <t>Epuran, Gheorghe/0000-0002-4959-102X; Manolache, Madalina/0000-0003-0199-373X</t>
  </si>
  <si>
    <t>We are grateful to the HR Department from Basware Romania for the tremendous support.; HR Department from Basware Romania</t>
  </si>
  <si>
    <t>We are grateful to the HR Department from Basware Romania for the tremendous support.</t>
  </si>
  <si>
    <t>2071-1050</t>
  </si>
  <si>
    <t>SUSTAINABILITY-BASEL</t>
  </si>
  <si>
    <t>Sustainability</t>
  </si>
  <si>
    <t>Green &amp; Sustainable Science &amp; Technology; Environmental Sciences; Environmental Studies</t>
  </si>
  <si>
    <t>Science &amp; Technology - Other Topics; Environmental Sciences &amp; Ecology</t>
  </si>
  <si>
    <t>Q9LB4</t>
  </si>
  <si>
    <t>WOS:001060648200001</t>
  </si>
  <si>
    <t>Ke, LX; Lu, CC; Shen, R; Lu, TT; Ma, B; Hua, YP</t>
  </si>
  <si>
    <t>Ke, Lixin; Lu, Cuncun; Shen, Rui; Lu, Tingting; Ma, Bin; Hua, Yunpeng</t>
  </si>
  <si>
    <t>Knowledge Mapping of Drug-Induced Liver Injury: A Scientometric Investigation (2010-2019)</t>
  </si>
  <si>
    <t>scientometric; drug-induced liver injury; VOSviewer; CiteSpace; HLA-B*5701</t>
  </si>
  <si>
    <t>CAUSALITY ASSESSMENT; BIBLIOMETRIC ANALYSIS; ADVERSE-REACTIONS; GLOBAL RESEARCH; FAILURE; OUTCOMES; SCIENCE; RISK; ACETAMINOPHEN; POPULATION</t>
  </si>
  <si>
    <t>Background Drug-induced liver injury (DILI) is a common adverse event, which compromises the safety of numerous drugs, poses a significant risk to patient health, and enhances healthcare expenditures. Many articles have been recently published on DILI related research, though no relevant scientometric study has been published yet. This scientometric study was aimed at comprehensively analyzing the knowledge base and emerging topics on DILI. Methods The articles and reviews related to DILI, published from 2010 to 2019 in the Web of Science Core Collection (WoSCC), were retrieved on March 15, 2020, using relevant keywords. Four different scientometric software (HistCite, VOSviewer, CiteSpace, and R-bibliometrix) was used to conduct this scientometric study. Results A total of 1,995 publications were retrieved (including 1,550 articles and 445 reviews) from 592 academic journals with 56,273 co-cited references in 10 languages by 2,331 institutions from 79 countries/regions. The majority of publications (n= 727, 36.44%) were published in the United States, and the University of North Carolina contributed the most publications (n= 89, 4.46%). The most productive academic journal on DILI was theToxicological Sciences[n= 79, 3.96%; impact factor (IF) 2018 = 3.564], andHepatologywas the first co-cited journal (n= 7,383, IF 2018 = 14.971). Fontana RJ and Teschke R may have significant influence on DILI research, with more publications (n= 46;n= 39) and co-citations (n= 382;n= 945). Definition, incidence rate or clinical characteristics, etiology or pathogenesis (such as the character of the innate immune system, the regulation of cell-death pathways, and susceptible HLA-B*5701 genotype), identification of main drugs and causality assessment (criteria and methods) were the knowledge base for DILI research. Exploring the microscopic mechanism (such as the organelle dysfunction and cytotoxicity induced by drugs, and exploration of role of neutrophils in DILI using mouse models) and developed newer approaches to prevent DILI (such as the prospective HLA-B*5701 screening andin vitroapproaches for assessing the potential risk of candidate drugs for DILI) were the recent major topics for DILI research. Conclusion This scientometric study comprehensively reviewed the publications related to DILI during the past decade using quantitative and qualitative methods. This information would provide references for scholars, researching on DILI.</t>
  </si>
  <si>
    <t>[Ke, Lixin; Shen, Rui; Hua, Yunpeng] Sun Yat Sen Univ, Affiliated Hosp 1, Dept Liver Surg, Guangzhou, Peoples R China; [Lu, Cuncun; Lu, Tingting] Lanzhou Univ, Evidence Based Med Ctr, Sch Basic Med Sci, Lanzhou, Peoples R China; [Ma, Bin] Lanzhou Univ, Sch Basic Med Sci, Key Lab Preclin Study New Drug Gansu Prov, Lanzhou, Peoples R China</t>
  </si>
  <si>
    <t>Sun Yat Sen University; Lanzhou University; Lanzhou University</t>
  </si>
  <si>
    <t>Hua, YP (corresponding author), Sun Yat Sen Univ, Affiliated Hosp 1, Dept Liver Surg, Guangzhou, Peoples R China.</t>
  </si>
  <si>
    <t>hyp0427@163.com</t>
  </si>
  <si>
    <t>Ke, Lixin/AAT-8963-2021; Lu, cuncun/AAK-2842-2020; Lu, Cuncun/GRO-4991-2022</t>
  </si>
  <si>
    <t>Ke, Lixin/0000-0001-5622-6656; Lu, cuncun/0000-0001-9541-9733; Lu, Cuncun/0000-0001-9541-9733; Hua, Yunpeng/0000-0003-4814-9392</t>
  </si>
  <si>
    <t>Science and Technology Project of Guangzhou city [201707010387]</t>
  </si>
  <si>
    <t>Science and Technology Project of Guangzhou city</t>
  </si>
  <si>
    <t>This study was supported by grants from the Science and Technology Project of Guangzhou city (no. 201707010387).</t>
  </si>
  <si>
    <t>JUN 5</t>
  </si>
  <si>
    <t>10.3389/fphar.2020.00842</t>
  </si>
  <si>
    <t>MH8MZ</t>
  </si>
  <si>
    <t>WOS:000546977700001</t>
  </si>
  <si>
    <t>Safarov, G; Sadiqova, S; Urazayeva, M; Abbasova, N</t>
  </si>
  <si>
    <t>Safarov, Ganimat; Sadiqova, Sabina; Urazayeva, Milyanat; Abbasova, Narmina</t>
  </si>
  <si>
    <t>THEORETICAL AND METHODOLOGICAL ASPECTS OF INNOVATIVE-INDUSTRIAL CLUSTER DEVELOPMENT IN THE ERA OF DIGITALIZATION</t>
  </si>
  <si>
    <t>MARKETING AND MANAGEMENT OF INNOVATIONS</t>
  </si>
  <si>
    <t>industrial and innovative cluster; digitalization; management; panel data; regression modelling</t>
  </si>
  <si>
    <t>This article summarizes the arguments and counterarguments within the scientific debate on the identification of the main theoretical and practical principles of the functioning of innovative-industrial clusters in different countries, as well as the formalization of the impact of digitalization on their activities. The article summarizes scientific approaches to determining the main characteristics and features of the functioning of innovation-industrial clusters. In order to substantiate the theoretical background of the relationship between innovation-industrial clusters' performance and digitalization processes, a bibliometric analysis of the main Scopus publications in this direction is carried out using the VOSviewer toolkit. That made it possible to identify the main essential and contextual clusters of scientific research on relevant topics to characterize the evolutionary patterns of their changes during the analysis period. In order to determine the empirical causality of the impact of digitalization on innovative and industrial development, an integral indicator of innovative and industrial development is developed. The Index considers the measurement parameters and regional features of industrial, entrepreneurial, and innovative development. Indicators were integrated using the principal components analysis and additive convolution. The study modelled the influence proxies of the digital economy on the integrated indicator of innovative and industrial development using panel data regression modelling in the Stata 14.2/SE software. In the paper, it is also identified those determinants of the digital development of the state that depends to the greatest extent on the volatility of the innovative and industrial development of the country using one-factor regression models. The study is conducted for the country sample with 10 countries, including Azerbaijan, Estonia, Georgia, Kazakhstan, Kyrgyzstan, Latvia, Lithuania, Poland, Romania, and Ukraine. The time horizon of the study covers the period 2009-2021 (or the latest available period). The research results can be useful to scientists, state authorities, and local governments.</t>
  </si>
  <si>
    <t>[Safarov, Ganimat] Azerbaijan Acad Labor &amp; Social Relat, Baku, Azerbaijan; [Sadiqova, Sabina; Urazayeva, Milyanat; Abbasova, Narmina] Azerbaijan State Oil &amp; Ind Univ, Baku, Azerbaijan</t>
  </si>
  <si>
    <t>Ministry of Education of Azerbaijan Republic; Azerbaijan State University of Oil &amp; Industry (ASUOI)</t>
  </si>
  <si>
    <t>Safarov, G (corresponding author), Azerbaijan Acad Labor &amp; Social Relat, Baku, Azerbaijan.</t>
  </si>
  <si>
    <t>qenimet.seferov@aesma.edu.az</t>
  </si>
  <si>
    <t>DAN, XU/JFK-0502-2023</t>
  </si>
  <si>
    <t>SUMY STATE UNIV, DEPT MARKETING &amp; MANAGEMENT INNOVATIVE ACTIVITY</t>
  </si>
  <si>
    <t>SUMY</t>
  </si>
  <si>
    <t>RYMSKIY-KORSAKOV ST 2, SUMY, 40007, UKRAINE</t>
  </si>
  <si>
    <t>2218-4511</t>
  </si>
  <si>
    <t>2227-6718</t>
  </si>
  <si>
    <t>MARK MANAG INNOV</t>
  </si>
  <si>
    <t>Mark. Manag. Innov.</t>
  </si>
  <si>
    <t>10.21272/mmi.2022.4-17</t>
  </si>
  <si>
    <t>F7WQ3</t>
  </si>
  <si>
    <t>WOS:000984416600011</t>
  </si>
  <si>
    <t>Dutta, S; Venkatesh, P; Mardziel, P; Datta, A; Grover, P</t>
  </si>
  <si>
    <t>Dutta, Sanghamitra; Venkatesh, Praveen; Mardziel, Piotr; Datta, Anupam; Grover, Pulkit</t>
  </si>
  <si>
    <t>IEEE TRANSACTIONS ON INFORMATION THEORY</t>
  </si>
  <si>
    <t>Business; Encoding; Decision making; Software; Predictive models; Data models; Training; Algorithmic fairness; causal inference; information measures; Partial Information Decomposition (PID); trustworthy machine learning</t>
  </si>
  <si>
    <t>With the growing use of machine learning algorithms in highly consequential domains, the quantification and removal of disparity in decision making with respect to protected attributes, such as gender, race, etc., is becoming increasingly important. While quantifying disparity is essential, sometimes the needs of a business (e.g., hiring) may require the use of certain features that are critical in a way that any disparity that can be explained by them might need to be exempted. For instance, in hiring a software engineer for a safety-critical application, a coding-test score may be a critical feature that is weighed strongly in the decision even if it introduces disparity, whereas other features, such as name, zip code, or reference letters may be used to improve decision-making, but only to the extent that they do not add disparity. In this work, we propose a novel information-theoretic decomposition of the total disparity (a quantification inspired from counterfactual fairness) into two components: a non-exempt component which quantifies the part of the disparity that cannot be accounted for by the critical features, and an exempt component which quantifies the remaining disparity. This decomposition is important: it allows one to check if the disparity arose purely due to the critical features (inspired from the business necessity defense of disparate impact law) and also enables selective removal of the non-exempt component of disparity if desired. We arrive at this decomposition through canonical examples that lead to a set of desirable properties (axioms) that any measure of non-exempt disparity should satisfy. We then demonstrate that our proposed counterfactual measure of non-exempt disparity satisfies all of them. Our quantification bridges ideas of causality, Simpson's paradox, and a body of work from information theory called Partial Information Decomposition (PID). We also obtain an impossibility result showing that no observational measure of non-exempt disparity can satisfy all of the desired properties, which leads us to relax our goals and examine alternative observational measures that satisfy only some of these properties. We perform case studies to show how one can audit existing models as well as train new models while reducing non-exempt disparity.</t>
  </si>
  <si>
    <t>[Dutta, Sanghamitra; Venkatesh, Praveen; Mardziel, Piotr; Datta, Anupam; Grover, Pulkit] Carnegie Mellon Univ, Dept Elect &amp; Comp Engn, Pittsburgh, PA 15213 USA; [Venkatesh, Praveen] Allen Inst, Seattle, WA 98109 USA; [Mardziel, Piotr] Truera, Redwood City, CA 94063 USA</t>
  </si>
  <si>
    <t>Carnegie Mellon University; Allen Institute for Brain Science</t>
  </si>
  <si>
    <t>Dutta, S (corresponding author), Carnegie Mellon Univ, Dept Elect &amp; Comp Engn, Pittsburgh, PA 15213 USA.</t>
  </si>
  <si>
    <t>sanghamitra2612@gmail.com; praveen.venkatesh@alleninstitute.org; piotrm@gmail.com; danupam@cmu.edu; pulkit@cmu.edu</t>
  </si>
  <si>
    <t>Venkatesh, Praveen/AAZ-4522-2021</t>
  </si>
  <si>
    <t>Venkatesh, Praveen/0000-0003-0752-1506; Grover, Pulkit/0000-0001-7651-7776; Dutta, Sanghamitra/0000-0002-6500-2627</t>
  </si>
  <si>
    <t>NSF [CCF1350314, CNS-1704845]; Defense Advanced Research Projects Agency (DARPA); Air Force Research Laboratory [FA8750-15-2-0277]; Cylab Presidential Fellowship 2020; K&amp;L Gates Presidential Fellowship in Ethics and Computational Technologies 2019; Axel Berny Graduate Fellowship 2019; Fellowship in Digital Health from the Center for Machine Learning and Health at Carnegie Mellon University</t>
  </si>
  <si>
    <t>NSF(National Science Foundation (NSF)); Defense Advanced Research Projects Agency (DARPA)(United States Department of DefenseDefense Advanced Research Projects Agency (DARPA)); Air Force Research Laboratory; Cylab Presidential Fellowship 2020; K&amp;L Gates Presidential Fellowship in Ethics and Computational Technologies 2019; Axel Berny Graduate Fellowship 2019; Fellowship in Digital Health from the Center for Machine Learning and Health at Carnegie Mellon University</t>
  </si>
  <si>
    <t>This work was supported by NSF Career Award CCF1350314, NSF Grant CNS-1704845, Defense Advanced Research Projects Agency (DARPA), and the Air Force Research Laboratory under Agreement FA8750-15-2-0277. The work of Sanghamitra Dutta was supported in part by the Cylab Presidential Fellowship 2020, in part by the K&amp;L Gates Presidential Fellowship in Ethics and Computational Technologies 2019, and in part by Axel Berny Graduate Fellowship 2019. The work of Praveen Venkatesh was supported by the Fellowship in Digital Health from the Center for Machine Learning and Health at Carnegie Mellon University. This article was presented in part at the 2020 AAAI [1].</t>
  </si>
  <si>
    <t>0018-9448</t>
  </si>
  <si>
    <t>1557-9654</t>
  </si>
  <si>
    <t>IEEE T INFORM THEORY</t>
  </si>
  <si>
    <t>IEEE Trans. Inf. Theory</t>
  </si>
  <si>
    <t>UQ5BA</t>
  </si>
  <si>
    <t>WOS:000696077200029</t>
  </si>
  <si>
    <t>Quinn, LA; Shields, MD; Groves, HE</t>
  </si>
  <si>
    <t>Quinn, Lauren Alexandra; Shields, Michael D.; Groves, Helen E.</t>
  </si>
  <si>
    <t>Respiratory syncytial virus prophylaxis for prevention of recurrent childhood wheeze and asthma: a protocol for a systematic review</t>
  </si>
  <si>
    <t>SYSTEMATIC REVIEWS</t>
  </si>
  <si>
    <t>Respiratory syncytial virus; Asthma; Recurrent wheeze; Prophylaxis; Monoclonal antibody; Immunoprophylaxis</t>
  </si>
  <si>
    <t>RISK-FACTORS; LIFE; PALIVIZUMAB; INFECTIONS; PREVALENCE; CHILDREN; AGE</t>
  </si>
  <si>
    <t>Background Lower respiratory tract infection (LRTI) caused by respiratory syncytial virus (RSV) has been associated with greater risk of recurrent wheezing and subsequent asthma. However, it is still unclear whether this association is causal or not. RSV-specific monoclonal antibodies have been shown to reduce RSV-related hospitalisations in high-risk infants, i.e. those born pre-term, but the longer term follow-up has given conflicting evidence for the prevention of recurrent wheeze or asthma. Objective We aim to perform a systematic review and meta-analysis to determine whether or not prophylaxis with a monoclonal antibody for prevention of RSV-bronchiolitis reduces the risk of subsequent recurrent wheeze or asthma. If so, this would support the hypothesis that the association between RSV and recurrent wheeze and/or asthma is causative. Methods To identify relevant studies, we will search a number of databases including Medline, Embase, PubMed and Web of Science and will also manually look for unpublished data by contacting the manufacturers of monoclonal antibodies. The intervention being investigated is RSV-specific monoclonal antibody prophylaxis, and the outcome being measured is recurrent wheeze and/or asthma. Studies will be screened according to inclusion/exclusion criteria, to include primary studies of any study design type. Eligible studies will then be evaluated for quality and assessed for bias independently by three reviewers using the 'Grading of Recommendations Assessment, Development and Evaluation' (GRADE) approach. The results of the studies will be extracted into 2 x 2 outcome tables, and a meta-analysis will be carried out to produce forest plots based on relative risk. Heterogeneity will be assessed using the I-2 statistic. The statistical software we will use is StatsDirect. Discussion This review will aid in determining if the relationship between RSV and asthma development is a causal one, by showing the effect (if any) of RSV prophylaxis on subsequent recurrent wheeze/asthma. If this study shows RSV prophylaxis to have no effect on the outcome of recurrent wheeze/asthma, the question of causality remains.</t>
  </si>
  <si>
    <t>[Quinn, Lauren Alexandra; Shields, Michael D.; Groves, Helen E.] Queens Univ Belfast, Belfast, Antrim, North Ireland; [Quinn, Lauren Alexandra] Queens Univ Belfast, Welcome Wolfson Inst Expt Med, Centre Expt Med, Child Hlth, Belfast, Antrim, North Ireland</t>
  </si>
  <si>
    <t>Queens University Belfast; Queens University Belfast</t>
  </si>
  <si>
    <t>Quinn, LA (corresponding author), Queens Univ Belfast, Belfast, Antrim, North Ireland.;Quinn, LA (corresponding author), Queens Univ Belfast, Welcome Wolfson Inst Expt Med, Centre Expt Med, Child Hlth, Belfast, Antrim, North Ireland.</t>
  </si>
  <si>
    <t>lquinn583@qub.ac.uk</t>
  </si>
  <si>
    <t>Shields, Mike/AGG-3437-2022</t>
  </si>
  <si>
    <t>Shields, Mike/0000-0002-3793-3571; Quinn, Lauren/0000-0002-4778-9075; Groves, Helen/0000-0001-9244-9961</t>
  </si>
  <si>
    <t>2046-4053</t>
  </si>
  <si>
    <t>SYST REV-LONDON</t>
  </si>
  <si>
    <t>Syst. Rev.</t>
  </si>
  <si>
    <t>DEC 19</t>
  </si>
  <si>
    <t>10.1186/s13643-019-1251-x</t>
  </si>
  <si>
    <t>KL6LC</t>
  </si>
  <si>
    <t>WOS:000513531700001</t>
  </si>
  <si>
    <t>Pillai, RH; Bi, A</t>
  </si>
  <si>
    <t>Pillai, Rajani H.; Bi, Aatika</t>
  </si>
  <si>
    <t>Blended teaching and psychological well being of educators : A study across commerce and management institutions in Bengaluru</t>
  </si>
  <si>
    <t>JOURNAL OF STATISTICS AND MANAGEMENT SYSTEMS</t>
  </si>
  <si>
    <t>Blended teaching; Psychological wellbeing; Teachers; Educators; Students</t>
  </si>
  <si>
    <t>JOB-SATISFACTION; CLIMATE; IMPACT</t>
  </si>
  <si>
    <t>The unanticipated global spread of the COVID-19 virus has posed an extra challenge to the world's educational systems, forcing teachers to adopt online or blended modes of instruction. Teachers face a wide range of difficulties as they adjust to the digital pedagogical style, new pedagogical concepts, and the expectation that they will find creative solutions to meet the academic and personal needs of their pupils. Institutions of higher learning are working to develop programs to help students, especially those from underprivileged backgrounds, make up for academic ground they may have lost.In offline, online, and hybrid learning models, there is an increased emphasis being placed not only on the health and safety of instructors, but also on the collaboration between authorities and a wide variety of other stakeholders. While there is a growing body of study being conducted on related goods and initiatives in industrialized nations like the United States, there is a considerably smaller body of information that has been collected on the subject in developing nations like India. There is need for study on the efficacy of blended models as well as the health and happiness of the educators, and this may be done using qualitative, quantitative, or hybrid methods. In fact, there are a variety of assumptions about blended model implementation in education that are worth exploring beyond simple causality. Similarly, it is descriptive and exploratory in character, with the goal of learning how newer and more exact systems should be fashioned.The purpose of this study is to investigate the influence that blended teaching can have on the mental health of educators. Convenience sampling was used to obtain the sample for this investigation, and it was distributed throughout the teaching fraternities of commerce and management colleges. For the purpose of the study, a sample size of 150 educators was gathered, with a margin of error of 10% and a confidence interval of 95 percent. A qualitative pilot research was done on this topic with a group of fifty instructors, and a well-structured questionnaire was constructed by considering their findings. A statement based on a Likert scale is included in the questionnaire in order to gauge the challenges associated with blended learning as well as the personal wellbeing of the instructors. The statistical analysis of the data will be carried out with the help of the software packages SPSS and AMOS. The findings of the study will be of tremendous use to the teaching community in terms of coping with the obstacles posed by blended learning, and such methods can be widely implemented for the benefit of the students.</t>
  </si>
  <si>
    <t>[Pillai, Rajani H.; Bi, Aatika] Mt Carmel Coll Autonomous, Sch Commerce, Bengaluru 560052, Karnataka, India</t>
  </si>
  <si>
    <t>Pillai, RH (corresponding author), Mt Carmel Coll Autonomous, Sch Commerce, Bengaluru 560052, Karnataka, India.</t>
  </si>
  <si>
    <t>rajani.h.pillai@mccblr.edu.in; aatika.bi@mccblr.edu.in</t>
  </si>
  <si>
    <t>Pillai, Rajani H./0000-0002-6473-4412</t>
  </si>
  <si>
    <t>TARU PUBLICATIONS</t>
  </si>
  <si>
    <t>NEW DELHI</t>
  </si>
  <si>
    <t>G-159, PUSHKAR ENCLAVE, PASHCHIM VIHAR, NEW DELHI, 110 063, INDIA</t>
  </si>
  <si>
    <t>0972-0510</t>
  </si>
  <si>
    <t>2169-0014</t>
  </si>
  <si>
    <t>J STAT MANAG SYST</t>
  </si>
  <si>
    <t>J. Stat. Manag. Syst.</t>
  </si>
  <si>
    <t>10.47974/JSMS-1135</t>
  </si>
  <si>
    <t>AI0I0</t>
  </si>
  <si>
    <t>WOS:001117714300012</t>
  </si>
  <si>
    <t>Zadeh, LA</t>
  </si>
  <si>
    <t>Zadeh, Lotfi A.</t>
  </si>
  <si>
    <t>Toward human level machine intelligence - Is it achievable? The need for a paradigm shift</t>
  </si>
  <si>
    <t>IEEE COMPUTATIONAL INTELLIGENCE MAGAZINE</t>
  </si>
  <si>
    <t>FUZZY; PROBABILITIES</t>
  </si>
  <si>
    <t>Officially, AI was born in 1956. Since then, very impressive progress has been made in many areas-but not in the realm of human level machine intelligence. Anyone who has been forced to use a dumb automated customer service system will readily agree. The Turing Test lies far beyond. Today, no machine can pass the Turing Test and none is likely to do so in the foreseeable future. During much of its early history, AI was rife with exaggerated expectations. A headline in an article published in the late forties of last century was headlined, Electric brain capable of translating foreign languages is being built. Today, more than half a century later, we do have translation software, but nothing that can approach the quality of human translation. Clearly, achievement of human level machine intelligence is a challenge that is hard to meet. Humans have many remarkable capabibilities; there are two that stand out in importance. First, the capability to reason, converse and make rational decisions in an environment of imprecision, uncertainty, incompleteness of information, partiality of truth and possibility. And second, the capability to perform a wide variety of physical and mental tasks without any measurements and any computations. A prerequisite to achievement of human level machine intelligence is mechanization of these capabilities and, in particular, mechanization of natural language understanding. In my view, mechanization of these capabilities is beyond the reach of the armamentarium of AI-an armamentarium which in large measure is based on classical, Aristotelian, bivalent logic and bivalent-logic-based probability theory. To make significant progress toward achievement of human level machine intelligence, a paradigm shift is needed. More specifically, what is needed is an addition to the armamentarium of AI of two methodologies: (a) a nontraditional methodology of computing with words (CW) or more generally, NL-Computation; and (b) a countertraditional methodology which involves a progression from computing with numbers to computing with words. The centerpiece of these methodologies is the concept of precisiation of meaning. Addition of these methodologies to AI would be an important step toward the achievement of human level machine intelligence and its applications in decision-making, pattern recognition, analysis of evidence, diagnosis, and assessment of causality. Such applications have a position of centrality in our infocentric society.</t>
  </si>
  <si>
    <t>Zadeh, Lotfi A./A-6147-2012</t>
  </si>
  <si>
    <t>1556-603X</t>
  </si>
  <si>
    <t>IEEE COMPUT INTELL M</t>
  </si>
  <si>
    <t>IEEE Comput. Intell. Mag.</t>
  </si>
  <si>
    <t>Computer Science, Artificial Intelligence</t>
  </si>
  <si>
    <t>331BH</t>
  </si>
  <si>
    <t>WOS:000257987200002</t>
  </si>
  <si>
    <t>Ohayon, MM</t>
  </si>
  <si>
    <t>Methodology of a study on insomnia in the general population</t>
  </si>
  <si>
    <t>ENCEPHALE-REVUE DE PSYCHIATRIE CLINIQUE BIOLOGIQUE ET THERAPEUTIQUE</t>
  </si>
  <si>
    <t>French</t>
  </si>
  <si>
    <t>epidemiology; methodology; sleep disorders; mental disorders</t>
  </si>
  <si>
    <t>FACE-TO-FACE; ADMINISTERED VERSIONS; SLEEP DISORDERS; TELEPHONE; DEPRESSION; COMMUNITY; EXPERT; SYSTEM</t>
  </si>
  <si>
    <t>The study of sleep disorders in the general population involves several methodological issues that need to be defined prior to proceeding to the epidemiological study. The rigor of the methodology is an important issue since it will determine the reliability of the data gathered. This paper describes the methodology used in an epidemiological study performed in the French general population using telephone interviews with the help of Sleep-EVAL, an expert system designed for this purpose. The study aimed to investigate the prevalence of insomnia disorders according to the DSM IV classification and the use of psychotropic medications in the general population. The methodological choices for this study were based on several considerations. First, the sample had to be representative of the French population. Second, the study had to be conducted in the shortest period of time. Third, the interviews had to be conducted with respect to a strict standardization and fourth, the realization costs had to be minimal fora maximum of data collected. The telephone interview procedure was chosen over postal and face-to-face interviews because it offered the possibility of conducting all the interviews from the same site. Supervision was easier. It also offered an absolute control in the application of the selection procedure. To draw the sample, a two-stage procedure was adopted. At the first stage, we pulled a random series of telephone numbers in each Nielsen region with respect to the size of the settlement. At the second stage, during the initial telephone contact, a household member was chosen using the Kish selection procedure. This method is based on the utilization of eight tables of selection that allows for the choice of the person to interview in a given household and keeps the representativeness of the sample. This technique is little used in telephone surveys because of its burden and its intrusive nature : the interviewer must collect the age and gender of all eligible subjects, to classify men from the oldest to youngest and then to classify women. However, it is the most rigorous selection method for epidemiological surveys. To reduce the refusal rates and to alleviate the work of interviewers, the Kish method was implanted in the computer software used for this study. For this study, the exclusion criteria were minimal. Only individuals younger than 15 years of age, those with a speech or hearing impairment and those who were too ill to perform the interview were not included. Subjects who refused to participate, those who hung up without speaking to the interviewer and those who hung up before completing at least half of the interview were tabulated as refusal. The participation rate was calculated by dividing the number of completed interviews by the number of eligible participants (completed interviews, refusals and telephone numbers where the interviewer was unable to determine if the individuals met an exclusion criterion). In this study, the participation rate was 80.8 % (5 622 completed interviews/6 966 eligible households). The diagnostic tool used for this study was the Sleep-EVAL system, an expert system designed to conduct epidemiological studies in the general population. It is a level 2, non-monotonic system endowed with a causal reasoning able to provide sleep and mental disorders diagnoses according to the DSM IV classification for this study. Subsequent versions of Sleep-EVAL also included the International Classification of Sleep Disorders. System symbolic representation of the classifications was put in a compiled knowledge base. This knowledge base was read and interpreted by the inference engine at the beginning of the interview. During the interview, this interpretation changed as a function of the answers provided by the interviewee and by deductions made from the analysis of information the system already knew. All interviews began with a standard questionnaire about sociodemographic information and sleep habits. From these first answers the Sleep-EVAL system emitted a series of diagnostic hypotheses that were confirmed or rejected with supplementary questions. The interview ended once all diagnostic possibilities were exhausted. The validity of the Sleep-EVAL system was demonstrated in different studies performed in sleep disorders clinics. There were several advantages in using such a tool to conduct epidemiological surveys. No special skills from the interviewers nor specific knowledge of sleep and mental disorders were required. All the questions were chosen and formulated by the Sleep-EVAL system. The interviewer had simply to read the questions as they appeared on the monitor screen and enter the interviewee's responses by clicking the appropriate answer or typing it on the keyboard. Missing answers were non-existent because there was no possibility of skipping a question or entering inconsistent answers. It also ensured the uniformity of the interviews. Furthermore, it allowed the exploration of infrequent diagnoses. In summary, the methodology used for this study allowed for the investigation of the sleep pathology of the French population in a short period of time : only three months were necessary to complete the 5 622 interviews. The use of a computerized tool greatly facilitated the training of the interviewers and also their work. Furthermore, it ensured a standardized administration of the interviews and the exploration of a broad range of disorders that could hardly be realized with traditional paper-pencil questionnaires.</t>
  </si>
  <si>
    <t>Stanford Univ, Sch Med, Stanford Sleep Epidemiol Res Ctr, Stanford, CA 94305 USA</t>
  </si>
  <si>
    <t>Stanford Univ, Sch Med, Stanford Sleep Epidemiol Res Ctr, 401 Quarry Rd,Suite 3301, Stanford, CA 94305 USA.</t>
  </si>
  <si>
    <t>Ohayon, Maurice M/A-1338-2007</t>
  </si>
  <si>
    <t>Ohayon, Maurice/0000-0002-2757-5440</t>
  </si>
  <si>
    <t>MASSON EDITEUR</t>
  </si>
  <si>
    <t>MOULINEAUX CEDEX 9</t>
  </si>
  <si>
    <t>21 STREET CAMILLE DESMOULINS, ISSY, 92789 MOULINEAUX CEDEX 9, FRANCE</t>
  </si>
  <si>
    <t>0013-7006</t>
  </si>
  <si>
    <t>2589-4935</t>
  </si>
  <si>
    <t>ENCEPHALE</t>
  </si>
  <si>
    <t>Enceph.-Rev. Psychiatr. Clin. Biol. Ther.</t>
  </si>
  <si>
    <t>MAY-JUN</t>
  </si>
  <si>
    <t>Neurosciences; Psychiatry</t>
  </si>
  <si>
    <t>Neurosciences &amp; Neurology; Psychiatry</t>
  </si>
  <si>
    <t>588KB</t>
  </si>
  <si>
    <t>WOS:000177699700005</t>
  </si>
  <si>
    <t>Olazo, DB</t>
  </si>
  <si>
    <t>Olazo, Danzen Bondoc</t>
  </si>
  <si>
    <t>Marketing competency, marketing innovation and sustainable competitive advantage of small and medium enterprises (SMEs): a mixed-method analysis</t>
  </si>
  <si>
    <t>ASIA PACIFIC JOURNAL OF MARKETING AND LOGISTICS</t>
  </si>
  <si>
    <t>Marketing competency; Marketing innovation; Sustainable competitive advantage; Small and medium enterprises; Mixed method</t>
  </si>
  <si>
    <t>RESOURCE-BASED VIEW; PRODUCT INNOVATION; MANAGEMENT; CAPABILITIES; PERFORMANCE</t>
  </si>
  <si>
    <t>Purpose The purpose of the current research is to investigate the relationship between marketing capabilities and marketing innovation toward the sustainable competitive advantage of small and medium enterprises in the Philippines. The research study aims to improve the prior conducted literature by concentrating on the precursors of innovation in marketing and its impact on building a sustainable competitive market. The paper intends to address this by examining the following variables using a mixed-method approach. Design/methodology/approach The researcher employed the mixed methods particularly the sequential explanatory design to explain and interpret the quantitative data collected from 89 business owners/managers using Jamovi Software while the qualitative data were collected through an in-depth interview conducted with 10 SME owner-managers of new and established businesses in Angeles City, Pampanga using Taxonomic Coding Scheme. The sequential explanatory design was used to explain and interpret quantitative results by collecting and analyzing follow-up qualitative data. Findings This study investigates the relationship between marketing capabilities and marketing innovation towards sustainable competitive advantage of micro-small and medium enterprises in the Philippines through mixed method approach. For quantitative result, the study found that marketing competency significantly influenced marketing innovation. The result shows that all SMEs have enough people in place who are capable of implementing marketing innovation activities and use new technology like the use of information technology. The paper also found that marketing innovation, significantly predicted sustainable competitive advantage. MSMEs exhibit this innovation such as product, price, place, and promotion can create a distinctive position in the market towards sustainable competitive advantage. The paper also tested the mediation effect of marketing innovation that influences the relationship between marketing competence and sustainable competitive advantage. Most of the hypotheses posited were supported. For qualitative data, it was revealed that these SMEs through their key informants and key leaders are open to innovations thus, willing to learn by establishing networks with customers and other managers/business owners to expand and improve their business. The food business in Pampanga is highly competitive, and most of the SMEs are engaged with it. In order to survive the saturated market, continuous improvement is important in the identified areas for growth and innovation. Mixed method analysis supported quantitative and qualitative findings. Hence, it indicated that marketing competency significantly influences sustainable competitive advantage, which can be achieved through marketing innovation. In this study, the researcher analyzed the influence between marketing competence and marketing innovation to achieve a sustainable and competitive market. Research limitations/implications There were certain limitations of this research study. First, the lack of panel data limits the investigation of causality that is instrumental in substantiating the findings. Second, the proposed conceptual framework offers a deeper understanding of innovation performance, examining how integrating activities of the R&amp;D department, human resource department, and marketing department affect innovation commercialization will likely provide more meaningful insights. Moreover, finally, future studies may go beyond the scope of our study to examine (1) food and meat processing, (2) agriculture, hunting, and forestry, (3) hotels and restaurants, (4) mining and quarrying, (5) wholesale and retail trade, (6) transport, storage communication. Practical implications To remain relevant in this extraordinary time, this paper suggests a support instrument to offer vital data on different categories of innovation to the foodservice sector SMEs in Angeles City to embrace and implement new innovative methods in their practices. The key practical implication of this research, therefore, is the requirement for small and medium business owner-managers to improve their technical capability to realize the full benefits, particularly in terms of more responsive and user-centered, data-driven marketing personnel. Social implications These findings may influence positive social change by contributing to more effective and efficient marketing practices in small and medium firms that can lead to better financial performance, higher survival rates, and a healthier economic system. This study demonstrates that SME owner-managers require new skillsets to overcome the barriers to adopting technology for marketing. This primary capability is a prerequisite to the competitive advantage of the business, yielding to brand equity, business growth, and marketing dominance. Originality/value This study used a sequential explanatory mixed-methods strategy to determine the significant variables. This paper addresses an interesting and practical issue related to the impact of marketing capabilities and marketing innovation towards sustainable competitive advantage of micro-small and medium enterprises in the Philippines using mixed method approach.</t>
  </si>
  <si>
    <t>[Olazo, Danzen Bondoc] Holy Angel Univ, Sch Business &amp; Accountancy, Management Dept, Angeles City, Philippines; [Olazo, Danzen Bondoc] De La Salle Univ, Manila, Philippines</t>
  </si>
  <si>
    <t>Holy Angel University; De La Salle University</t>
  </si>
  <si>
    <t>Olazo, DB (corresponding author), Holy Angel Univ, Sch Business &amp; Accountancy, Management Dept, Angeles City, Philippines.;Olazo, DB (corresponding author), De La Salle Univ, Manila, Philippines.</t>
  </si>
  <si>
    <t>dolazo@hau.edu.ph</t>
  </si>
  <si>
    <t>Olazo, Danzen Bondoc/CAH-1906-2022</t>
  </si>
  <si>
    <t>Olazo, Danzen/0000-0002-1213-3631</t>
  </si>
  <si>
    <t>School of Business and Accountancy, Holy Angel University</t>
  </si>
  <si>
    <t>The author is very grateful to Dr. Emilina R. Sarreal for guiding this research study. Also, the author would like to thank Mr. Nelson Guillen for helping in this research undertaking. Lastly, the author thanks the School of Business and Accountancy, Holy Angel University for supporting the author's Ph.D. Journey.</t>
  </si>
  <si>
    <t>1355-5855</t>
  </si>
  <si>
    <t>1758-4248</t>
  </si>
  <si>
    <t>ASIA PAC J MARKET LO</t>
  </si>
  <si>
    <t>Asia Pac. J. Market. Logist.</t>
  </si>
  <si>
    <t>APR 4</t>
  </si>
  <si>
    <t>10.1108/APJML-01-2022-0050</t>
  </si>
  <si>
    <t>JUN 2022</t>
  </si>
  <si>
    <t>C4RW0</t>
  </si>
  <si>
    <t>WOS:000805819600001</t>
  </si>
  <si>
    <t>AbdelMaksoud, KM; Hathout, HMR; Albagoury, SH</t>
  </si>
  <si>
    <t>AbdelMaksoud, Kholoud M.; Hathout, Heba M. R.; Albagoury, Samar H.</t>
  </si>
  <si>
    <t>The socio-economic impact of COVID-19 on the petroleum sector in Egypt: a descriptive analysis</t>
  </si>
  <si>
    <t>INTERNATIONAL JOURNAL OF SOCIAL ECONOMICS</t>
  </si>
  <si>
    <t>COVID-19; Petroleum sector; Egypt; Socioeconomic</t>
  </si>
  <si>
    <t>ECONOMIC-IMPACT; AIDS; INFLUENZA</t>
  </si>
  <si>
    <t>Purpose This study explored the impact of COVID-19 on the petroleum sector in Egypt, both economically and socially. Of all sectors of the economy, the oil industry has been one of the most negatively impacted by the pandemic, with oil prices plummeting at the start of the pandemic. Use to decrease demand. This paper aimed to analyse the main economic and social effects of the pandemic on the Egypt oil industry through an examination of the macroeconomic data reflected in the Egyptian balance of payments, the country's general budget and the oil industry's performance data. The study also conducted a survey of a set of workers from the Egyptian petroleum sector. The study thus concluded two levels of analysis; a macrolevel and a micro level analysis of the effect of COVID-19 on the Egyptian oil industry. Design/methodology/approach The paper builds upon the experience gained from evaluating market change caused by COVID-19 (Agosta et al., 2020), to analyse the socioeconomic implications of COVID-19 on the Egyptian oil industry. This study employed a survey analysis of questionnaires filled by on a sample of workers in the petroleum sector in Egypt. Data were analysed using the SPSS software, version 18.0. Descriptive analysis was reported as frequencies and percentages. The macroeconomic impact analysis was done by analysing macro-economic data pertaining the oil industry's levels of production as well as the data pertaining to Egypt's external balance of payment and public finance. Findings The paper concludes that although the COVID-19 pandemic had negatively impacted the socioeconomics of oil sector workers, reducing their incomes and costing them jobs, these effects appeared to be short term effects that could be minimised with the end of the pandemic and be mitigated through the adequate social and economic policies. No permanent socioeconomic losses were thus deemed to be a serious concern with respect to these workers. The study also concluded that, macroeconomically, lower global oil prices has had a net positive effect on the Egyptian economy as the causing an expected shrinkage of the overall trade deficit. It also has reduced the national budget deficit and has helped mobilise money into the economy, financing both investments and social expenses. Research limitations/implications The survey was very hard to reach, where lot of workers in the petroleum sector (governmental) refused to answer the questions. Practical implications Some African countries may not have all the necessary most recent data of economic indicators needed to ascertain with certainty the economic impact of the COVID-19 pandemic. And, at the event that data are completely available, analysts must consider that any worsening of the economy may not stem directly from the pandemic itself. Causality has to be clearly established. The survey therefore focused on the attitudes and perceptions of oil sector workers, irrespective of whether a given indicator had been affected by the pandemic or is seen likely to be affected by it in the future. All those responding have reported the belief that economic indicators, such as GDP growth, inflation and trade had been impacted negatively by the spread of COVID-19. They also believed the effects of the pandemic on transport to have had direct effects on the oil industry. Social implications The social impact of the pandemic was less apparent, particularly among governmental sector workers compared with those in the private sector. However, freelancers have reported some issues that may be become more apparent through aggregated data. Originality/value This study has presented some preliminary estimates of the impact of the COVID-19 outbreak on petroleum sector in Egypt. The goal was not to be definitive about the virus outbreak, but rather to provide information about a range of possible economic costs of the disease. While, a detailed quantification of the socioeconomic impact of the coronavirus pandemic may not be feasible, it is still useful to identify possible transmission channels through which the pandemic may affect the Egypt economy and society. It is also useful to identify key issues that are likely shape short- and medium-term socioeconomic prospects in Egypt as a result of the COVID-19 pandemic outbreak in Egypt.</t>
  </si>
  <si>
    <t>[AbdelMaksoud, Kholoud M.; Hathout, Heba M. R.] Cairo Univ, Nat Resources, Cairo, Egypt; [Albagoury, Samar H.] Cairo Univ, Econ, Cairo, Egypt</t>
  </si>
  <si>
    <t>Egyptian Knowledge Bank (EKB); Cairo University; Egyptian Knowledge Bank (EKB); Cairo University</t>
  </si>
  <si>
    <t>AbdelMaksoud, KM (corresponding author), Cairo Univ, Nat Resources, Cairo, Egypt.</t>
  </si>
  <si>
    <t>kholoud.mohamedali@gmail.com</t>
  </si>
  <si>
    <t>albagoury, samar/HZK-5839-2023</t>
  </si>
  <si>
    <t>AbdelMaksoud, Kholoud/0000-0003-1692-2870</t>
  </si>
  <si>
    <t>0306-8293</t>
  </si>
  <si>
    <t>1758-6712</t>
  </si>
  <si>
    <t>INT J SOC ECON</t>
  </si>
  <si>
    <t>Int. J. Soc. Econ.</t>
  </si>
  <si>
    <t>JAN 3</t>
  </si>
  <si>
    <t>10.1108/IJSE-10-2020-0688</t>
  </si>
  <si>
    <t>XW6GH</t>
  </si>
  <si>
    <t>WOS:000695503000001</t>
  </si>
  <si>
    <t>Nath, A; Rai, S; Bhatnagar, J; Cooper, CL</t>
  </si>
  <si>
    <t>Nath, Anjana; Rai, Sumita; Bhatnagar, Jyotsna; Cooper, Cary. L. L.</t>
  </si>
  <si>
    <t>Coping strategies mediating the effects of job insecurity on subjective well-being, leading to presenteeism: an empirical study</t>
  </si>
  <si>
    <t>INTERNATIONAL JOURNAL OF ORGANIZATIONAL ANALYSIS</t>
  </si>
  <si>
    <t>Job insecurity; Well-being; Positive affect; Negative affect; Coping; Coping strategies; Presenteeism; Subjective well-being; Negative affect of well-being; Positive affect of well-being</t>
  </si>
  <si>
    <t>HEALTH; STRESS; WORK; PERSONALITY; ASSOCIATION; UNCERTAINTY; PERSPECTIVE; PERFORMANCE; OUTCOMES; SYSTEMS</t>
  </si>
  <si>
    <t>Purpose - This study aims to explore how coping strategies (CS) mediate the relationship between job insecurity (JI) and subjective well-being (SWB) leading to presenteeism among millennials. This study has been tested based on the conservation of resources theory (Hobfoll, 2001) and the transactional theory of stress and coping (Lazarus and Folkman, 1984). In India, employees in the information technology (IT) and business process management sectors have been facing increased job insecurity over the last couple of years. The advent of technology has increased job insecurity among millennials, specifically in the IT sector. The Indian IT and information technology-enabled service (ITES) sector witnessed mass retrenchments by companies in 2016-2017. Instead of reskilling, the companies decided to lay off their employees. During the pandemic, the IT and ITES industries witnessed a massive culture shift in terms of technology and work engagement. Postpandemic, the recession is looming large on these industries. In 2022, tech layoffs have witnessed 135,000 employees impacted globally and many may lose their job in the coming year. This study chose Indian millennials because they form a large part of the Indian workforce, especially in the IT and ITES sector.Design/methodology/approach - In this study, cross-sectional design is used where different individuals are part of the study at the same point in time. A sequential mixed method of research is adopted for this study, owing to the kind of research questions and the requirement to include critical realism. A qualitative study was carried out post the quantitative study, to corroborate the results from the quantitative study. Quantitative methodologies address questions about causality, generalizability or magnitude of outcome, whereas qualitative research methodologies explore why or how a phenomenon occurs, describe the nature of an individual's experience during the study relevant to the context and/or develop a theory (Fetters et al., 2013). Because the study is about the millennial workforce in IT and the ITES sectors, the sample population comprised employees in Delhi and the national capital region (NCR) of Delhi in northern India. Out of a total of 374 ITES companies listed in the national association of software and service companies (2018), 103 are based out of Delhi/NCR; hence, companies from Delhi/NCR were chosen for the study. The other reason for opting for companies based in Delhi/NCR was that many millennials from second- and third-tier cities also are employed in these companies bringing in varied cultural perspectives. This study included 588 employees working in ITES organizations based in the National Capital Region of India. Mediation analysis for statistical verification was carried out with regression-based analysis in SPSS macro process (version 4).Findings - The impact of job insecurity on the positive and negative affects of the subjective well-being of millennials was found to be substantial. Coping strategies moderated the relationship and it was seen that both engaged and disengaged strategies of coping had an impact on the positive affect of subjective well-being but did not have any impact on the negative affect of subjective well-being. The positive affect of subjective well-being was negatively related to presenteeism, and the negative affect of subjective well-being was positively related to presenteeism.Research limitations/implications - This study is carried out only in the ITES industry and on millennials. With the advent of technology, other industries are going through challenges concerning layoffs even though the severity of the same might be less. In times to come, for strategizing employee engagement, it is necessary to understand how the workforce copes with various work-related stress factors. The positive affects and negative affects of well-being and responses have been studied from an employee perspective only. Further research should be conducted to explore responses from both employers and employees to establish presenteeism and the antecedents of presenteeism in conjunction with positive and negative affects of well-being. There is further scope to study the impact of job insecurity on adaptive presenteeism in older generations and various industries given the current job scenario and talent-reskilling issues. Practical implications - This study brings forth original insights into the impact of constant job threats on millennials employed in the IT and/or IT service sectors. The key findings contribute to literature knowledge and help managers recognize the unfavorable consequences of continuous job threats on the wellbeing of employees. There is an immediate need for managers to recognize the problem and devise various policies and communication strategies to enable millennial employees to cope with the constant changes in the organization, owing to various technological, political and environmental factors. Organizations should be mindful of this impact, which can subsequently have serious consequences on the productivity of the employees, resulting in decreased overall performance and health of the organization. Originality/value - This study of job insecurity as a job stressor, triggering coping strategies in Indian millennials working in the ITES and IT industry, presents original insights. This study explores and presents how the impact of job insecurity may increase presenteeism as a result of coping. This study brings value to practitioners and this study may help organizations improve the overall well-being of their employees, thus improving productivity. On the contrary, it also opens opportunities for exploring the impact of job insecurity as a challenge stressor.</t>
  </si>
  <si>
    <t>[Nath, Anjana] Management Dev Inst Gurgaon, Dept Human Resources &amp; Org Behav, Gurgaon, India; [Rai, Sumita] Management Dev Inst, Dept Org Behav &amp; Human Resources, Gurgaon, India; [Bhatnagar, Jyotsna] Management Dev Inst Gurgaon, Dept Org Behav &amp; Human Resources, Gurgaon, India; [Cooper, Cary. L. L.] Univ Manchester, Dept Org Psychol, Manchester, Lancashire, England</t>
  </si>
  <si>
    <t>Management Development Institute (MDI); Management Development Institute (MDI); Management Development Institute (MDI); University of Manchester</t>
  </si>
  <si>
    <t>Nath, A (corresponding author), Management Dev Inst Gurgaon, Dept Human Resources &amp; Org Behav, Gurgaon, India.</t>
  </si>
  <si>
    <t>efpm13anjana_n@mdi.ac.in; sumitar@mdi.ac.in; jyotsnab@mdi.ac.in; cary.cooper@manchester.ac.uk</t>
  </si>
  <si>
    <t>JEGANATHAN, VIJAYALAKSHMI/GQY-6034-2022; Bhatnagar, Jyotsna/ABI-3283-2020</t>
  </si>
  <si>
    <t>Bhatnagar, Jyotsna/0000-0002-7910-1415; Cooper, Cary/0000-0002-0360-8498</t>
  </si>
  <si>
    <t>Leeds</t>
  </si>
  <si>
    <t>Floor 5, Northspring 21-23 Wellington Street, Leeds, W YORKSHIRE, ENGLAND</t>
  </si>
  <si>
    <t>1934-8835</t>
  </si>
  <si>
    <t>1758-8561</t>
  </si>
  <si>
    <t>INT J ORGAN ANAL</t>
  </si>
  <si>
    <t>Int. J. Organ. Anal.</t>
  </si>
  <si>
    <t>JAN 18</t>
  </si>
  <si>
    <t>10.1108/IJOA-10-2022-3476</t>
  </si>
  <si>
    <t>FC5H3</t>
  </si>
  <si>
    <t>WOS:000957808500001</t>
  </si>
  <si>
    <t>[Anonymous]</t>
  </si>
  <si>
    <t>Research on multimorbidity in primary care. Selected abstracts from the EGPRN meeting in Tampere, Finland, 9-12 May 2019 All abstracts of the conference can be found at the EGPRN website: www.egprn.org/page/conference-abstracts</t>
  </si>
  <si>
    <t>EUROPEAN JOURNAL OF GENERAL PRACTICE</t>
  </si>
  <si>
    <t>Meeting</t>
  </si>
  <si>
    <t xml:space="preserve">Current primary care in Finland is based on the Primary Health Care Act (1972), which addressed numerous new tasks to all municipalities. All of them had to find a new health centre organization, which provides a wide range of health services, including prevention and public health promotion. Multiple tasks require multiprofessional staff, and thus, the Finnish health centre personnel consisted not only of GPs but of public health nurses, midwives, physiotherapists, psychologists, social workers, dentists, etc. During the next decade, there have been some changes but the idea of multiprofessional structure has remained. According to the QUALICOPC study (2012) Finnish GPs are still co-located with several other healthcare professionals compared to most of the European countries; even compared to other Nordic countries which otherwise have many similarities in their primary healthcare. During the last 10 or 15 years, healthcare providers and researchers have recognized a new challenge: our current systems do not meet the needs of patients with multiple health and social problems-and the proportion of these patients is increasing all the time as the population is getting older. One could suppose that preconditions of handling multimorbidity would be excellent in multiprofessional surroundings like ours, but actually, a person with multiple problems is a challenge there, too. Multiprofessional organization in primary care does not guarantee proper care of patients with multiple diseases, if we do not acknowledge the challenge and revise our systems. We have to develop new ways of collaboration and new models of integrated care. The problematic part is secondary care, which is organized with logic of one medical speciality per visit. In Tampere University Hospital district, we have created a care pathway model, which defines the roles of primary healthcare and secondary care. Nationwide, we have recently started to prepare national guidelines for the care of patients with multimorbidity. What we need more in the future is more research on new practices and models. Background: Most patients with antihypertensive medication do not achieve their blood pressure (BP) target. Several barriers to successful hypertension treatment are well identified but we need novel ways of addressing them. Research question: Can using a checklist improve the quality of care in the initiation of new antihypertensive medication? Methods: This non-blinded, cluster-randomized, controlled study was conducted in eight primary care study centres in central Finland, randomized to function as either intervention (n = 4) or control sites (n = 4). We included patients aged 30-75 years who were prescribed antihypertensive medication for the first time. Initiation of medication in the intervention group was carried out with a nine-item checklist, filled in together by the treating physician and the patient. The treating physician managed hypertension treatment in the control group without a study-specific protocol. Results: In total, 119 patients were included in the study, of which 118 were included in the analysis (n = 59 in the control group, n = 59 in the intervention group). When initiating medication, an adequate BP target was set for 19% of the patients in the control group and for 68% in the intervention group. Shortly after the appointment, only 14% of the patients in the control group were able to remember the adequate BP target, compared with 32% in the intervention group. The use of the checklist was also related to more regular agreement on the next follow-up appointment (64% in the control group vs 95% in the intervention group). Conclusion: Even highly motivated new hypertensive patients in Finnish primary care have significant gaps in their treatment-related skills. The use of a checklist for initiation of antihypertensive medication was related to substantial improvement in these skills. Based on our findings, the use of a checklist might be a practical tool for clinicians initiating new antihypertensive medications. Background: Immediate feedback is underused in the French medical education curriculum, specifically with video-recorded consultation. Research question: The objective of this study was to evaluate the feasibility and the interest in this teaching method as a training and assessment tool in the learning process of general practitioner (GP) trainees. Methods: During the period November 2017 to October 2018, trainees in ambulatory training courses collected quantitative data about recording consultations with a video camera: numbers of recordings, feedback, patients' participation refusals, and information about the learning process and competencies. The trainees' level of satisfaction was measured by means of a questionnaire at the end of their traineeship. Results: Sixty-seven trainees were recruited and 44 of them 65.7% actively participated in the study; 607 video recordings and 243 feedback with trainers were performed. Few patients (18.5%) refused the video-recording. Most trainees considered video recording with immediate feedback to be a relevant learning tool. It made it possible for the participants to observe their difficulties and their achievements. 'Relation, communication, patient-centred care' was the most built competency, non-verbal communication, in particular. Time was the main limiting factor of this teaching method. Most trainees were in favour of its generalization in their university course. Conclusion: Video recording with immediate feedback in real-time consultation needs to be adapted to training areas and depends on time and logistics. This teaching method seems to be useful in the development of communication skills. It could lift the barriers of the trainer's physical presence near GP trainees during immediate feedback in real-time consultation. It could help trainees to build their competencies while enhancing the place of immediate feedback in the general practice curriculum. It could also constitute an additional tool for the certification of GP trainees. Background: Perinatal depression has been associated with psychiatric morbidity in mothers and their offspring. This study assessed the prevalence of perinatal depressive symptoms in a large population of women and investigated associations of these symptoms with demographic and clinical factors. Research question: Which factors (including sociodemographic, medical, lifestyle, and laboratory test) are associated with perinatal depression? Methods: All members of Maccabi Health Services who completed the Edinburgh Postnatal Depression Scale (EPDS) during 2015-2016 were included in the study. Odds ratios (ORs) were calculated for associations of sociodemographic, medical, lifestyle, and laboratory test factors with perinatal depressive symptoms, according to a score &gt;10 on the EPDS. Results: Of 27 912 women who filled the EPDS, 2029 (7.3%) were classified as having peripartum depression. In a logistic regression analysis, the use of antidepressant medications, particularly for a period greater than three months, Arab background, current or past smoking, a diagnosis of chronic diabetes and age under 25 years were all associated with increased ORs for perinatal depression; while Orthodox Jewish affiliation, residence in the periphery and higher haemoglobin level were associated with lower ORs. Incidences of depression were 17.4% in women with a history of antidepressant medication, 16% among women with diabetes, and 11.8% among current smokers. Conclusion: Several demographic, medical, and lifetime factors were found to be substantially more prevalent among women with symptoms of perinatal depression than those without. Encouraging women to complete the EPDS during and following pregnancy may help identify women in need of support. Background: Regulating the quality and effectiveness of the work of general practitioners is essential for a sound healthcare system. In the Republic of Macedonia this is regulated by the Health Insurance Fund through a system of penalties/sanctions. Research question: The goal of this study is to evaluate the types and effectiveness of the sanctions used on primary care practitioners. Methods: This is a quantitative research study for which we used an anonymous survey with 18 questions. This survey was distributed to 443 randomly selected general practitioners from different parts of Macedonia and 438 of them responded. For the quantitative data, we used the Pearson's chi-squared test, correlation and descriptive statistics. Part of the survey is qualitative, consisting of comments and opinions of the general practitioners. Results: From the participants, 336 were female and 102 were male. The doctors' gender was not associated with sanctioning. Most general practitioners were in the age categories of 30-39 and 40-49 years. The participants' age had a significant influence on sanctioning-older doctors were sanctioned more frequently. Out of 438 participants, 33.3% were specialists in family medicine and 66.7% general practitioners. Specialists in family medicine were sanctioned significantly more frequently than general practitioners. Doctors that worked in the hospital or 19 km from the nearest hospital were significantly more frequently sanctioned. The three most common reasons for sanctions were financial consumption of prescriptions and referrals above the agreed amount, higher rate of sick leaves and/or justification of sick leaves and unrealized preventative goals or education. 'Financial sanction by scale' was the most common type of sanction: 49.8% of participants. Doctors who followed the guidelines, but who were exposed to violence were sanctioned significantly more frequently. Conclusion: We can observe that age, speciality, the distance of the workplace from the nearest hospital and violence influence sanctioning. Background: Biases are major barriers to external validity of studies, reducing evidence. Among these biases, the definition and the reality of the Hawthorne effect (HE) (or observation bias) remains controversial. According to McCambridge in a review from 2013, the Hawthorne effect is a behaviour change occurring when the subject is being observed during a scientific study. This effect would be multifactorial, and he suggests the term 'effects of research participation.' However, the reviewed studies were conflicting and evidence is sparse. Research question: We updated McCambridge's review to actualize the definition of the HE. Methods: McCambridge's most recent article dated back to January 3, 2012. We focused on the articles published between January 1, 2012 and August 10, 2018 searching Medline. We used the sole keyword 'Hawthorne Effect.' The search was filtered based on the dates, the availability of an abstract and the languages English and French. We included articles defining or evaluating the HE. Articles citing the effect without defining it or irrelevant to the topic were excluded. Two independent readers searched and analysed the articles. Discrepancies were solved by consensus. Results: Out of 106 articles, 42 articles were included. All the articles acknowledged an observation bias, considered as significant or not, depending on the population (education, literacy), the methods and the variable of interest. It was a psychological change, limited in time. The HE was defined as a change of behaviour related to direct or indirect observation of the subjects or the investigators, to their previous selection and commitment in the study (written agreement) and to social desirability. Despite observations, articles were conflicting. Some do confirm the existence of the HE, others deny it. Meta-analysis is ongoing. Conclusion: No formal consensus regarding the definition of the effect has been reached so far. However, the authors agree on its implication as an experimental artefact. Background: Polypharmacy and multimorbidity are on the rise. Consequently, general practitioners (GPs) treat an increasing number of multimorbid patients with polypharmacy. To limit negative health outcomes, GPs should search for inappropriate medication intake in such patients. However, systematic medication reviews are time-consuming. Recent eHealth tools, such as the 'systematic tool to reduce inappropriate prescribing' (STRIP) assistant, provide an opportunity for GPs to get support when conducting such medication reviews. Research question: Can the STRIP assistant as electronic decision support help GPs to optimize medication appropriateness in older, multimorbid patients with polypharmacy? Methods: This cluster randomized controlled trial is conducted in 40 Swiss GP practices, each recruiting 8-10 patients aged &gt;= 65 years, with &gt;= 3 chronic conditions and &gt;= 5 chronic medications (320 patients in total). We compare the effectiveness of using the STRIP assistant for optimizing medication appropriateness to usual care. The STRIP assistant is based on the STOPP/START criteria (version 2) and, for this trial, it is implemented in the Swiss eHealth setting where some GPs already share routine medical data from their electronic medical records in a research database (FIRE). Patients are followed-up for 12 months and the change in medication appropriateness is the primary outcome. Secondary outcomes are the numbers of falls and fractures, quality of life, health economic parameters, patients' willingness to deprescribe as well as implementation barriers and enablers for GPs when using the STRIP assistant. Results: Patient recruitment started in December 2018. This presentation focuses on the study protocol and the challenges faced when testing this new software in Swiss primary care. Conclusion: Finding out whether the STRIP assistant is an effective tool and beneficial for older and multimorbid patients, who are usually excluded from trials, will have an impact on the coordination of chronic care for multimorbid patients in Swiss primary care in this new eHealth environment. Background: Workplace violence (WPV) towards healthcare staff is becoming a common problem in different healthcare settings worldwide. Moreover, the prevalence is 16 times higher than in other professions. How often it happened towards young doctors working as general practitioners (GPs) at the beginning of their careers has been rarely studied. Research question: To investigate the frequency and forms of WPV, experienced by the young Croatian GPs from their patients, and violence reporting pattern to the competent institutions. Methods: The cross-sectional study was carried out on 74 GP residents, during their postgraduate study in family medicine in May 2018. A specially designed anonymous questionnaire, developed by Association of Family Physicians of South Eastern Europe, was used to investigate the prevalence and forms of WPV, the narrative description of the traumatic event itself and the process of reporting it. Results: The response rate was 91.9%, female 87%, the median of years working as a GP was 3.5 years. Most of the residents were working in an urban practice (63%), others in the rural and the suburban once (27%, 10%). All GP residents experienced patients' and caregivers' violent behaviour directed towards them. High-intensity violence (e.g. physical violence, sexual harassment) was experienced by 44%, middle intensity (e.g. intimidation, visual sexual harassment) by 84% while all residents experienced verbal violence. Only 13.2% residents reported WPV to the competent institutions. Most of GP residents reported the appearance of the new form of violence: the one over the internet. Conclusion: The high prevalence of all types of violence towards young Croatian doctors is worrisome, as is the fact that violent acts are seldom reported to the competent institutions. Those alarming facts could become a threat to GPs career choosing. Background: About 50% of patients adhere to chronic therapy in France. Improving adherence should improve their care. Identifying the patient's difficulties in taking medication is complex for the physician, because there is no gold standard for measuring adherence to medications. How can the general practitioner in his/her practice identify patient compliance? Research question: Analyse studies that develop or validate scales used to estimate adherence in primary care. Methods: A systematic review of the literature from PubMed, the Cochrane Library and PsycINFO databases. The search terms used were the MeSH terms (or adapted to the database's vocabulary): questionnaire, compliance and primary care. All articles were retained whatever the language of writing. Selection criteria were: assessment of the development, validation or reliability of one or more compliance scales; taking place in primary care. One reviewer screened titles, which included the term adherence then abstracts and full text. Only articles evaluating the development, validity or reliability of a primary care adherence rating scale were included in analysis. Results: In total 1022 articles were selected and 18 articles were included. Seventeen adherence scales were identified in primary care, most of which targeted a single pathology, especially hypertension. The most cited scale is the MMAS Morisky medication adherence scale. Three scales were developed for patients with multiple chronic diseases. One scale was developed for patients older than 65 years-the Strathclyde compliance risk assessment tool (SCRAT)-and two scales were developed for adult patients whatever their age-the instrument developed by Sidorkiewicz et al., and the DAMS, diagnostic adherence to medication scale. Conclusion: Two scales have been developed and validated in primary care to assess patient adherence with multiple chronic diseases: the DAMS and the instrument developed by Sidorkiewicz et al. A simple, reliable, reproducible primary care scale would assess the impact of actions developed to improve adherence: motivational interviewing, patient therapeutic education, and the ASALeE protocol. Background: Multimorbidity prevalence increases with age while declining quality of life (QoL) is one of its major consequences. Research question: The study aims to: (1) Assess the relationship between increasing number of diseases and QoL. (2) Identify the most frequently occurring patterns of diseases and how they relate to QoL. (3) Observe how these associations differ across different European countries and regions. Methods: Cross-sectional data analysis performed on wave six of the population-based survey of health, ageing and retirement in Europe (SHARE) (n = 68 231). Data were collected in 2015 among population 50+ years old in 17 European countries and Israel. Multimorbidity is defined as the co-occurrence of two or more chronic conditions. Conditions were self-declared and identified through an open-end questionnaire containing 17 prelisted conditions plus conditions added by participants. Control, autonomy, self-realization and pleasure questionnaire (CASP-12v) was used to evaluate QoL. Association between increasing number of diseases and QoL was assessed with linear regression. Factor analysis is being conducted to identify patterns of diseases to evaluate their impact on QoL further. Multilevel analysis will take into account differences between countries and regions. Confounding was searched with directed acyclic graph (DAG) method and included age, sex, education, socio-economic status, behavioural habits, social support and healthcare parameters. Results: Participants (49.09%) had two or more diseases. Maximum number of diseases per person was 13, mean number was 1.9. Unadjusted preliminary analysis showed that on average QoL decreases by -1.27 (95%CI: -1.29, -1.24) with each added new condition across Europe. The decline appears to be the steepest in Spain, -1.61 (95%CI: -1.71, -1.51), and the least so in Israel, -0.67 (95%CI: -0.82, -0.52). Conclusion: Ongoing analysis will identify disease patterns, which may have the highest impact on QoL, as well as to elucidate the role of confounders in the relationship between increasing number of diseases and disease patterns with QoL. Background: The burden and preventive potential of disease is typically estimated for each non-communicable disease (NCD) separately but NCDs often co-occur, which hampers reliable quantification of their overall burden and joint preventive potential in the population. Research questions: What is the lifetime risk of developing any NCD? Which multimorbidity clusters of NCDs cause the greatest burden? To what extent do three key shared risk factors, namely smoking, hypertension and being overweight, influence this risk, life-expectancy and NCD-multimorbidity? Methods: Between 1990 and 2012 we followed NCD-free participants aged &gt;= 45 years at baseline from the Dutch prospective Rotterdam study for incidents of stroke, heart disease, diabetes, chronic respiratory disease, cancer, and neurodegenerative disease. We quantified (co-)occurrence and remaining lifetime risk of NCDs in a competing risk framework, and studied the effects of smoking, hypertension, and being overweight on lifetime risk and life expectancy. Results: During follow-up of 9061 participants, 814 participants were diagnosed with stroke, 1571 with heart disease, 625 with diabetes, 1004 with chronic respiratory disease, 1538 with cancer, and 1065 with neurodegenerative disease. Among those, 1563 participants (33.7%) were diagnosed with multiple diseases. The lifetime risk of any NCD from the age of 45 onwards was 94.0% (95%CI: 92.9-95.1) for men and 92.8% (95%CI: 91.8-93.8) for women. Absence of shared risk factors was associated with a 9.0-year delay (95%CI: 6.3-11.6) in the age at onset of any NCD. Furthermore, overall life expectancy for participants without risk factors was 6.0 years (95%CI: 5.7-7.9) longer than those with these risk factors. Participants without these risk factors spent 21.6% of their remaining lifetime with NCDs, compared to 31.8% for those with risk factors. Conclusion: Nine out of 10 individuals aged 45 years and older will develop at least one NCD during their remaining lifetime. A third was diagnosed with multiple NCDs during follow-up. Absence of three common shared risk factors related to compression of morbidity of NCDs. Background: This study examined if using electronic reminders increases the rate of diagnosis recordings in the patient chart system following visits to a general practitioner (GP). The impact of electronic reminders was studied in the primary care of a Finnish city. Research question: How effective is the reminder of the information system in improving the diagnostic level of primary care? Which is better and how: financial incentives or reminders? Methods: This was an observational retrospective study based on a before-and-after design and was carried out by installing an electronic reminder in the computerized patient chart system to improve the recording of diagnoses during GP visits. The quality of the recorded diagnoses was observed before and after the intervention. The effect of this intervention on the recording of diagnoses was also studied. Results: Before intervention, the level of recording diagnoses was about 40% in the primary care units. After four years, the recording rate had risen to 90% (p &lt; 0.001). The rate of change in the recording of diagnoses was highest during the first year of intervention. In the present study, most of the visits concerned mild respiratory infections, elevated blood pressure, low back pain and type II diabetes. Conclusion: An electronic reminder improved the recording of diagnoses during the visits to GPs. The present intervention produced data, which reflects the distribution of diagnoses in real clinical life in primary care and thus provides valid data about the public. Background: Child abuse is widespread, occurs in all cultures and communities and remains undiscovered in 90% of the cases. In total, 80% of reported child abuse concerns emotional ill-treatment. In the Netherlands, at least 3% (118 000) of children are victims of child abuse resulting in 50 deaths each year. Only 1-3% of abuse cases are reported by general practitioners (GPs) to the Child Protective Services agency (CPS). To explain this low reporting rate, we examined GPs' experiences with child abuse. Research question: How does the suspicion of child abuse arise in GPs' diagnostic reasoning? How do they act upon their suspicion and what kind of barriers do they experience in their management? Methods: In total 26 GPs (16 female) participated in four focus groups. We used purposive sampling to include GPs with different levels of experience in rural and urban areas spread over the Netherlands. We used NVivo for thematic content analysis. Results: Suspected child abuse arose based on common triggers and a gut feeling that 'something is wrong here'. GPs acted upon their suspicion by gathering more data by history taking and physical examination. They often found it challenging to decide whether a child was abused because parents, despite their good intentions, may lack parenting skills and differ in their norms and values. GPs reported clear signs of sexual abuse and physical violence to CPS. However, in less clear-cut cases they followed-up and built a supporting network around the family. Most GPs highly valued the patient-doctor relationship while recognizing the risk of pushing boundaries. Conclusion: A low child abuse reporting rate by GPs to CPS does not mean a low detection rate. GPs use patients' trust in their doctor to improve a child's situation by involving other professionals. Background: The number of people suffering from multiple chronic conditions, multimorbidity, is rising. For society, multimorbidity is known to increase healthcare expenses through more frequent contacts, especially with the primary sector. For the individual, an increasing number of medical conditions are associated with lower quality of life (QoL). However, there is no statistically validated condition-specific patient-reported outcome measure (PROM) for the assessment of QoL among patients with multimorbidity. A validated PROM is essential in order to measure effect in intervention studies for this patient group. Research question: (1) To identify items covering QoL among patients with multimorbidity in a Danish context. (2) To develop and validate a PROM for assessment of QoL among patients with multimorbidity. (3) To utilize the final PROM in a large group of patients with multimorbidity to measure their QoL when living with different combinations and severity of multimorbidity. Methods: Phase 1: qualitative individual and focus group interviews with patients with multimorbidity to identify relevant QoL items. Phase 2: validation of the items through a draft questionnaire sent by email to around 200-400 patients with multimorbidity. Phase 3: psychometric validation of the draft questionnaire securing items with the highest possible measurement quality. Phase 4: assessment of QoL among approximately 2000 patients with multimorbidity from the Danish Lolland-Falster study. Results: There are no results yet. Currently, the interview guide is under development. Conclusion: Despite the rising number of patients with multimorbidity and the known inverse relationship between a patient's number of medical conditions and their quality of life, there is no statistically validated condition-specific PROM for assessment of QoL among this group. Our aim is that this project's developed and validated PROM will be used in future intervention studies as a valid measure of QoL among patients with multimorbidity. Background: Through a systematic review of the literature and qualitative research across Europe, the European General Practitioners Research Network (EGPRN) has designed and validated a comprehensive definition of multimorbidity. It is a concept considering all the biopsychosocial conditions of a patient. This concept encompasses more than 50 variables and is consequently difficult to use in primary care. Consideration of adverse outcomes (such as death or acute hospitalization) could help to distinguish which variables could be risk factors of decompensation within the definition of multimorbidity. Research question: Which criteria in the EGPRN concept of multimorbidity could detect outpatients at risk of death or acute hospitalization (i.e. decompensation) in a primary care cohort at 24-months of follow-up? Methods: Primary care outpatients (131) answering to EGPRN's multimorbidity definition were included by GPs, during two periods of inclusion in 2014 and 2015. At 24 months follow-up, the status 'decompensation' or 'nothing to report' was collected. A logistic regression following a Cox model was performed to achieve the survival analysis and to identify potential risk factors. Results: At 24 months follow-up, 120 patients were analysed. Three different clusters were identified. Forty-four patients, representing 36.6% of the population, had either died or been hospitalized more than seven consecutive days. Two variables were significantly associated with decompensation: Number of GPs encounters per year (HR: 1.06; 95%CI: 1.03-1.10, p &lt;0.001), and total number of diseases (HR: 1.12; 95%CI: 1.03-1.33; P = 0.039). Conclusion: To prevent death or acute hospitalization in multimorbid outpatients, GPs may be alert to those with high rates of GP encounters or a high number of illnesses. These results are consistent with others in medical literature. Background: A study of casual versus causal comorbidity in family medicine in three practice populations from the Netherlands, Malta and Serbia. Research question: (1) What is the observed comorbidity of the 20 most common episodes of care in three countries? (2) How much of the observed comorbidity is likely to be casual versus causal? Methods: Participating family doctors (FDs) in the Netherlands, Malta and Serbia recorded details of all patient contacts in an episode of care structure using electronic medical records based on the International Classification of Primary Care, collecting data on all elements of the doctor-patient encounter, including the diagnostic labels (episode of care labels, EoCs). Comorbidity was measured using the odds ratio of both conditions being incident or rest-prevalent in the same patient in one-year data frames, as against not. Results: Comorbidity in family practice expressed as odds ratios between the 41 most prevalent (joint top 20) episode titles in the three populations. Specific associations were explored in different age groups to observe the changes in odds ratios with increasing age as a surrogate for a temporal or biological gradient. Conclusion: After applying accepted criteria for testing the causality of associations, it is reasonable to conclude that most of the observed primary care comorbidity is casual. It would be incorrect to assume causal relationships between co-occurring diseases in family medicine, even if such a relationship might be plausible or consistent with current conceptualizations of the causation of disease. Most observed comorbidity in primary care is the result of increasing illness diversity. Background: The concept of therapeutic alliance emerged in the beginning of the twentieth century and came from psychoanalysis. This notion was then extended to the somatic field and aims to replace the paternalistic model in the doctor-patient relationship. The EGPRN TATA group selected the WAI SR as the most reliable and reproducible scale to assess therapeutic alliance. To use it within Europe, it was necessary to translate it into most European languages. The following study aimed to assess the linguistic homogeneity of five of these translations. Research question: Are the translations of the WAI SR homogeneous between Spain, Poland, Slovenia, France and Italy? Methods: Forward-backward translations were achieved in five participating countries (Spain, Poland, France, Slovenia and Italy). Using a Delphi procedure, a global homogeneity check was then performed by comparing the five backward translations during a physical meeting involving GP teachers/researchers from many European countries; ; </t>
  </si>
  <si>
    <t>Baldissera, Annalisa/AHD-6334-2022; Fazli, Ghazal/AAE-8320-2022; Blondeel, Sofie/AAE-5307-2022; DSILVA, BROOKE/HCI-4879-2022; Kaefferbitz, Moritz/JZE-0750-2024</t>
  </si>
  <si>
    <t>hong, zhao/0000-0003-3528-6320</t>
  </si>
  <si>
    <t>1381-4788</t>
  </si>
  <si>
    <t>1751-1402</t>
  </si>
  <si>
    <t>EUR J GEN PRACT</t>
  </si>
  <si>
    <t>Eur. J. Gen. Pract.</t>
  </si>
  <si>
    <t>JUL 3</t>
  </si>
  <si>
    <t>10.1080/13814788.2019.1643166</t>
  </si>
  <si>
    <t>Primary Health Care; Medicine, General &amp; Internal</t>
  </si>
  <si>
    <t>IR9QF</t>
  </si>
  <si>
    <t>Green Accepted, gold</t>
  </si>
  <si>
    <t>WOS:000481779500010</t>
  </si>
  <si>
    <t>Gould, CC</t>
  </si>
  <si>
    <t>Gould, Carol C.</t>
  </si>
  <si>
    <t>Solidarity and the problem of structural injustice in healthcare</t>
  </si>
  <si>
    <t>BIOETHICS</t>
  </si>
  <si>
    <t>healthcare; justice; solidarity</t>
  </si>
  <si>
    <t>JUSTICE</t>
  </si>
  <si>
    <t xml:space="preserve">; </t>
  </si>
  <si>
    <t>[Gould, Carol C.] CUNY, Hunter Coll, Dept Philosophy, New York, NY 10021 USA; [Gould, Carol C.] CUNY, Grad Ctr, Doctoral Program Philosophy, New York, NY 10021 USA; [Gould, Carol C.] CUNY, Grad Ctr, Doctoral Program Polit Sci, New York, NY 10021 USA</t>
  </si>
  <si>
    <t>City University of New York (CUNY) System; Hunter College (CUNY); City University of New York (CUNY) System; City University of New York (CUNY) System</t>
  </si>
  <si>
    <t>Gould, CC (corresponding author), 333 Cent Pk West,Apt 16, New York, NY 10025 USA.</t>
  </si>
  <si>
    <t>carolcgould@gmail.com</t>
  </si>
  <si>
    <t>Baldissera, Annalisa/AHD-6334-2022; Fazli, Ghazal/AAE-8320-2022</t>
  </si>
  <si>
    <t>0269-9702</t>
  </si>
  <si>
    <t>1467-8519</t>
  </si>
  <si>
    <t>Bioethics</t>
  </si>
  <si>
    <t>10.1111/bioe.12474</t>
  </si>
  <si>
    <t>Ethics; Medical Ethics; Social Issues; Social Sciences, Biomedical</t>
  </si>
  <si>
    <t>Social Sciences - Other Topics; Medical Ethics; Social Issues; Biomedical Social Sciences</t>
  </si>
  <si>
    <t>HA5QZ</t>
  </si>
  <si>
    <t>WOS:000450332600002</t>
  </si>
  <si>
    <t>I/E</t>
  </si>
  <si>
    <t>I</t>
  </si>
  <si>
    <t>TESTSET</t>
  </si>
  <si>
    <t>INCLUDED</t>
  </si>
  <si>
    <t>INCLUDED with disagreement</t>
  </si>
  <si>
    <t>EXCLUDED with disagreement</t>
  </si>
  <si>
    <t>E</t>
  </si>
  <si>
    <t>WOS</t>
  </si>
  <si>
    <t>What is causal reasoning used for?</t>
  </si>
  <si>
    <t>How is causal reasoning used?</t>
  </si>
  <si>
    <t>How is validated</t>
  </si>
  <si>
    <t>NOTES</t>
  </si>
  <si>
    <t>ID</t>
  </si>
  <si>
    <t>Conference/Journal acronym</t>
  </si>
  <si>
    <t>Tools availability (Yes/No)</t>
  </si>
  <si>
    <t>Task</t>
  </si>
  <si>
    <t>Attribute</t>
  </si>
  <si>
    <t>Phase of sw eng lifecycle</t>
  </si>
  <si>
    <t>Model</t>
  </si>
  <si>
    <t>CD methodology</t>
  </si>
  <si>
    <t>CI methodology</t>
  </si>
  <si>
    <t>Tools</t>
  </si>
  <si>
    <t>Experiments yes/no</t>
  </si>
  <si>
    <t>Industrial application (Yes/No)</t>
  </si>
  <si>
    <t>Domain</t>
  </si>
  <si>
    <t>Type of system</t>
  </si>
  <si>
    <t>ICSTW</t>
  </si>
  <si>
    <t>Scopus,IEEE</t>
  </si>
  <si>
    <t>Workshop paper</t>
  </si>
  <si>
    <t>no</t>
  </si>
  <si>
    <t>Testing</t>
  </si>
  <si>
    <t>Reliability</t>
  </si>
  <si>
    <t>V&amp;V</t>
  </si>
  <si>
    <t>inference</t>
  </si>
  <si>
    <t>CausalDAG</t>
  </si>
  <si>
    <t>regression</t>
  </si>
  <si>
    <t>yes</t>
  </si>
  <si>
    <t>RE</t>
  </si>
  <si>
    <t>Threats modeling</t>
  </si>
  <si>
    <t>Security</t>
  </si>
  <si>
    <t>Requirements</t>
  </si>
  <si>
    <t>Fuzzy causalDAG</t>
  </si>
  <si>
    <t>JFCM</t>
  </si>
  <si>
    <t>mobile</t>
  </si>
  <si>
    <t>Fault prediction</t>
  </si>
  <si>
    <t>Fault pred.</t>
  </si>
  <si>
    <t>Evol. &amp; Maint.</t>
  </si>
  <si>
    <t>both</t>
  </si>
  <si>
    <t>SCM</t>
  </si>
  <si>
    <t>GFCI</t>
  </si>
  <si>
    <t>tetrad</t>
  </si>
  <si>
    <t>Open-source code from version control systems (e.g. Git)</t>
  </si>
  <si>
    <t>SIGMOD</t>
  </si>
  <si>
    <t>Scopus,ACM</t>
  </si>
  <si>
    <t>Fault localization, Root cause analysis</t>
  </si>
  <si>
    <t>Fault loc.,RCA</t>
  </si>
  <si>
    <t>Performance, Reliability</t>
  </si>
  <si>
    <t>Datasets for training of ML models - vaious: sentiments, medical, flight delay, ...</t>
  </si>
  <si>
    <t>SmartGridComm</t>
  </si>
  <si>
    <t>Reliability, Security, Availability</t>
  </si>
  <si>
    <t xml:space="preserve">inference </t>
  </si>
  <si>
    <t>Evidential Networks</t>
  </si>
  <si>
    <t>The residential feeder of the Euro-
pean low voltage CIGRE benchmark grid was used as a case
study</t>
  </si>
  <si>
    <t>smart grids</t>
  </si>
  <si>
    <t>software services</t>
  </si>
  <si>
    <t>Fault localization, Debugging</t>
  </si>
  <si>
    <t>Fault loc.,Debugging</t>
  </si>
  <si>
    <t>telco</t>
  </si>
  <si>
    <t>Software-defined networking</t>
  </si>
  <si>
    <t>ICSE</t>
  </si>
  <si>
    <t>Scopus,IEEE,ACM</t>
  </si>
  <si>
    <t>Gore R.; Reynolds Jr. P.F.</t>
  </si>
  <si>
    <t>Reliability, Performance</t>
  </si>
  <si>
    <t>PO</t>
  </si>
  <si>
    <t>service-based</t>
  </si>
  <si>
    <t>service-based (netflix)</t>
  </si>
  <si>
    <t>MobileSoft</t>
  </si>
  <si>
    <t>KPI Prediction (Refactoring)</t>
  </si>
  <si>
    <t>KPI pred.</t>
  </si>
  <si>
    <t>Maintainability</t>
  </si>
  <si>
    <t>DiD</t>
  </si>
  <si>
    <t>yes (Android Applications)</t>
  </si>
  <si>
    <t>Android Applications</t>
  </si>
  <si>
    <t>ICST</t>
  </si>
  <si>
    <t>No, only the used libraries and frameworks</t>
  </si>
  <si>
    <t>open-source software</t>
  </si>
  <si>
    <t>IM</t>
  </si>
  <si>
    <t>APSEC</t>
  </si>
  <si>
    <t>KPI prediction</t>
  </si>
  <si>
    <t>Safety, Performance</t>
  </si>
  <si>
    <t>CausalDAG (Causal Bayesian Networks)</t>
  </si>
  <si>
    <t>propensity-score</t>
  </si>
  <si>
    <t>yes (volvo)</t>
  </si>
  <si>
    <t>Automotive</t>
  </si>
  <si>
    <t>ACM International Conference Proceeding Series - International Conference on the Foundations of Digital Games</t>
  </si>
  <si>
    <t>FDG</t>
  </si>
  <si>
    <t xml:space="preserve">KPI prediction </t>
  </si>
  <si>
    <t>Usability</t>
  </si>
  <si>
    <t>PO, CausalTree</t>
  </si>
  <si>
    <t>ensemble</t>
  </si>
  <si>
    <t>yes (reviews of LoL)</t>
  </si>
  <si>
    <t>gaming</t>
  </si>
  <si>
    <t>game</t>
  </si>
  <si>
    <t>Partial</t>
  </si>
  <si>
    <t>numerical software - Java libraries</t>
  </si>
  <si>
    <t>STVR</t>
  </si>
  <si>
    <t>covariate balancing</t>
  </si>
  <si>
    <t>numerical software</t>
  </si>
  <si>
    <t>Reliability, Safety</t>
  </si>
  <si>
    <t>FCI</t>
  </si>
  <si>
    <t>causal-learn, causality</t>
  </si>
  <si>
    <t>yes (system of University of Carolina)</t>
  </si>
  <si>
    <t>robotics</t>
  </si>
  <si>
    <t>highly-configurable robotic systems</t>
  </si>
  <si>
    <t>CAIN</t>
  </si>
  <si>
    <t>dowhy</t>
  </si>
  <si>
    <t>EuroSys</t>
  </si>
  <si>
    <t>KPI prediction, Debugging</t>
  </si>
  <si>
    <t>KPI pred.,Debugging</t>
  </si>
  <si>
    <t>Performance</t>
  </si>
  <si>
    <t>causal-learn</t>
  </si>
  <si>
    <t>ICSME</t>
  </si>
  <si>
    <t>Open-source software - Defect4J</t>
  </si>
  <si>
    <t>KPI prediction (Design for Reuse)</t>
  </si>
  <si>
    <t>discovery</t>
  </si>
  <si>
    <t>custom</t>
  </si>
  <si>
    <t>Bayes-Net</t>
  </si>
  <si>
    <t>ICCQ</t>
  </si>
  <si>
    <t>yes (no, there is a link but the code is not there)</t>
  </si>
  <si>
    <t>Java programs</t>
  </si>
  <si>
    <t>FSE</t>
  </si>
  <si>
    <t>Seems not</t>
  </si>
  <si>
    <t>PO, CausalDAG</t>
  </si>
  <si>
    <t>multiversion programs</t>
  </si>
  <si>
    <t>Anomaly detection</t>
  </si>
  <si>
    <t>Anomaly det.</t>
  </si>
  <si>
    <t>Performance, Availability</t>
  </si>
  <si>
    <t xml:space="preserve">discovery </t>
  </si>
  <si>
    <t>PC, custom</t>
  </si>
  <si>
    <t>systems with logs</t>
  </si>
  <si>
    <t>ISSTA</t>
  </si>
  <si>
    <t>QRS</t>
  </si>
  <si>
    <t>No</t>
  </si>
  <si>
    <t>Testability</t>
  </si>
  <si>
    <t>COUFLESS</t>
  </si>
  <si>
    <t>NIPS</t>
  </si>
  <si>
    <t>microservices</t>
  </si>
  <si>
    <t>SKG</t>
  </si>
  <si>
    <t>web-services</t>
  </si>
  <si>
    <t>python code</t>
  </si>
  <si>
    <t>ICSE-NIER</t>
  </si>
  <si>
    <t>regression, simulation</t>
  </si>
  <si>
    <t>tetrad, dowhy</t>
  </si>
  <si>
    <t>automotive</t>
  </si>
  <si>
    <t>ads testing</t>
  </si>
  <si>
    <t>SNOWBALLING</t>
  </si>
  <si>
    <t>Causal Inference Techniques for Microservice Performance Diagnosis: Evaluation and Guiding Recommendations</t>
  </si>
  <si>
    <t>L. Wu; J. Tordsson; E. Elmroth; O. Kao</t>
  </si>
  <si>
    <t>2021 IEEE International Conference on Autonomic Computing and Self-Organizing Systems (ACSOS)</t>
  </si>
  <si>
    <t>ACSOS</t>
  </si>
  <si>
    <t>granger, PC, GES, CAM, LINGAM</t>
  </si>
  <si>
    <t>CausalDiscoveryToolbox, lingam</t>
  </si>
  <si>
    <t>COMPSAC</t>
  </si>
  <si>
    <t>PC, mixedLINGAM</t>
  </si>
  <si>
    <t>configurable systems</t>
  </si>
  <si>
    <t>MicroDiag: Fine-grained Performance Diagnosis for Microservice Systems</t>
  </si>
  <si>
    <t>L. Wu; J. Tordsson; J. Bogatinovski; E. Elmroth; O. Kao</t>
  </si>
  <si>
    <t>2021 IEEE/ACM International Workshop on Cloud Intelligence (CloudIntelligence)</t>
  </si>
  <si>
    <t>CloudIntelligence</t>
  </si>
  <si>
    <t>directLINGAM</t>
  </si>
  <si>
    <t>Multi-indicators prediction in microservice using Granger causality test and Attention LSTM</t>
  </si>
  <si>
    <t>S. Ji; W. Wu; Y. Pu</t>
  </si>
  <si>
    <t>2020 IEEE World Congress on Services (SERVICES)</t>
  </si>
  <si>
    <t>SERVICES</t>
  </si>
  <si>
    <t>Operation</t>
  </si>
  <si>
    <t>granger</t>
  </si>
  <si>
    <t>neural-network</t>
  </si>
  <si>
    <t>Leveraging Causal Inference for Explainable Automatic Program Repair</t>
  </si>
  <si>
    <t>J. Wang; S. Si; Z. Zhu; X. Qu; Z. Hong; J. Xiao</t>
  </si>
  <si>
    <t>2022 International Joint Conference on Neural Networks (IJCNN)</t>
  </si>
  <si>
    <t>IJCNN</t>
  </si>
  <si>
    <t>Coding</t>
  </si>
  <si>
    <t>Helpfulness Prediction for VR Application Reviews: Exploring Topic Signals for Causal Inference</t>
  </si>
  <si>
    <t>M. Zhang; Y. Qian; Y. Jiang; Y. Wang; Y. Liu</t>
  </si>
  <si>
    <t>2022 IEEE International Symposium on Mixed and Augmented Reality Adjunct (ISMAR-Adjunct)</t>
  </si>
  <si>
    <t>ISMAR</t>
  </si>
  <si>
    <t>yes (Oculus reviews)</t>
  </si>
  <si>
    <t>Virtual reality</t>
  </si>
  <si>
    <t>DNN</t>
  </si>
  <si>
    <t>Causal Fault Localisation in Dataflow Systems</t>
  </si>
  <si>
    <t>EuroMLSys</t>
  </si>
  <si>
    <t>dataflow frameworks</t>
  </si>
  <si>
    <t>sw in general</t>
  </si>
  <si>
    <t>ASE</t>
  </si>
  <si>
    <t>BLIP</t>
  </si>
  <si>
    <t>regression, neural-network, instrumental variable</t>
  </si>
  <si>
    <t>EconML, DeepIV</t>
  </si>
  <si>
    <t>databases</t>
  </si>
  <si>
    <t>QRS-C</t>
  </si>
  <si>
    <t>Computer vision</t>
  </si>
  <si>
    <t>Object detection algorithms</t>
  </si>
  <si>
    <t>debugging</t>
  </si>
  <si>
    <t>Software Engineering Benchmarks - Open source Java Projects (Defects4J)</t>
  </si>
  <si>
    <t>Inference</t>
  </si>
  <si>
    <t>Software Engineering Benchmarks - Open source Projects (SIR)</t>
  </si>
  <si>
    <t>ICCCBDA</t>
  </si>
  <si>
    <t>PC</t>
  </si>
  <si>
    <t>Fault localization, debugging</t>
  </si>
  <si>
    <t>reliability, security, safety</t>
  </si>
  <si>
    <t>simulation</t>
  </si>
  <si>
    <t>multiple (vedi colonna v)</t>
  </si>
  <si>
    <t xml:space="preserve">Testing  </t>
  </si>
  <si>
    <t>Safety</t>
  </si>
  <si>
    <t>pyAgrum</t>
  </si>
  <si>
    <t>AEBS</t>
  </si>
  <si>
    <t>SEM</t>
  </si>
  <si>
    <t>AMOS di IBM SPSS</t>
  </si>
  <si>
    <t>ADS</t>
  </si>
  <si>
    <t>DiBS</t>
  </si>
  <si>
    <t>fault localization, root cause analysis</t>
  </si>
  <si>
    <t>cloud</t>
  </si>
  <si>
    <t>SCAM</t>
  </si>
  <si>
    <t>fault localization, debugging</t>
  </si>
  <si>
    <t>Reliablity</t>
  </si>
  <si>
    <t>CCGRID</t>
  </si>
  <si>
    <t>DiD model</t>
  </si>
  <si>
    <t>Testing and analysis</t>
  </si>
  <si>
    <t>Coding, V&amp;V</t>
  </si>
  <si>
    <t>Security, Maintainability</t>
  </si>
  <si>
    <t>aerospace</t>
  </si>
  <si>
    <t>UAV</t>
  </si>
  <si>
    <t>testing, fault localization, root cause analysis</t>
  </si>
  <si>
    <t>Testing,Fault loc.,RCA</t>
  </si>
  <si>
    <t>ADAS</t>
  </si>
  <si>
    <t>fault localization, root cause analysis, debugging</t>
  </si>
  <si>
    <t>FCI, FGES, GFCI, PC, RFCI</t>
  </si>
  <si>
    <t>tetrad, dowhy, pycausal</t>
  </si>
  <si>
    <t>vulnerability detection/testing?</t>
  </si>
  <si>
    <t>CSMR</t>
  </si>
  <si>
    <t>SCC</t>
  </si>
  <si>
    <t>VoD</t>
  </si>
  <si>
    <t>VoD Server</t>
  </si>
  <si>
    <t>ISSREW</t>
  </si>
  <si>
    <t>HPC</t>
  </si>
  <si>
    <t>supercomputer</t>
  </si>
  <si>
    <t>reliability</t>
  </si>
  <si>
    <t>distributed systems</t>
  </si>
  <si>
    <t>distributed cloud enterprise application</t>
  </si>
  <si>
    <t>root cause analysis</t>
  </si>
  <si>
    <t>ICDM</t>
  </si>
  <si>
    <t>anomaly detection</t>
  </si>
  <si>
    <t>space, avionics, cyber-physical systems</t>
  </si>
  <si>
    <t>Lecture Notes in Computer Science (including subseries Lecture Notes in Artificial Intelligence and Lecture Notes in Bioinformatics) - Human Interface and the Management of Information: Applications in Complex Technological Environments</t>
  </si>
  <si>
    <t>HCII</t>
  </si>
  <si>
    <t>Reliability (performance degradation, agnig)</t>
  </si>
  <si>
    <t>Cloud</t>
  </si>
  <si>
    <t>open source software</t>
  </si>
  <si>
    <t>anomaly detection (intrusion detection)</t>
  </si>
  <si>
    <t>Multiple</t>
  </si>
  <si>
    <t>A Comparative Analysis of Software Aging in
Image Classifiers on Cloud and Edge</t>
  </si>
  <si>
    <t>Ermeson Andrade, Fumio Machida, Roberto Pietrantuono, Domenico Cotroneo</t>
  </si>
  <si>
    <t>Transfer entropy</t>
  </si>
  <si>
    <t>Cloud/Edge</t>
  </si>
  <si>
    <t>Testing the resilience of MEC-based IoT applications against resource exhaustion attacks</t>
  </si>
  <si>
    <t>Roberto Pietrantuono, Massimo Ficco, Francesco Palmieri</t>
  </si>
  <si>
    <t>IoT</t>
  </si>
  <si>
    <t>Memory Degradation Analysis
in Private and Public Cloud Environments</t>
  </si>
  <si>
    <t>VISSOFT</t>
  </si>
  <si>
    <t>FGES</t>
  </si>
  <si>
    <t>forse si, cita 6 engineers</t>
  </si>
  <si>
    <t>benchmarks for regression</t>
  </si>
  <si>
    <t>CausalTree</t>
  </si>
  <si>
    <t>natural language</t>
  </si>
  <si>
    <t>Debugging</t>
  </si>
  <si>
    <t>Earthquake, Cancer, Survey, Sachs</t>
  </si>
  <si>
    <t>open-source projects</t>
  </si>
  <si>
    <t>CoNEXT</t>
  </si>
  <si>
    <t>Redis (database, cache and message broker)</t>
  </si>
  <si>
    <t>CausalRCA: Causal inference based precise fine-grained root cause localization for microservice applications</t>
  </si>
  <si>
    <t>Ruyue Xin; Peng Chen; Zhiming Zhao</t>
  </si>
  <si>
    <t>DAG-GNN</t>
  </si>
  <si>
    <t>Inforence: effective fault localization based on information-theoretic analysis and statistical causal inference</t>
  </si>
  <si>
    <t>Farid Feyzi, Saeed Parsa</t>
  </si>
  <si>
    <t>Frontiers of computer science</t>
  </si>
  <si>
    <t>matchit</t>
  </si>
  <si>
    <t>multiple</t>
  </si>
  <si>
    <t>An empirical study of Linespots: A novel past-fault algorithm</t>
  </si>
  <si>
    <t>Maximilian Scholz, Richard Torkar</t>
  </si>
  <si>
    <t>Software Testing, Verification and Reliability</t>
  </si>
  <si>
    <t>Faul prediction</t>
  </si>
  <si>
    <t>brms (bayesian)</t>
  </si>
</sst>
</file>

<file path=xl/styles.xml><?xml version="1.0" encoding="utf-8"?>
<styleSheet xmlns="http://schemas.openxmlformats.org/spreadsheetml/2006/main" xmlns:x14ac="http://schemas.microsoft.com/office/spreadsheetml/2009/9/ac" xmlns:mc="http://schemas.openxmlformats.org/markup-compatibility/2006">
  <fonts count="12">
    <font>
      <sz val="12.0"/>
      <color theme="1"/>
      <name val="Calibri"/>
      <scheme val="minor"/>
    </font>
    <font>
      <sz val="12.0"/>
      <color theme="1"/>
      <name val="Calibri"/>
    </font>
    <font>
      <color theme="1"/>
      <name val="Calibri"/>
    </font>
    <font>
      <u/>
      <color rgb="FF0000FF"/>
    </font>
    <font>
      <b/>
      <sz val="12.0"/>
      <color theme="1"/>
      <name val="Calibri"/>
    </font>
    <font>
      <sz val="10.0"/>
      <color theme="1"/>
      <name val="Calibri"/>
    </font>
    <font>
      <b/>
      <sz val="10.0"/>
      <color theme="1"/>
      <name val="Arial"/>
    </font>
    <font/>
    <font>
      <sz val="10.0"/>
      <color theme="1"/>
      <name val="Arial"/>
    </font>
    <font>
      <u/>
      <sz val="10.0"/>
      <color rgb="FF000000"/>
      <name val="Arial"/>
    </font>
    <font>
      <sz val="12.0"/>
      <color rgb="FFFF0000"/>
      <name val="Calibri"/>
    </font>
    <font>
      <sz val="10.0"/>
      <color rgb="FF000000"/>
      <name val="Calibri"/>
    </font>
  </fonts>
  <fills count="14">
    <fill>
      <patternFill patternType="none"/>
    </fill>
    <fill>
      <patternFill patternType="lightGray"/>
    </fill>
    <fill>
      <patternFill patternType="solid">
        <fgColor rgb="FF6AA84F"/>
        <bgColor rgb="FF6AA84F"/>
      </patternFill>
    </fill>
    <fill>
      <patternFill patternType="solid">
        <fgColor rgb="FFC27BA0"/>
        <bgColor rgb="FFC27BA0"/>
      </patternFill>
    </fill>
    <fill>
      <patternFill patternType="solid">
        <fgColor theme="9"/>
        <bgColor theme="9"/>
      </patternFill>
    </fill>
    <fill>
      <patternFill patternType="solid">
        <fgColor rgb="FFFFD965"/>
        <bgColor rgb="FFFFD965"/>
      </patternFill>
    </fill>
    <fill>
      <patternFill patternType="solid">
        <fgColor rgb="FFEA9999"/>
        <bgColor rgb="FFEA9999"/>
      </patternFill>
    </fill>
    <fill>
      <patternFill patternType="solid">
        <fgColor rgb="FFB7B7B7"/>
        <bgColor rgb="FFB7B7B7"/>
      </patternFill>
    </fill>
    <fill>
      <patternFill patternType="solid">
        <fgColor rgb="FFC9DAF8"/>
        <bgColor rgb="FFC9DAF8"/>
      </patternFill>
    </fill>
    <fill>
      <patternFill patternType="solid">
        <fgColor rgb="FFFFF2CC"/>
        <bgColor rgb="FFFFF2CC"/>
      </patternFill>
    </fill>
    <fill>
      <patternFill patternType="solid">
        <fgColor rgb="FFF4CCCC"/>
        <bgColor rgb="FFF4CCCC"/>
      </patternFill>
    </fill>
    <fill>
      <patternFill patternType="solid">
        <fgColor rgb="FFD5A6BD"/>
        <bgColor rgb="FFD5A6BD"/>
      </patternFill>
    </fill>
    <fill>
      <patternFill patternType="solid">
        <fgColor rgb="FF93C47D"/>
        <bgColor rgb="FF93C47D"/>
      </patternFill>
    </fill>
    <fill>
      <patternFill patternType="solid">
        <fgColor rgb="FF00FFFF"/>
        <bgColor rgb="FF00FFFF"/>
      </patternFill>
    </fill>
  </fills>
  <borders count="11">
    <border/>
    <border>
      <left/>
      <right/>
      <top/>
      <bottom/>
    </border>
    <border>
      <left/>
      <right/>
      <top/>
    </border>
    <border>
      <right style="thin">
        <color rgb="FF000000"/>
      </right>
    </border>
    <border>
      <right style="thin">
        <color rgb="FF000000"/>
      </right>
      <top/>
      <bottom/>
    </border>
    <border>
      <left/>
      <right style="thin">
        <color rgb="FF000000"/>
      </right>
      <top/>
      <bottom/>
    </border>
    <border>
      <left style="thin">
        <color rgb="FF000000"/>
      </left>
      <top/>
      <bottom/>
    </border>
    <border>
      <top/>
      <bottom/>
    </border>
    <border>
      <left style="thin">
        <color rgb="FF000000"/>
      </left>
      <right/>
      <top/>
      <bottom/>
    </border>
    <border>
      <left/>
      <top/>
      <bottom/>
    </border>
    <border>
      <left style="thin">
        <color rgb="FF000000"/>
      </left>
    </border>
  </borders>
  <cellStyleXfs count="1">
    <xf borderId="0" fillId="0" fontId="0" numFmtId="0" applyAlignment="1" applyFont="1"/>
  </cellStyleXfs>
  <cellXfs count="60">
    <xf borderId="0" fillId="0" fontId="0" numFmtId="0" xfId="0" applyAlignment="1" applyFont="1">
      <alignment readingOrder="0" shrinkToFit="0" vertical="bottom" wrapText="0"/>
    </xf>
    <xf borderId="0" fillId="0" fontId="1" numFmtId="0" xfId="0" applyFont="1"/>
    <xf borderId="0" fillId="0" fontId="2" numFmtId="0" xfId="0" applyFont="1"/>
    <xf borderId="0" fillId="0" fontId="3" numFmtId="0" xfId="0" applyFont="1"/>
    <xf borderId="0" fillId="0" fontId="4" numFmtId="0" xfId="0" applyFont="1"/>
    <xf borderId="1" fillId="2" fontId="1" numFmtId="0" xfId="0" applyBorder="1" applyFill="1" applyFont="1"/>
    <xf borderId="1" fillId="3" fontId="5" numFmtId="0" xfId="0" applyAlignment="1" applyBorder="1" applyFill="1" applyFont="1">
      <alignment readingOrder="0" shrinkToFit="0" vertical="top" wrapText="1"/>
    </xf>
    <xf borderId="1" fillId="4" fontId="1" numFmtId="0" xfId="0" applyAlignment="1" applyBorder="1" applyFill="1" applyFont="1">
      <alignment readingOrder="0"/>
    </xf>
    <xf borderId="1" fillId="5" fontId="1" numFmtId="0" xfId="0" applyAlignment="1" applyBorder="1" applyFill="1" applyFont="1">
      <alignment readingOrder="0"/>
    </xf>
    <xf borderId="2" fillId="6" fontId="1" numFmtId="0" xfId="0" applyAlignment="1" applyBorder="1" applyFill="1" applyFont="1">
      <alignment readingOrder="0"/>
    </xf>
    <xf borderId="1" fillId="5" fontId="1" numFmtId="0" xfId="0" applyBorder="1" applyFont="1"/>
    <xf borderId="1" fillId="6" fontId="1" numFmtId="0" xfId="0" applyBorder="1" applyFont="1"/>
    <xf borderId="0" fillId="7" fontId="6" numFmtId="0" xfId="0" applyAlignment="1" applyFill="1" applyFont="1">
      <alignment shrinkToFit="0" vertical="top" wrapText="1"/>
    </xf>
    <xf borderId="3" fillId="7" fontId="6" numFmtId="0" xfId="0" applyAlignment="1" applyBorder="1" applyFont="1">
      <alignment shrinkToFit="0" vertical="top" wrapText="1"/>
    </xf>
    <xf borderId="4" fillId="7" fontId="6" numFmtId="0" xfId="0" applyAlignment="1" applyBorder="1" applyFont="1">
      <alignment shrinkToFit="0" vertical="top" wrapText="1"/>
    </xf>
    <xf borderId="1" fillId="7" fontId="6" numFmtId="0" xfId="0" applyAlignment="1" applyBorder="1" applyFont="1">
      <alignment shrinkToFit="0" vertical="top" wrapText="1"/>
    </xf>
    <xf borderId="1" fillId="7" fontId="6" numFmtId="0" xfId="0" applyAlignment="1" applyBorder="1" applyFont="1">
      <alignment horizontal="center" shrinkToFit="0" vertical="top" wrapText="1"/>
    </xf>
    <xf borderId="5" fillId="7" fontId="6" numFmtId="0" xfId="0" applyAlignment="1" applyBorder="1" applyFont="1">
      <alignment shrinkToFit="0" vertical="top" wrapText="1"/>
    </xf>
    <xf borderId="6" fillId="8" fontId="6" numFmtId="0" xfId="0" applyAlignment="1" applyBorder="1" applyFill="1" applyFont="1">
      <alignment horizontal="center" shrinkToFit="0" vertical="top" wrapText="1"/>
    </xf>
    <xf borderId="7" fillId="0" fontId="7" numFmtId="0" xfId="0" applyBorder="1" applyFont="1"/>
    <xf borderId="4" fillId="0" fontId="7" numFmtId="0" xfId="0" applyBorder="1" applyFont="1"/>
    <xf borderId="8" fillId="8" fontId="6" numFmtId="0" xfId="0" applyAlignment="1" applyBorder="1" applyFont="1">
      <alignment horizontal="center" shrinkToFit="0" vertical="top" wrapText="1"/>
    </xf>
    <xf borderId="6" fillId="9" fontId="6" numFmtId="0" xfId="0" applyAlignment="1" applyBorder="1" applyFill="1" applyFont="1">
      <alignment horizontal="center" shrinkToFit="0" vertical="top" wrapText="1"/>
    </xf>
    <xf borderId="9" fillId="10" fontId="6" numFmtId="0" xfId="0" applyAlignment="1" applyBorder="1" applyFill="1" applyFont="1">
      <alignment horizontal="center" shrinkToFit="0" vertical="top" wrapText="1"/>
    </xf>
    <xf borderId="0" fillId="0" fontId="1" numFmtId="0" xfId="0" applyAlignment="1" applyFont="1">
      <alignment shrinkToFit="0" vertical="top" wrapText="1"/>
    </xf>
    <xf borderId="1" fillId="8" fontId="6" numFmtId="0" xfId="0" applyAlignment="1" applyBorder="1" applyFont="1">
      <alignment horizontal="center" shrinkToFit="0" vertical="top" wrapText="1"/>
    </xf>
    <xf borderId="1" fillId="8" fontId="6" numFmtId="0" xfId="0" applyAlignment="1" applyBorder="1" applyFont="1">
      <alignment shrinkToFit="0" vertical="top" wrapText="1"/>
    </xf>
    <xf borderId="8" fillId="9" fontId="6" numFmtId="0" xfId="0" applyAlignment="1" applyBorder="1" applyFont="1">
      <alignment shrinkToFit="0" vertical="top" wrapText="1"/>
    </xf>
    <xf borderId="1" fillId="9" fontId="6" numFmtId="0" xfId="0" applyAlignment="1" applyBorder="1" applyFont="1">
      <alignment shrinkToFit="0" vertical="top" wrapText="1"/>
    </xf>
    <xf borderId="5" fillId="9" fontId="6" numFmtId="0" xfId="0" applyAlignment="1" applyBorder="1" applyFont="1">
      <alignment shrinkToFit="0" vertical="top" wrapText="1"/>
    </xf>
    <xf borderId="1" fillId="10" fontId="6" numFmtId="0" xfId="0" applyAlignment="1" applyBorder="1" applyFont="1">
      <alignment horizontal="center" shrinkToFit="0" vertical="top" wrapText="1"/>
    </xf>
    <xf borderId="1" fillId="10" fontId="6" numFmtId="0" xfId="0" applyAlignment="1" applyBorder="1" applyFont="1">
      <alignment shrinkToFit="0" vertical="top" wrapText="1"/>
    </xf>
    <xf borderId="5" fillId="10" fontId="6" numFmtId="0" xfId="0" applyAlignment="1" applyBorder="1" applyFont="1">
      <alignment shrinkToFit="0" vertical="top" wrapText="1"/>
    </xf>
    <xf borderId="0" fillId="3" fontId="5" numFmtId="0" xfId="0" applyAlignment="1" applyFont="1">
      <alignment readingOrder="0" shrinkToFit="0" vertical="top" wrapText="1"/>
    </xf>
    <xf borderId="3" fillId="0" fontId="5" numFmtId="0" xfId="0" applyAlignment="1" applyBorder="1" applyFont="1">
      <alignment shrinkToFit="0" vertical="top" wrapText="1"/>
    </xf>
    <xf borderId="4" fillId="11" fontId="5" numFmtId="0" xfId="0" applyAlignment="1" applyBorder="1" applyFill="1" applyFont="1">
      <alignment shrinkToFit="0" vertical="top" wrapText="1"/>
    </xf>
    <xf borderId="0" fillId="0" fontId="8" numFmtId="0" xfId="0" applyAlignment="1" applyFont="1">
      <alignment shrinkToFit="0" vertical="top" wrapText="1"/>
    </xf>
    <xf borderId="0" fillId="0" fontId="8" numFmtId="0" xfId="0" applyAlignment="1" applyFont="1">
      <alignment horizontal="center" shrinkToFit="0" vertical="top" wrapText="1"/>
    </xf>
    <xf borderId="3" fillId="0" fontId="8" numFmtId="0" xfId="0" applyAlignment="1" applyBorder="1" applyFont="1">
      <alignment shrinkToFit="0" vertical="top" wrapText="1"/>
    </xf>
    <xf borderId="10" fillId="0" fontId="8" numFmtId="0" xfId="0" applyAlignment="1" applyBorder="1" applyFont="1">
      <alignment shrinkToFit="0" vertical="top" wrapText="1"/>
    </xf>
    <xf borderId="4" fillId="12" fontId="8" numFmtId="0" xfId="0" applyAlignment="1" applyBorder="1" applyFill="1" applyFont="1">
      <alignment shrinkToFit="0" vertical="top" wrapText="1"/>
    </xf>
    <xf borderId="3" fillId="0" fontId="9" numFmtId="0" xfId="0" applyAlignment="1" applyBorder="1" applyFont="1">
      <alignment shrinkToFit="0" vertical="top" wrapText="1"/>
    </xf>
    <xf borderId="0" fillId="13" fontId="5" numFmtId="0" xfId="0" applyAlignment="1" applyFill="1" applyFont="1">
      <alignment shrinkToFit="0" vertical="top" wrapText="1"/>
    </xf>
    <xf borderId="4" fillId="13" fontId="5" numFmtId="0" xfId="0" applyAlignment="1" applyBorder="1" applyFont="1">
      <alignment shrinkToFit="0" vertical="top" wrapText="1"/>
    </xf>
    <xf borderId="0" fillId="0" fontId="10" numFmtId="0" xfId="0" applyAlignment="1" applyFont="1">
      <alignment shrinkToFit="0" vertical="top" wrapText="1"/>
    </xf>
    <xf borderId="1" fillId="0" fontId="8" numFmtId="0" xfId="0" applyAlignment="1" applyBorder="1" applyFont="1">
      <alignment shrinkToFit="0" vertical="top" wrapText="1"/>
    </xf>
    <xf borderId="5" fillId="0" fontId="8" numFmtId="0" xfId="0" applyAlignment="1" applyBorder="1" applyFont="1">
      <alignment shrinkToFit="0" vertical="top" wrapText="1"/>
    </xf>
    <xf borderId="1" fillId="0" fontId="8" numFmtId="0" xfId="0" applyAlignment="1" applyBorder="1" applyFont="1">
      <alignment horizontal="center" shrinkToFit="0" vertical="top" wrapText="1"/>
    </xf>
    <xf borderId="3" fillId="0" fontId="1" numFmtId="0" xfId="0" applyBorder="1" applyFont="1"/>
    <xf borderId="0" fillId="0" fontId="5" numFmtId="0" xfId="0" applyAlignment="1" applyFont="1">
      <alignment shrinkToFit="0" vertical="top" wrapText="1"/>
    </xf>
    <xf borderId="10" fillId="0" fontId="5" numFmtId="0" xfId="0" applyAlignment="1" applyBorder="1" applyFont="1">
      <alignment shrinkToFit="0" vertical="top" wrapText="1"/>
    </xf>
    <xf borderId="0" fillId="0" fontId="1" numFmtId="0" xfId="0" applyAlignment="1" applyFont="1">
      <alignment vertical="top"/>
    </xf>
    <xf borderId="5" fillId="0" fontId="5" numFmtId="0" xfId="0" applyAlignment="1" applyBorder="1" applyFont="1">
      <alignment shrinkToFit="0" vertical="top" wrapText="1"/>
    </xf>
    <xf borderId="4" fillId="5" fontId="8" numFmtId="0" xfId="0" applyAlignment="1" applyBorder="1" applyFont="1">
      <alignment shrinkToFit="0" vertical="top" wrapText="1"/>
    </xf>
    <xf borderId="0" fillId="0" fontId="5" numFmtId="0" xfId="0" applyAlignment="1" applyFont="1">
      <alignment vertical="top"/>
    </xf>
    <xf borderId="1" fillId="0" fontId="5" numFmtId="0" xfId="0" applyAlignment="1" applyBorder="1" applyFont="1">
      <alignment vertical="top"/>
    </xf>
    <xf borderId="0" fillId="0" fontId="11" numFmtId="0" xfId="0" applyAlignment="1" applyFont="1">
      <alignment vertical="top"/>
    </xf>
    <xf borderId="3" fillId="0" fontId="11" numFmtId="0" xfId="0" applyAlignment="1" applyBorder="1" applyFont="1">
      <alignment vertical="top"/>
    </xf>
    <xf borderId="3" fillId="0" fontId="11" numFmtId="0" xfId="0" applyAlignment="1" applyBorder="1" applyFont="1">
      <alignment shrinkToFit="0" vertical="top" wrapText="1"/>
    </xf>
    <xf borderId="10" fillId="0" fontId="11" numFmtId="0" xfId="0" applyAlignment="1" applyBorder="1" applyFont="1">
      <alignment vertical="top"/>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s://jfcm.megadix.it/" TargetMode="External"/><Relationship Id="rId2"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12.33"/>
    <col customWidth="1" min="2" max="26" width="3.0"/>
  </cols>
  <sheetData>
    <row r="1" ht="15.75" customHeight="1">
      <c r="A1" s="1" t="s">
        <v>0</v>
      </c>
      <c r="B1" s="1" t="s">
        <v>1</v>
      </c>
      <c r="C1" s="1" t="s">
        <v>2</v>
      </c>
      <c r="D1" s="1" t="s">
        <v>3</v>
      </c>
      <c r="E1" s="1" t="s">
        <v>4</v>
      </c>
      <c r="F1" s="1" t="s">
        <v>5</v>
      </c>
      <c r="G1" s="1" t="s">
        <v>6</v>
      </c>
      <c r="H1" s="1" t="s">
        <v>7</v>
      </c>
      <c r="I1" s="1" t="s">
        <v>8</v>
      </c>
    </row>
    <row r="2" ht="15.75" customHeight="1">
      <c r="A2" s="1" t="s">
        <v>9</v>
      </c>
      <c r="B2" s="1" t="s">
        <v>10</v>
      </c>
      <c r="C2" s="1">
        <v>2021.0</v>
      </c>
      <c r="D2" s="1" t="s">
        <v>11</v>
      </c>
      <c r="E2" s="1" t="s">
        <v>12</v>
      </c>
      <c r="F2" s="1" t="s">
        <v>13</v>
      </c>
      <c r="G2" s="1">
        <v>3.0</v>
      </c>
      <c r="H2" s="1" t="s">
        <v>14</v>
      </c>
      <c r="I2" s="1" t="s">
        <v>15</v>
      </c>
    </row>
    <row r="3" ht="15.75" customHeight="1">
      <c r="A3" s="1" t="s">
        <v>16</v>
      </c>
      <c r="B3" s="1" t="s">
        <v>17</v>
      </c>
      <c r="C3" s="1">
        <v>2024.0</v>
      </c>
      <c r="D3" s="1" t="s">
        <v>18</v>
      </c>
      <c r="E3" s="1" t="s">
        <v>19</v>
      </c>
      <c r="F3" s="1" t="s">
        <v>20</v>
      </c>
      <c r="G3" s="1">
        <v>0.0</v>
      </c>
      <c r="H3" s="1" t="s">
        <v>14</v>
      </c>
      <c r="I3" s="1" t="s">
        <v>21</v>
      </c>
    </row>
    <row r="4" ht="15.75" customHeight="1">
      <c r="A4" s="1" t="s">
        <v>22</v>
      </c>
      <c r="B4" s="1" t="s">
        <v>23</v>
      </c>
      <c r="C4" s="1">
        <v>2022.0</v>
      </c>
      <c r="D4" s="1" t="s">
        <v>24</v>
      </c>
      <c r="E4" s="1" t="s">
        <v>25</v>
      </c>
      <c r="F4" s="1" t="s">
        <v>26</v>
      </c>
      <c r="G4" s="1">
        <v>1.0</v>
      </c>
      <c r="H4" s="1" t="s">
        <v>14</v>
      </c>
      <c r="I4" s="1" t="s">
        <v>21</v>
      </c>
    </row>
    <row r="5" ht="15.75" customHeight="1">
      <c r="A5" s="1" t="s">
        <v>27</v>
      </c>
      <c r="B5" s="1" t="s">
        <v>28</v>
      </c>
      <c r="C5" s="1">
        <v>2023.0</v>
      </c>
      <c r="D5" s="1" t="s">
        <v>29</v>
      </c>
      <c r="E5" s="1" t="s">
        <v>30</v>
      </c>
      <c r="F5" s="1" t="s">
        <v>31</v>
      </c>
      <c r="G5" s="1">
        <v>1.0</v>
      </c>
      <c r="H5" s="1" t="s">
        <v>14</v>
      </c>
      <c r="I5" s="1" t="s">
        <v>21</v>
      </c>
    </row>
    <row r="6" ht="15.75" customHeight="1">
      <c r="A6" s="1" t="s">
        <v>32</v>
      </c>
      <c r="B6" s="1" t="s">
        <v>33</v>
      </c>
      <c r="C6" s="1">
        <v>2024.0</v>
      </c>
      <c r="D6" s="1" t="s">
        <v>34</v>
      </c>
      <c r="E6" s="1" t="s">
        <v>35</v>
      </c>
      <c r="F6" s="1" t="s">
        <v>36</v>
      </c>
      <c r="G6" s="1">
        <v>0.0</v>
      </c>
      <c r="H6" s="1" t="s">
        <v>14</v>
      </c>
      <c r="I6" s="1" t="s">
        <v>15</v>
      </c>
    </row>
    <row r="7" ht="15.75" customHeight="1">
      <c r="A7" s="1" t="s">
        <v>37</v>
      </c>
      <c r="B7" s="1" t="s">
        <v>38</v>
      </c>
      <c r="C7" s="1">
        <v>2023.0</v>
      </c>
      <c r="D7" s="1" t="s">
        <v>39</v>
      </c>
      <c r="E7" s="1" t="s">
        <v>40</v>
      </c>
      <c r="F7" s="1" t="s">
        <v>41</v>
      </c>
      <c r="G7" s="1">
        <v>4.0</v>
      </c>
      <c r="H7" s="1" t="s">
        <v>14</v>
      </c>
      <c r="I7" s="1" t="s">
        <v>21</v>
      </c>
    </row>
    <row r="8" ht="15.75" customHeight="1">
      <c r="A8" s="1" t="s">
        <v>42</v>
      </c>
      <c r="B8" s="1" t="s">
        <v>43</v>
      </c>
      <c r="C8" s="1">
        <v>2023.0</v>
      </c>
      <c r="D8" s="1" t="s">
        <v>44</v>
      </c>
      <c r="F8" s="1" t="s">
        <v>45</v>
      </c>
      <c r="G8" s="1">
        <v>0.0</v>
      </c>
      <c r="H8" s="1" t="s">
        <v>14</v>
      </c>
      <c r="I8" s="1" t="s">
        <v>15</v>
      </c>
    </row>
    <row r="9" ht="15.75" customHeight="1">
      <c r="A9" s="1" t="s">
        <v>46</v>
      </c>
      <c r="B9" s="1" t="s">
        <v>47</v>
      </c>
      <c r="C9" s="1">
        <v>2024.0</v>
      </c>
      <c r="D9" s="1" t="s">
        <v>48</v>
      </c>
      <c r="E9" s="1" t="s">
        <v>49</v>
      </c>
      <c r="F9" s="1" t="s">
        <v>50</v>
      </c>
      <c r="G9" s="1">
        <v>0.0</v>
      </c>
      <c r="H9" s="1" t="s">
        <v>14</v>
      </c>
      <c r="I9" s="1" t="s">
        <v>21</v>
      </c>
    </row>
    <row r="10" ht="15.75" customHeight="1">
      <c r="A10" s="1" t="s">
        <v>51</v>
      </c>
      <c r="B10" s="1" t="s">
        <v>52</v>
      </c>
      <c r="C10" s="1">
        <v>2021.0</v>
      </c>
      <c r="D10" s="1" t="s">
        <v>53</v>
      </c>
      <c r="E10" s="1" t="s">
        <v>54</v>
      </c>
      <c r="F10" s="1" t="s">
        <v>55</v>
      </c>
      <c r="G10" s="1">
        <v>4.0</v>
      </c>
      <c r="H10" s="1" t="s">
        <v>14</v>
      </c>
      <c r="I10" s="1" t="s">
        <v>21</v>
      </c>
    </row>
    <row r="11" ht="15.75" customHeight="1">
      <c r="A11" s="1" t="s">
        <v>56</v>
      </c>
      <c r="B11" s="1" t="s">
        <v>57</v>
      </c>
      <c r="C11" s="1">
        <v>2024.0</v>
      </c>
      <c r="D11" s="1" t="s">
        <v>58</v>
      </c>
      <c r="E11" s="1" t="s">
        <v>59</v>
      </c>
      <c r="F11" s="1" t="s">
        <v>60</v>
      </c>
      <c r="G11" s="1">
        <v>0.0</v>
      </c>
      <c r="H11" s="1" t="s">
        <v>14</v>
      </c>
      <c r="I11" s="1" t="s">
        <v>21</v>
      </c>
    </row>
    <row r="12" ht="15.75" customHeight="1">
      <c r="A12" s="1" t="s">
        <v>61</v>
      </c>
      <c r="B12" s="1" t="s">
        <v>62</v>
      </c>
      <c r="C12" s="1">
        <v>2023.0</v>
      </c>
      <c r="D12" s="1" t="s">
        <v>63</v>
      </c>
      <c r="E12" s="1" t="s">
        <v>64</v>
      </c>
      <c r="F12" s="1" t="s">
        <v>65</v>
      </c>
      <c r="G12" s="1">
        <v>1.0</v>
      </c>
      <c r="H12" s="1" t="s">
        <v>14</v>
      </c>
      <c r="I12" s="1" t="s">
        <v>15</v>
      </c>
    </row>
    <row r="13" ht="15.75" customHeight="1">
      <c r="A13" s="1" t="s">
        <v>66</v>
      </c>
      <c r="B13" s="1" t="s">
        <v>67</v>
      </c>
      <c r="C13" s="1">
        <v>2023.0</v>
      </c>
      <c r="D13" s="1" t="s">
        <v>68</v>
      </c>
      <c r="E13" s="1" t="s">
        <v>69</v>
      </c>
      <c r="F13" s="1" t="s">
        <v>70</v>
      </c>
      <c r="G13" s="1">
        <v>0.0</v>
      </c>
      <c r="H13" s="1" t="s">
        <v>14</v>
      </c>
      <c r="I13" s="1" t="s">
        <v>15</v>
      </c>
    </row>
    <row r="14" ht="15.75" customHeight="1">
      <c r="A14" s="1" t="s">
        <v>71</v>
      </c>
      <c r="B14" s="1" t="s">
        <v>72</v>
      </c>
      <c r="C14" s="1">
        <v>2021.0</v>
      </c>
      <c r="D14" s="1" t="s">
        <v>73</v>
      </c>
      <c r="E14" s="1" t="s">
        <v>74</v>
      </c>
      <c r="F14" s="1" t="s">
        <v>75</v>
      </c>
      <c r="G14" s="1">
        <v>6.0</v>
      </c>
      <c r="H14" s="1" t="s">
        <v>14</v>
      </c>
      <c r="I14" s="1" t="s">
        <v>21</v>
      </c>
    </row>
    <row r="15" ht="15.75" customHeight="1">
      <c r="A15" s="1" t="s">
        <v>76</v>
      </c>
      <c r="B15" s="1" t="s">
        <v>77</v>
      </c>
      <c r="C15" s="1">
        <v>2023.0</v>
      </c>
      <c r="D15" s="1" t="s">
        <v>78</v>
      </c>
      <c r="E15" s="1" t="s">
        <v>79</v>
      </c>
      <c r="F15" s="1" t="s">
        <v>80</v>
      </c>
      <c r="G15" s="1">
        <v>0.0</v>
      </c>
      <c r="H15" s="1" t="s">
        <v>14</v>
      </c>
      <c r="I15" s="1" t="s">
        <v>15</v>
      </c>
    </row>
    <row r="16" ht="15.75" customHeight="1">
      <c r="A16" s="1" t="s">
        <v>81</v>
      </c>
      <c r="B16" s="1" t="s">
        <v>82</v>
      </c>
      <c r="C16" s="1">
        <v>2023.0</v>
      </c>
      <c r="D16" s="1" t="s">
        <v>78</v>
      </c>
      <c r="E16" s="1" t="s">
        <v>83</v>
      </c>
      <c r="F16" s="1" t="s">
        <v>84</v>
      </c>
      <c r="G16" s="1">
        <v>4.0</v>
      </c>
      <c r="H16" s="1" t="s">
        <v>14</v>
      </c>
      <c r="I16" s="1" t="s">
        <v>15</v>
      </c>
    </row>
    <row r="17" ht="15.75" customHeight="1">
      <c r="A17" s="1" t="s">
        <v>85</v>
      </c>
      <c r="B17" s="1" t="s">
        <v>86</v>
      </c>
      <c r="C17" s="1">
        <v>2023.0</v>
      </c>
      <c r="D17" s="1" t="s">
        <v>63</v>
      </c>
      <c r="E17" s="1" t="s">
        <v>87</v>
      </c>
      <c r="F17" s="1" t="s">
        <v>88</v>
      </c>
      <c r="G17" s="1">
        <v>4.0</v>
      </c>
      <c r="H17" s="1" t="s">
        <v>14</v>
      </c>
      <c r="I17" s="1" t="s">
        <v>15</v>
      </c>
    </row>
    <row r="18" ht="15.75" customHeight="1">
      <c r="A18" s="1" t="s">
        <v>89</v>
      </c>
      <c r="B18" s="1" t="s">
        <v>90</v>
      </c>
      <c r="C18" s="1">
        <v>2024.0</v>
      </c>
      <c r="D18" s="1" t="s">
        <v>91</v>
      </c>
      <c r="E18" s="1" t="s">
        <v>92</v>
      </c>
      <c r="F18" s="1" t="s">
        <v>93</v>
      </c>
      <c r="G18" s="1">
        <v>0.0</v>
      </c>
      <c r="H18" s="1" t="s">
        <v>14</v>
      </c>
      <c r="I18" s="1" t="s">
        <v>21</v>
      </c>
    </row>
    <row r="19" ht="15.75" customHeight="1">
      <c r="A19" s="1" t="s">
        <v>94</v>
      </c>
      <c r="B19" s="1" t="s">
        <v>95</v>
      </c>
      <c r="C19" s="1">
        <v>2023.0</v>
      </c>
      <c r="D19" s="1" t="s">
        <v>96</v>
      </c>
      <c r="E19" s="1" t="s">
        <v>97</v>
      </c>
      <c r="F19" s="1" t="s">
        <v>98</v>
      </c>
      <c r="G19" s="1">
        <v>1.0</v>
      </c>
      <c r="H19" s="1" t="s">
        <v>14</v>
      </c>
      <c r="I19" s="1" t="s">
        <v>15</v>
      </c>
    </row>
    <row r="20" ht="15.75" customHeight="1">
      <c r="A20" s="1" t="s">
        <v>99</v>
      </c>
      <c r="B20" s="1" t="s">
        <v>100</v>
      </c>
      <c r="C20" s="1">
        <v>2023.0</v>
      </c>
      <c r="D20" s="1" t="s">
        <v>101</v>
      </c>
      <c r="E20" s="1" t="s">
        <v>102</v>
      </c>
      <c r="F20" s="1" t="s">
        <v>103</v>
      </c>
      <c r="G20" s="1">
        <v>3.0</v>
      </c>
      <c r="H20" s="1" t="s">
        <v>14</v>
      </c>
      <c r="I20" s="1" t="s">
        <v>21</v>
      </c>
    </row>
    <row r="21" ht="15.75" customHeight="1">
      <c r="A21" s="1" t="s">
        <v>104</v>
      </c>
      <c r="B21" s="1" t="s">
        <v>105</v>
      </c>
      <c r="C21" s="1">
        <v>2024.0</v>
      </c>
      <c r="D21" s="1" t="s">
        <v>106</v>
      </c>
      <c r="E21" s="1" t="s">
        <v>107</v>
      </c>
      <c r="F21" s="1" t="s">
        <v>108</v>
      </c>
      <c r="G21" s="1">
        <v>0.0</v>
      </c>
      <c r="H21" s="1" t="s">
        <v>14</v>
      </c>
      <c r="I21" s="1" t="s">
        <v>21</v>
      </c>
    </row>
    <row r="22" ht="15.75" customHeight="1">
      <c r="A22" s="1" t="s">
        <v>109</v>
      </c>
      <c r="B22" s="1" t="s">
        <v>110</v>
      </c>
      <c r="C22" s="1">
        <v>2022.0</v>
      </c>
      <c r="D22" s="1" t="s">
        <v>111</v>
      </c>
      <c r="E22" s="1" t="s">
        <v>112</v>
      </c>
      <c r="F22" s="1" t="s">
        <v>113</v>
      </c>
      <c r="G22" s="1">
        <v>0.0</v>
      </c>
      <c r="H22" s="1" t="s">
        <v>14</v>
      </c>
      <c r="I22" s="1" t="s">
        <v>21</v>
      </c>
    </row>
    <row r="23" ht="15.75" customHeight="1">
      <c r="A23" s="1" t="s">
        <v>114</v>
      </c>
      <c r="B23" s="1" t="s">
        <v>115</v>
      </c>
      <c r="C23" s="1">
        <v>2022.0</v>
      </c>
      <c r="D23" s="1" t="s">
        <v>96</v>
      </c>
      <c r="E23" s="1" t="s">
        <v>116</v>
      </c>
      <c r="F23" s="1" t="s">
        <v>117</v>
      </c>
      <c r="G23" s="1">
        <v>0.0</v>
      </c>
      <c r="H23" s="1" t="s">
        <v>14</v>
      </c>
      <c r="I23" s="1" t="s">
        <v>15</v>
      </c>
    </row>
    <row r="24" ht="15.75" customHeight="1">
      <c r="A24" s="1" t="s">
        <v>118</v>
      </c>
      <c r="B24" s="1" t="s">
        <v>119</v>
      </c>
      <c r="C24" s="1">
        <v>2022.0</v>
      </c>
      <c r="D24" s="1" t="s">
        <v>120</v>
      </c>
      <c r="F24" s="1" t="s">
        <v>121</v>
      </c>
      <c r="G24" s="1">
        <v>0.0</v>
      </c>
      <c r="H24" s="1" t="s">
        <v>14</v>
      </c>
      <c r="I24" s="1" t="s">
        <v>15</v>
      </c>
    </row>
    <row r="25" ht="15.75" customHeight="1">
      <c r="A25" s="1" t="s">
        <v>122</v>
      </c>
      <c r="B25" s="1" t="s">
        <v>123</v>
      </c>
      <c r="C25" s="1">
        <v>2023.0</v>
      </c>
      <c r="D25" s="1" t="s">
        <v>124</v>
      </c>
      <c r="E25" s="1" t="s">
        <v>125</v>
      </c>
      <c r="F25" s="1" t="s">
        <v>126</v>
      </c>
      <c r="G25" s="1">
        <v>0.0</v>
      </c>
      <c r="H25" s="1" t="s">
        <v>14</v>
      </c>
      <c r="I25" s="1" t="s">
        <v>21</v>
      </c>
    </row>
    <row r="26" ht="15.75" customHeight="1">
      <c r="A26" s="1" t="s">
        <v>127</v>
      </c>
      <c r="B26" s="1" t="s">
        <v>128</v>
      </c>
      <c r="C26" s="1">
        <v>2023.0</v>
      </c>
      <c r="D26" s="1" t="s">
        <v>129</v>
      </c>
      <c r="E26" s="1" t="s">
        <v>130</v>
      </c>
      <c r="F26" s="1" t="s">
        <v>131</v>
      </c>
      <c r="G26" s="1">
        <v>2.0</v>
      </c>
      <c r="H26" s="1" t="s">
        <v>14</v>
      </c>
      <c r="I26" s="1" t="s">
        <v>21</v>
      </c>
    </row>
    <row r="27" ht="15.75" customHeight="1">
      <c r="A27" s="1" t="s">
        <v>132</v>
      </c>
      <c r="B27" s="1" t="s">
        <v>133</v>
      </c>
      <c r="C27" s="1">
        <v>2023.0</v>
      </c>
      <c r="D27" s="1" t="s">
        <v>134</v>
      </c>
      <c r="E27" s="1" t="s">
        <v>135</v>
      </c>
      <c r="F27" s="1" t="s">
        <v>136</v>
      </c>
      <c r="G27" s="1">
        <v>1.0</v>
      </c>
      <c r="H27" s="1" t="s">
        <v>14</v>
      </c>
      <c r="I27" s="1" t="s">
        <v>21</v>
      </c>
    </row>
    <row r="28" ht="15.75" customHeight="1">
      <c r="A28" s="1" t="s">
        <v>137</v>
      </c>
      <c r="B28" s="1" t="s">
        <v>138</v>
      </c>
      <c r="C28" s="1">
        <v>2023.0</v>
      </c>
      <c r="D28" s="1" t="s">
        <v>139</v>
      </c>
      <c r="E28" s="1" t="s">
        <v>140</v>
      </c>
      <c r="F28" s="1" t="s">
        <v>141</v>
      </c>
      <c r="G28" s="1">
        <v>1.0</v>
      </c>
      <c r="H28" s="1" t="s">
        <v>14</v>
      </c>
      <c r="I28" s="1" t="s">
        <v>15</v>
      </c>
    </row>
    <row r="29" ht="15.75" customHeight="1">
      <c r="A29" s="1" t="s">
        <v>142</v>
      </c>
      <c r="B29" s="1" t="s">
        <v>143</v>
      </c>
      <c r="C29" s="1">
        <v>2022.0</v>
      </c>
      <c r="D29" s="1" t="s">
        <v>63</v>
      </c>
      <c r="E29" s="1" t="s">
        <v>144</v>
      </c>
      <c r="F29" s="1" t="s">
        <v>145</v>
      </c>
      <c r="G29" s="1">
        <v>1.0</v>
      </c>
      <c r="H29" s="1" t="s">
        <v>14</v>
      </c>
      <c r="I29" s="1" t="s">
        <v>15</v>
      </c>
    </row>
    <row r="30" ht="15.75" customHeight="1">
      <c r="A30" s="1" t="s">
        <v>146</v>
      </c>
      <c r="B30" s="1" t="s">
        <v>147</v>
      </c>
      <c r="C30" s="1">
        <v>2023.0</v>
      </c>
      <c r="D30" s="1" t="s">
        <v>148</v>
      </c>
      <c r="E30" s="1" t="s">
        <v>149</v>
      </c>
      <c r="F30" s="1" t="s">
        <v>150</v>
      </c>
      <c r="G30" s="1">
        <v>0.0</v>
      </c>
      <c r="H30" s="1" t="s">
        <v>14</v>
      </c>
      <c r="I30" s="1" t="s">
        <v>15</v>
      </c>
    </row>
    <row r="31" ht="15.75" customHeight="1">
      <c r="A31" s="1" t="s">
        <v>151</v>
      </c>
      <c r="B31" s="1" t="s">
        <v>152</v>
      </c>
      <c r="C31" s="1">
        <v>2022.0</v>
      </c>
      <c r="D31" s="1" t="s">
        <v>153</v>
      </c>
      <c r="E31" s="1" t="s">
        <v>154</v>
      </c>
      <c r="F31" s="1" t="s">
        <v>155</v>
      </c>
      <c r="G31" s="1">
        <v>0.0</v>
      </c>
      <c r="H31" s="1" t="s">
        <v>14</v>
      </c>
      <c r="I31" s="1" t="s">
        <v>15</v>
      </c>
    </row>
    <row r="32" ht="15.75" customHeight="1">
      <c r="A32" s="1" t="s">
        <v>156</v>
      </c>
      <c r="B32" s="1" t="s">
        <v>157</v>
      </c>
      <c r="C32" s="1">
        <v>2022.0</v>
      </c>
      <c r="D32" s="1" t="s">
        <v>63</v>
      </c>
      <c r="E32" s="1" t="s">
        <v>158</v>
      </c>
      <c r="F32" s="1" t="s">
        <v>159</v>
      </c>
      <c r="G32" s="1">
        <v>0.0</v>
      </c>
      <c r="H32" s="1" t="s">
        <v>14</v>
      </c>
      <c r="I32" s="1" t="s">
        <v>15</v>
      </c>
    </row>
    <row r="33" ht="15.75" customHeight="1">
      <c r="A33" s="1" t="s">
        <v>160</v>
      </c>
      <c r="B33" s="1" t="s">
        <v>161</v>
      </c>
      <c r="C33" s="1">
        <v>2024.0</v>
      </c>
      <c r="D33" s="1" t="s">
        <v>162</v>
      </c>
      <c r="E33" s="1" t="s">
        <v>163</v>
      </c>
      <c r="F33" s="1" t="s">
        <v>164</v>
      </c>
      <c r="G33" s="1">
        <v>0.0</v>
      </c>
      <c r="H33" s="1" t="s">
        <v>14</v>
      </c>
      <c r="I33" s="1" t="s">
        <v>21</v>
      </c>
    </row>
    <row r="34" ht="15.75" customHeight="1">
      <c r="A34" s="1" t="s">
        <v>165</v>
      </c>
      <c r="B34" s="1" t="s">
        <v>166</v>
      </c>
      <c r="C34" s="1">
        <v>2023.0</v>
      </c>
      <c r="D34" s="1" t="s">
        <v>167</v>
      </c>
      <c r="E34" s="1" t="s">
        <v>168</v>
      </c>
      <c r="F34" s="1" t="s">
        <v>169</v>
      </c>
      <c r="G34" s="1">
        <v>0.0</v>
      </c>
      <c r="H34" s="1" t="s">
        <v>14</v>
      </c>
      <c r="I34" s="1" t="s">
        <v>15</v>
      </c>
    </row>
    <row r="35" ht="15.75" customHeight="1">
      <c r="A35" s="1" t="s">
        <v>170</v>
      </c>
      <c r="B35" s="1" t="s">
        <v>171</v>
      </c>
      <c r="C35" s="1">
        <v>2023.0</v>
      </c>
      <c r="D35" s="1" t="s">
        <v>172</v>
      </c>
      <c r="E35" s="1" t="s">
        <v>173</v>
      </c>
      <c r="F35" s="1" t="s">
        <v>174</v>
      </c>
      <c r="G35" s="1">
        <v>0.0</v>
      </c>
      <c r="H35" s="1" t="s">
        <v>14</v>
      </c>
      <c r="I35" s="1" t="s">
        <v>21</v>
      </c>
    </row>
    <row r="36" ht="15.75" customHeight="1">
      <c r="A36" s="1" t="s">
        <v>175</v>
      </c>
      <c r="B36" s="1" t="s">
        <v>176</v>
      </c>
      <c r="C36" s="1">
        <v>2024.0</v>
      </c>
      <c r="D36" s="1" t="s">
        <v>177</v>
      </c>
      <c r="E36" s="1" t="s">
        <v>178</v>
      </c>
      <c r="F36" s="1" t="s">
        <v>179</v>
      </c>
      <c r="G36" s="1">
        <v>1.0</v>
      </c>
      <c r="H36" s="1" t="s">
        <v>14</v>
      </c>
      <c r="I36" s="1" t="s">
        <v>21</v>
      </c>
    </row>
    <row r="37" ht="15.75" customHeight="1">
      <c r="A37" s="1" t="s">
        <v>180</v>
      </c>
      <c r="B37" s="1" t="s">
        <v>181</v>
      </c>
      <c r="C37" s="1">
        <v>2022.0</v>
      </c>
      <c r="D37" s="1" t="s">
        <v>182</v>
      </c>
      <c r="E37" s="1" t="s">
        <v>183</v>
      </c>
      <c r="F37" s="1" t="s">
        <v>184</v>
      </c>
      <c r="G37" s="1">
        <v>0.0</v>
      </c>
      <c r="H37" s="1" t="s">
        <v>14</v>
      </c>
      <c r="I37" s="1" t="s">
        <v>21</v>
      </c>
    </row>
    <row r="38" ht="15.75" customHeight="1">
      <c r="A38" s="1" t="s">
        <v>185</v>
      </c>
      <c r="B38" s="1" t="s">
        <v>186</v>
      </c>
      <c r="C38" s="1">
        <v>2023.0</v>
      </c>
      <c r="D38" s="1" t="s">
        <v>187</v>
      </c>
      <c r="E38" s="1" t="s">
        <v>188</v>
      </c>
      <c r="F38" s="1" t="s">
        <v>189</v>
      </c>
      <c r="G38" s="1">
        <v>1.0</v>
      </c>
      <c r="H38" s="1" t="s">
        <v>14</v>
      </c>
      <c r="I38" s="1" t="s">
        <v>21</v>
      </c>
    </row>
    <row r="39" ht="15.75" customHeight="1">
      <c r="A39" s="1" t="s">
        <v>190</v>
      </c>
      <c r="B39" s="1" t="s">
        <v>191</v>
      </c>
      <c r="C39" s="1">
        <v>2022.0</v>
      </c>
      <c r="D39" s="1" t="s">
        <v>192</v>
      </c>
      <c r="E39" s="1" t="s">
        <v>193</v>
      </c>
      <c r="F39" s="1" t="s">
        <v>194</v>
      </c>
      <c r="G39" s="1">
        <v>1.0</v>
      </c>
      <c r="H39" s="1" t="s">
        <v>14</v>
      </c>
      <c r="I39" s="1" t="s">
        <v>21</v>
      </c>
    </row>
    <row r="40" ht="15.75" customHeight="1">
      <c r="A40" s="1" t="s">
        <v>195</v>
      </c>
      <c r="B40" s="1" t="s">
        <v>196</v>
      </c>
      <c r="C40" s="1">
        <v>2023.0</v>
      </c>
      <c r="D40" s="1" t="s">
        <v>197</v>
      </c>
      <c r="E40" s="1" t="s">
        <v>198</v>
      </c>
      <c r="F40" s="1" t="s">
        <v>199</v>
      </c>
      <c r="G40" s="1">
        <v>1.0</v>
      </c>
      <c r="H40" s="1" t="s">
        <v>14</v>
      </c>
      <c r="I40" s="1" t="s">
        <v>21</v>
      </c>
    </row>
    <row r="41" ht="15.75" customHeight="1">
      <c r="A41" s="1" t="s">
        <v>200</v>
      </c>
      <c r="B41" s="1" t="s">
        <v>201</v>
      </c>
      <c r="C41" s="1">
        <v>2023.0</v>
      </c>
      <c r="D41" s="1" t="s">
        <v>197</v>
      </c>
      <c r="E41" s="1" t="s">
        <v>202</v>
      </c>
      <c r="F41" s="1" t="s">
        <v>203</v>
      </c>
      <c r="G41" s="1">
        <v>0.0</v>
      </c>
      <c r="H41" s="1" t="s">
        <v>14</v>
      </c>
      <c r="I41" s="1" t="s">
        <v>21</v>
      </c>
    </row>
    <row r="42" ht="15.75" customHeight="1">
      <c r="A42" s="1" t="s">
        <v>204</v>
      </c>
      <c r="B42" s="1" t="s">
        <v>205</v>
      </c>
      <c r="C42" s="1">
        <v>2022.0</v>
      </c>
      <c r="D42" s="1" t="s">
        <v>206</v>
      </c>
      <c r="E42" s="1" t="s">
        <v>207</v>
      </c>
      <c r="F42" s="1" t="s">
        <v>208</v>
      </c>
      <c r="G42" s="1">
        <v>0.0</v>
      </c>
      <c r="H42" s="1" t="s">
        <v>14</v>
      </c>
      <c r="I42" s="1" t="s">
        <v>21</v>
      </c>
    </row>
    <row r="43" ht="15.75" customHeight="1">
      <c r="A43" s="1" t="s">
        <v>209</v>
      </c>
      <c r="B43" s="1" t="s">
        <v>210</v>
      </c>
      <c r="C43" s="1">
        <v>2021.0</v>
      </c>
      <c r="D43" s="1" t="s">
        <v>211</v>
      </c>
      <c r="E43" s="1" t="s">
        <v>212</v>
      </c>
      <c r="F43" s="1" t="s">
        <v>213</v>
      </c>
      <c r="G43" s="1">
        <v>16.0</v>
      </c>
      <c r="H43" s="1" t="s">
        <v>14</v>
      </c>
      <c r="I43" s="1" t="s">
        <v>21</v>
      </c>
    </row>
    <row r="44" ht="15.75" customHeight="1">
      <c r="A44" s="1" t="s">
        <v>214</v>
      </c>
      <c r="B44" s="1" t="s">
        <v>215</v>
      </c>
      <c r="C44" s="1">
        <v>2023.0</v>
      </c>
      <c r="D44" s="1" t="s">
        <v>216</v>
      </c>
      <c r="E44" s="1" t="s">
        <v>217</v>
      </c>
      <c r="F44" s="1" t="s">
        <v>218</v>
      </c>
      <c r="G44" s="1">
        <v>10.0</v>
      </c>
      <c r="H44" s="1" t="s">
        <v>14</v>
      </c>
      <c r="I44" s="1" t="s">
        <v>21</v>
      </c>
    </row>
    <row r="45" ht="15.75" customHeight="1">
      <c r="A45" s="1" t="s">
        <v>219</v>
      </c>
      <c r="B45" s="1" t="s">
        <v>220</v>
      </c>
      <c r="C45" s="1">
        <v>2022.0</v>
      </c>
      <c r="D45" s="1" t="s">
        <v>221</v>
      </c>
      <c r="E45" s="1" t="s">
        <v>222</v>
      </c>
      <c r="F45" s="1" t="s">
        <v>223</v>
      </c>
      <c r="G45" s="1">
        <v>25.0</v>
      </c>
      <c r="H45" s="1" t="s">
        <v>14</v>
      </c>
      <c r="I45" s="1" t="s">
        <v>21</v>
      </c>
    </row>
    <row r="46" ht="15.75" customHeight="1">
      <c r="A46" s="1" t="s">
        <v>224</v>
      </c>
      <c r="B46" s="1" t="s">
        <v>225</v>
      </c>
      <c r="C46" s="1">
        <v>2022.0</v>
      </c>
      <c r="D46" s="1" t="s">
        <v>226</v>
      </c>
      <c r="E46" s="1" t="s">
        <v>227</v>
      </c>
      <c r="F46" s="1" t="s">
        <v>228</v>
      </c>
      <c r="G46" s="1">
        <v>8.0</v>
      </c>
      <c r="H46" s="1" t="s">
        <v>14</v>
      </c>
      <c r="I46" s="1" t="s">
        <v>15</v>
      </c>
    </row>
    <row r="47" ht="15.75" customHeight="1">
      <c r="A47" s="1" t="s">
        <v>229</v>
      </c>
      <c r="B47" s="1" t="s">
        <v>230</v>
      </c>
      <c r="C47" s="1">
        <v>2023.0</v>
      </c>
      <c r="D47" s="1" t="s">
        <v>24</v>
      </c>
      <c r="E47" s="1" t="s">
        <v>231</v>
      </c>
      <c r="F47" s="1" t="s">
        <v>232</v>
      </c>
      <c r="G47" s="1">
        <v>0.0</v>
      </c>
      <c r="H47" s="1" t="s">
        <v>14</v>
      </c>
      <c r="I47" s="1" t="s">
        <v>21</v>
      </c>
    </row>
    <row r="48" ht="15.75" customHeight="1">
      <c r="A48" s="1" t="s">
        <v>233</v>
      </c>
      <c r="B48" s="1" t="s">
        <v>234</v>
      </c>
      <c r="C48" s="1">
        <v>2023.0</v>
      </c>
      <c r="D48" s="1" t="s">
        <v>124</v>
      </c>
      <c r="E48" s="1" t="s">
        <v>235</v>
      </c>
      <c r="F48" s="1" t="s">
        <v>236</v>
      </c>
      <c r="G48" s="1">
        <v>0.0</v>
      </c>
      <c r="H48" s="1" t="s">
        <v>14</v>
      </c>
      <c r="I48" s="1" t="s">
        <v>21</v>
      </c>
    </row>
    <row r="49" ht="15.75" customHeight="1">
      <c r="A49" s="1" t="s">
        <v>237</v>
      </c>
      <c r="B49" s="1" t="s">
        <v>238</v>
      </c>
      <c r="C49" s="1">
        <v>2024.0</v>
      </c>
      <c r="D49" s="1" t="s">
        <v>239</v>
      </c>
      <c r="E49" s="1" t="s">
        <v>240</v>
      </c>
      <c r="F49" s="1" t="s">
        <v>241</v>
      </c>
      <c r="G49" s="1">
        <v>0.0</v>
      </c>
      <c r="H49" s="1" t="s">
        <v>14</v>
      </c>
      <c r="I49" s="1" t="s">
        <v>21</v>
      </c>
    </row>
    <row r="50" ht="15.75" customHeight="1">
      <c r="A50" s="1" t="s">
        <v>242</v>
      </c>
      <c r="B50" s="1" t="s">
        <v>243</v>
      </c>
      <c r="C50" s="1">
        <v>2023.0</v>
      </c>
      <c r="D50" s="1" t="s">
        <v>244</v>
      </c>
      <c r="F50" s="1" t="s">
        <v>245</v>
      </c>
      <c r="G50" s="1">
        <v>0.0</v>
      </c>
      <c r="H50" s="1" t="s">
        <v>14</v>
      </c>
      <c r="I50" s="1" t="s">
        <v>15</v>
      </c>
    </row>
    <row r="51" ht="15.75" customHeight="1">
      <c r="A51" s="1" t="s">
        <v>246</v>
      </c>
      <c r="B51" s="1" t="s">
        <v>247</v>
      </c>
      <c r="C51" s="1">
        <v>2024.0</v>
      </c>
      <c r="D51" s="1" t="s">
        <v>248</v>
      </c>
      <c r="E51" s="1" t="s">
        <v>249</v>
      </c>
      <c r="F51" s="1" t="s">
        <v>250</v>
      </c>
      <c r="G51" s="1">
        <v>0.0</v>
      </c>
      <c r="H51" s="1" t="s">
        <v>14</v>
      </c>
      <c r="I51" s="1" t="s">
        <v>15</v>
      </c>
    </row>
    <row r="52" ht="15.75" customHeight="1">
      <c r="A52" s="1" t="s">
        <v>251</v>
      </c>
      <c r="B52" s="1" t="s">
        <v>252</v>
      </c>
      <c r="C52" s="1">
        <v>2021.0</v>
      </c>
      <c r="D52" s="1" t="s">
        <v>253</v>
      </c>
      <c r="E52" s="1" t="s">
        <v>254</v>
      </c>
      <c r="F52" s="1" t="s">
        <v>255</v>
      </c>
      <c r="G52" s="1">
        <v>2.0</v>
      </c>
      <c r="H52" s="1" t="s">
        <v>14</v>
      </c>
      <c r="I52" s="1" t="s">
        <v>21</v>
      </c>
    </row>
    <row r="53" ht="15.75" customHeight="1">
      <c r="A53" s="1" t="s">
        <v>256</v>
      </c>
      <c r="B53" s="1" t="s">
        <v>257</v>
      </c>
      <c r="C53" s="1">
        <v>2024.0</v>
      </c>
      <c r="D53" s="1" t="s">
        <v>78</v>
      </c>
      <c r="E53" s="1" t="s">
        <v>258</v>
      </c>
      <c r="F53" s="1" t="s">
        <v>259</v>
      </c>
      <c r="G53" s="1">
        <v>0.0</v>
      </c>
      <c r="H53" s="1" t="s">
        <v>14</v>
      </c>
      <c r="I53" s="1" t="s">
        <v>15</v>
      </c>
    </row>
    <row r="54" ht="15.75" customHeight="1">
      <c r="A54" s="1" t="s">
        <v>260</v>
      </c>
      <c r="B54" s="1" t="s">
        <v>261</v>
      </c>
      <c r="C54" s="1">
        <v>2023.0</v>
      </c>
      <c r="D54" s="1" t="s">
        <v>262</v>
      </c>
      <c r="E54" s="1" t="s">
        <v>263</v>
      </c>
      <c r="F54" s="1" t="s">
        <v>264</v>
      </c>
      <c r="G54" s="1">
        <v>0.0</v>
      </c>
      <c r="H54" s="1" t="s">
        <v>14</v>
      </c>
      <c r="I54" s="1" t="s">
        <v>15</v>
      </c>
    </row>
    <row r="55" ht="15.75" customHeight="1">
      <c r="A55" s="1" t="s">
        <v>265</v>
      </c>
      <c r="B55" s="1" t="s">
        <v>266</v>
      </c>
      <c r="C55" s="1">
        <v>2023.0</v>
      </c>
      <c r="D55" s="1" t="s">
        <v>267</v>
      </c>
      <c r="E55" s="1" t="s">
        <v>268</v>
      </c>
      <c r="F55" s="1" t="s">
        <v>269</v>
      </c>
      <c r="G55" s="1">
        <v>0.0</v>
      </c>
      <c r="H55" s="1" t="s">
        <v>14</v>
      </c>
      <c r="I55" s="1" t="s">
        <v>21</v>
      </c>
    </row>
    <row r="56" ht="15.75" customHeight="1">
      <c r="A56" s="1" t="s">
        <v>270</v>
      </c>
      <c r="B56" s="1" t="s">
        <v>271</v>
      </c>
      <c r="C56" s="1">
        <v>2024.0</v>
      </c>
      <c r="D56" s="1" t="s">
        <v>272</v>
      </c>
      <c r="E56" s="1" t="s">
        <v>273</v>
      </c>
      <c r="F56" s="1" t="s">
        <v>274</v>
      </c>
      <c r="G56" s="1">
        <v>0.0</v>
      </c>
      <c r="H56" s="1" t="s">
        <v>14</v>
      </c>
      <c r="I56" s="1" t="s">
        <v>15</v>
      </c>
    </row>
    <row r="57" ht="15.75" customHeight="1">
      <c r="A57" s="1" t="s">
        <v>275</v>
      </c>
      <c r="B57" s="1" t="s">
        <v>276</v>
      </c>
      <c r="C57" s="1">
        <v>2023.0</v>
      </c>
      <c r="D57" s="1" t="s">
        <v>277</v>
      </c>
      <c r="E57" s="1" t="s">
        <v>278</v>
      </c>
      <c r="F57" s="1" t="s">
        <v>279</v>
      </c>
      <c r="G57" s="1">
        <v>0.0</v>
      </c>
      <c r="H57" s="1" t="s">
        <v>14</v>
      </c>
      <c r="I57" s="1" t="s">
        <v>15</v>
      </c>
    </row>
    <row r="58" ht="15.75" customHeight="1">
      <c r="A58" s="1" t="s">
        <v>280</v>
      </c>
      <c r="B58" s="1" t="s">
        <v>281</v>
      </c>
      <c r="C58" s="1">
        <v>2022.0</v>
      </c>
      <c r="D58" s="1" t="s">
        <v>282</v>
      </c>
      <c r="E58" s="1" t="s">
        <v>283</v>
      </c>
      <c r="F58" s="1" t="s">
        <v>284</v>
      </c>
      <c r="G58" s="1">
        <v>1.0</v>
      </c>
      <c r="H58" s="1" t="s">
        <v>14</v>
      </c>
      <c r="I58" s="1" t="s">
        <v>21</v>
      </c>
    </row>
    <row r="59" ht="15.75" customHeight="1">
      <c r="A59" s="1" t="s">
        <v>285</v>
      </c>
      <c r="B59" s="1" t="s">
        <v>286</v>
      </c>
      <c r="C59" s="1">
        <v>2022.0</v>
      </c>
      <c r="D59" s="1" t="s">
        <v>287</v>
      </c>
      <c r="E59" s="1" t="s">
        <v>288</v>
      </c>
      <c r="F59" s="1" t="s">
        <v>289</v>
      </c>
      <c r="G59" s="1">
        <v>2.0</v>
      </c>
      <c r="H59" s="1" t="s">
        <v>14</v>
      </c>
      <c r="I59" s="1" t="s">
        <v>21</v>
      </c>
    </row>
    <row r="60" ht="15.75" customHeight="1">
      <c r="A60" s="1" t="s">
        <v>290</v>
      </c>
      <c r="B60" s="1" t="s">
        <v>291</v>
      </c>
      <c r="C60" s="1">
        <v>2022.0</v>
      </c>
      <c r="D60" s="1" t="s">
        <v>292</v>
      </c>
      <c r="E60" s="1" t="s">
        <v>293</v>
      </c>
      <c r="F60" s="1" t="s">
        <v>294</v>
      </c>
      <c r="G60" s="1">
        <v>2.0</v>
      </c>
      <c r="H60" s="1" t="s">
        <v>14</v>
      </c>
      <c r="I60" s="1" t="s">
        <v>15</v>
      </c>
    </row>
    <row r="61" ht="15.75" customHeight="1">
      <c r="A61" s="1" t="s">
        <v>295</v>
      </c>
      <c r="B61" s="1" t="s">
        <v>296</v>
      </c>
      <c r="C61" s="1">
        <v>2022.0</v>
      </c>
      <c r="D61" s="1" t="s">
        <v>297</v>
      </c>
      <c r="E61" s="1" t="s">
        <v>298</v>
      </c>
      <c r="F61" s="1" t="s">
        <v>299</v>
      </c>
      <c r="G61" s="1">
        <v>1.0</v>
      </c>
      <c r="H61" s="1" t="s">
        <v>14</v>
      </c>
      <c r="I61" s="1" t="s">
        <v>15</v>
      </c>
    </row>
    <row r="62" ht="15.75" customHeight="1">
      <c r="A62" s="1" t="s">
        <v>300</v>
      </c>
      <c r="B62" s="1" t="s">
        <v>301</v>
      </c>
      <c r="C62" s="1">
        <v>2022.0</v>
      </c>
      <c r="D62" s="1" t="s">
        <v>302</v>
      </c>
      <c r="E62" s="1" t="s">
        <v>303</v>
      </c>
      <c r="F62" s="1" t="s">
        <v>304</v>
      </c>
      <c r="G62" s="1">
        <v>0.0</v>
      </c>
      <c r="H62" s="1" t="s">
        <v>14</v>
      </c>
      <c r="I62" s="1" t="s">
        <v>15</v>
      </c>
    </row>
    <row r="63" ht="15.75" customHeight="1">
      <c r="A63" s="1" t="s">
        <v>305</v>
      </c>
      <c r="B63" s="1" t="s">
        <v>306</v>
      </c>
      <c r="C63" s="1">
        <v>2023.0</v>
      </c>
      <c r="D63" s="1" t="s">
        <v>78</v>
      </c>
      <c r="E63" s="1" t="s">
        <v>307</v>
      </c>
      <c r="F63" s="1" t="s">
        <v>308</v>
      </c>
      <c r="G63" s="1">
        <v>0.0</v>
      </c>
      <c r="H63" s="1" t="s">
        <v>14</v>
      </c>
      <c r="I63" s="1" t="s">
        <v>15</v>
      </c>
    </row>
    <row r="64" ht="15.75" customHeight="1">
      <c r="A64" s="1" t="s">
        <v>309</v>
      </c>
      <c r="B64" s="1" t="s">
        <v>310</v>
      </c>
      <c r="C64" s="1">
        <v>2022.0</v>
      </c>
      <c r="D64" s="1" t="s">
        <v>311</v>
      </c>
      <c r="E64" s="1" t="s">
        <v>312</v>
      </c>
      <c r="F64" s="1" t="s">
        <v>313</v>
      </c>
      <c r="G64" s="1">
        <v>2.0</v>
      </c>
      <c r="H64" s="1" t="s">
        <v>14</v>
      </c>
      <c r="I64" s="1" t="s">
        <v>21</v>
      </c>
    </row>
    <row r="65" ht="15.75" customHeight="1">
      <c r="A65" s="1" t="s">
        <v>314</v>
      </c>
      <c r="B65" s="1" t="s">
        <v>315</v>
      </c>
      <c r="C65" s="1">
        <v>2024.0</v>
      </c>
      <c r="D65" s="1" t="s">
        <v>211</v>
      </c>
      <c r="E65" s="1" t="s">
        <v>316</v>
      </c>
      <c r="F65" s="1" t="s">
        <v>317</v>
      </c>
      <c r="G65" s="1">
        <v>0.0</v>
      </c>
      <c r="H65" s="1" t="s">
        <v>14</v>
      </c>
      <c r="I65" s="1" t="s">
        <v>21</v>
      </c>
    </row>
    <row r="66" ht="15.75" customHeight="1">
      <c r="A66" s="1" t="s">
        <v>318</v>
      </c>
      <c r="B66" s="1" t="s">
        <v>319</v>
      </c>
      <c r="C66" s="1">
        <v>2022.0</v>
      </c>
      <c r="D66" s="1" t="s">
        <v>320</v>
      </c>
      <c r="E66" s="1" t="s">
        <v>321</v>
      </c>
      <c r="F66" s="1" t="s">
        <v>322</v>
      </c>
      <c r="G66" s="1">
        <v>0.0</v>
      </c>
      <c r="H66" s="1" t="s">
        <v>14</v>
      </c>
      <c r="I66" s="1" t="s">
        <v>15</v>
      </c>
    </row>
    <row r="67" ht="15.75" customHeight="1">
      <c r="A67" s="1" t="s">
        <v>323</v>
      </c>
      <c r="B67" s="1" t="s">
        <v>324</v>
      </c>
      <c r="C67" s="1">
        <v>2023.0</v>
      </c>
      <c r="D67" s="1" t="s">
        <v>78</v>
      </c>
      <c r="E67" s="1" t="s">
        <v>325</v>
      </c>
      <c r="F67" s="1" t="s">
        <v>326</v>
      </c>
      <c r="G67" s="1">
        <v>0.0</v>
      </c>
      <c r="H67" s="1" t="s">
        <v>14</v>
      </c>
      <c r="I67" s="1" t="s">
        <v>15</v>
      </c>
    </row>
    <row r="68" ht="15.75" customHeight="1">
      <c r="A68" s="1" t="s">
        <v>327</v>
      </c>
      <c r="B68" s="1" t="s">
        <v>328</v>
      </c>
      <c r="C68" s="1">
        <v>2023.0</v>
      </c>
      <c r="D68" s="1" t="s">
        <v>329</v>
      </c>
      <c r="E68" s="1" t="s">
        <v>330</v>
      </c>
      <c r="F68" s="1" t="s">
        <v>331</v>
      </c>
      <c r="G68" s="1">
        <v>0.0</v>
      </c>
      <c r="H68" s="1" t="s">
        <v>14</v>
      </c>
      <c r="I68" s="1" t="s">
        <v>15</v>
      </c>
    </row>
    <row r="69" ht="15.75" customHeight="1">
      <c r="A69" s="1" t="s">
        <v>332</v>
      </c>
      <c r="B69" s="1" t="s">
        <v>333</v>
      </c>
      <c r="C69" s="1">
        <v>2021.0</v>
      </c>
      <c r="D69" s="1" t="s">
        <v>334</v>
      </c>
      <c r="E69" s="1" t="s">
        <v>335</v>
      </c>
      <c r="F69" s="1" t="s">
        <v>336</v>
      </c>
      <c r="G69" s="1">
        <v>21.0</v>
      </c>
      <c r="H69" s="1" t="s">
        <v>14</v>
      </c>
      <c r="I69" s="1" t="s">
        <v>21</v>
      </c>
    </row>
    <row r="70" ht="15.75" customHeight="1">
      <c r="A70" s="1" t="s">
        <v>337</v>
      </c>
      <c r="B70" s="1" t="s">
        <v>338</v>
      </c>
      <c r="C70" s="1">
        <v>2022.0</v>
      </c>
      <c r="D70" s="1" t="s">
        <v>339</v>
      </c>
      <c r="E70" s="1" t="s">
        <v>340</v>
      </c>
      <c r="F70" s="1" t="s">
        <v>341</v>
      </c>
      <c r="G70" s="1">
        <v>0.0</v>
      </c>
      <c r="H70" s="1" t="s">
        <v>14</v>
      </c>
      <c r="I70" s="1" t="s">
        <v>15</v>
      </c>
    </row>
    <row r="71" ht="15.75" customHeight="1">
      <c r="A71" s="1" t="s">
        <v>342</v>
      </c>
      <c r="B71" s="1" t="s">
        <v>343</v>
      </c>
      <c r="C71" s="1">
        <v>2023.0</v>
      </c>
      <c r="D71" s="1" t="s">
        <v>344</v>
      </c>
      <c r="E71" s="1" t="s">
        <v>345</v>
      </c>
      <c r="F71" s="1" t="s">
        <v>346</v>
      </c>
      <c r="G71" s="1">
        <v>0.0</v>
      </c>
      <c r="H71" s="1" t="s">
        <v>14</v>
      </c>
      <c r="I71" s="1" t="s">
        <v>21</v>
      </c>
    </row>
    <row r="72" ht="15.75" customHeight="1">
      <c r="A72" s="1" t="s">
        <v>347</v>
      </c>
      <c r="B72" s="1" t="s">
        <v>348</v>
      </c>
      <c r="C72" s="1">
        <v>2023.0</v>
      </c>
      <c r="D72" s="1" t="s">
        <v>349</v>
      </c>
      <c r="E72" s="1" t="s">
        <v>350</v>
      </c>
      <c r="F72" s="1" t="s">
        <v>351</v>
      </c>
      <c r="G72" s="1">
        <v>0.0</v>
      </c>
      <c r="H72" s="1" t="s">
        <v>14</v>
      </c>
      <c r="I72" s="1" t="s">
        <v>21</v>
      </c>
    </row>
    <row r="73" ht="15.75" customHeight="1">
      <c r="A73" s="1" t="s">
        <v>352</v>
      </c>
      <c r="B73" s="1" t="s">
        <v>353</v>
      </c>
      <c r="C73" s="1">
        <v>2021.0</v>
      </c>
      <c r="D73" s="1" t="s">
        <v>320</v>
      </c>
      <c r="E73" s="1" t="s">
        <v>354</v>
      </c>
      <c r="F73" s="1" t="s">
        <v>355</v>
      </c>
      <c r="G73" s="1">
        <v>2.0</v>
      </c>
      <c r="H73" s="1" t="s">
        <v>14</v>
      </c>
      <c r="I73" s="1" t="s">
        <v>15</v>
      </c>
    </row>
    <row r="74" ht="15.75" customHeight="1">
      <c r="A74" s="1" t="s">
        <v>356</v>
      </c>
      <c r="B74" s="1" t="s">
        <v>357</v>
      </c>
      <c r="C74" s="1">
        <v>2024.0</v>
      </c>
      <c r="D74" s="1" t="s">
        <v>358</v>
      </c>
      <c r="E74" s="1" t="s">
        <v>359</v>
      </c>
      <c r="F74" s="1" t="s">
        <v>360</v>
      </c>
      <c r="G74" s="1">
        <v>0.0</v>
      </c>
      <c r="H74" s="1" t="s">
        <v>14</v>
      </c>
      <c r="I74" s="1" t="s">
        <v>21</v>
      </c>
    </row>
    <row r="75" ht="15.75" customHeight="1">
      <c r="A75" s="1" t="s">
        <v>361</v>
      </c>
      <c r="B75" s="1" t="s">
        <v>362</v>
      </c>
      <c r="C75" s="1">
        <v>2022.0</v>
      </c>
      <c r="D75" s="1" t="s">
        <v>363</v>
      </c>
      <c r="E75" s="1" t="s">
        <v>364</v>
      </c>
      <c r="F75" s="1" t="s">
        <v>365</v>
      </c>
      <c r="G75" s="1">
        <v>2.0</v>
      </c>
      <c r="H75" s="1" t="s">
        <v>14</v>
      </c>
      <c r="I75" s="1" t="s">
        <v>15</v>
      </c>
    </row>
    <row r="76" ht="15.75" customHeight="1">
      <c r="A76" s="1" t="s">
        <v>366</v>
      </c>
      <c r="B76" s="1" t="s">
        <v>367</v>
      </c>
      <c r="C76" s="1">
        <v>2023.0</v>
      </c>
      <c r="D76" s="1" t="s">
        <v>368</v>
      </c>
      <c r="E76" s="1" t="s">
        <v>369</v>
      </c>
      <c r="F76" s="1" t="s">
        <v>370</v>
      </c>
      <c r="G76" s="1">
        <v>0.0</v>
      </c>
      <c r="H76" s="1" t="s">
        <v>14</v>
      </c>
      <c r="I76" s="1" t="s">
        <v>15</v>
      </c>
    </row>
    <row r="77" ht="15.75" customHeight="1">
      <c r="A77" s="1" t="s">
        <v>371</v>
      </c>
      <c r="B77" s="1" t="s">
        <v>372</v>
      </c>
      <c r="C77" s="1">
        <v>2021.0</v>
      </c>
      <c r="D77" s="1" t="s">
        <v>373</v>
      </c>
      <c r="E77" s="1" t="s">
        <v>374</v>
      </c>
      <c r="F77" s="1" t="s">
        <v>375</v>
      </c>
      <c r="G77" s="1">
        <v>10.0</v>
      </c>
      <c r="H77" s="1" t="s">
        <v>14</v>
      </c>
      <c r="I77" s="1" t="s">
        <v>15</v>
      </c>
    </row>
    <row r="78" ht="15.75" customHeight="1">
      <c r="A78" s="1" t="s">
        <v>376</v>
      </c>
      <c r="B78" s="1" t="s">
        <v>377</v>
      </c>
      <c r="C78" s="1">
        <v>2022.0</v>
      </c>
      <c r="D78" s="1" t="s">
        <v>378</v>
      </c>
      <c r="E78" s="1" t="s">
        <v>379</v>
      </c>
      <c r="F78" s="1" t="s">
        <v>380</v>
      </c>
      <c r="G78" s="1">
        <v>1.0</v>
      </c>
      <c r="H78" s="1" t="s">
        <v>14</v>
      </c>
      <c r="I78" s="1" t="s">
        <v>21</v>
      </c>
    </row>
    <row r="79" ht="15.75" customHeight="1">
      <c r="A79" s="1" t="s">
        <v>381</v>
      </c>
      <c r="B79" s="1" t="s">
        <v>382</v>
      </c>
      <c r="C79" s="1">
        <v>2023.0</v>
      </c>
      <c r="D79" s="1" t="s">
        <v>383</v>
      </c>
      <c r="E79" s="1" t="s">
        <v>384</v>
      </c>
      <c r="F79" s="1" t="s">
        <v>385</v>
      </c>
      <c r="G79" s="1">
        <v>0.0</v>
      </c>
      <c r="H79" s="1" t="s">
        <v>14</v>
      </c>
      <c r="I79" s="1" t="s">
        <v>15</v>
      </c>
    </row>
    <row r="80" ht="15.75" customHeight="1">
      <c r="A80" s="1" t="s">
        <v>386</v>
      </c>
      <c r="B80" s="1" t="s">
        <v>387</v>
      </c>
      <c r="C80" s="1">
        <v>2022.0</v>
      </c>
      <c r="D80" s="1" t="s">
        <v>388</v>
      </c>
      <c r="E80" s="1" t="s">
        <v>389</v>
      </c>
      <c r="F80" s="1" t="s">
        <v>390</v>
      </c>
      <c r="G80" s="1">
        <v>13.0</v>
      </c>
      <c r="H80" s="1" t="s">
        <v>14</v>
      </c>
      <c r="I80" s="1" t="s">
        <v>15</v>
      </c>
    </row>
    <row r="81" ht="15.75" customHeight="1">
      <c r="A81" s="1" t="s">
        <v>391</v>
      </c>
      <c r="B81" s="1" t="s">
        <v>392</v>
      </c>
      <c r="C81" s="1">
        <v>2021.0</v>
      </c>
      <c r="D81" s="1" t="s">
        <v>393</v>
      </c>
      <c r="E81" s="1" t="s">
        <v>394</v>
      </c>
      <c r="F81" s="1" t="s">
        <v>395</v>
      </c>
      <c r="G81" s="1">
        <v>14.0</v>
      </c>
      <c r="H81" s="1" t="s">
        <v>14</v>
      </c>
      <c r="I81" s="1" t="s">
        <v>21</v>
      </c>
    </row>
    <row r="82" ht="15.75" customHeight="1">
      <c r="A82" s="1" t="s">
        <v>396</v>
      </c>
      <c r="B82" s="1" t="s">
        <v>397</v>
      </c>
      <c r="C82" s="1">
        <v>2024.0</v>
      </c>
      <c r="D82" s="1" t="s">
        <v>73</v>
      </c>
      <c r="E82" s="1" t="s">
        <v>398</v>
      </c>
      <c r="F82" s="1" t="s">
        <v>399</v>
      </c>
      <c r="G82" s="1">
        <v>0.0</v>
      </c>
      <c r="H82" s="1" t="s">
        <v>14</v>
      </c>
      <c r="I82" s="1" t="s">
        <v>21</v>
      </c>
    </row>
    <row r="83" ht="15.75" customHeight="1">
      <c r="A83" s="1" t="s">
        <v>400</v>
      </c>
      <c r="B83" s="1" t="s">
        <v>401</v>
      </c>
      <c r="C83" s="1">
        <v>2022.0</v>
      </c>
      <c r="D83" s="1" t="s">
        <v>402</v>
      </c>
      <c r="E83" s="1" t="s">
        <v>403</v>
      </c>
      <c r="F83" s="1" t="s">
        <v>404</v>
      </c>
      <c r="G83" s="1">
        <v>13.0</v>
      </c>
      <c r="H83" s="1" t="s">
        <v>14</v>
      </c>
      <c r="I83" s="1" t="s">
        <v>21</v>
      </c>
    </row>
    <row r="84" ht="15.75" customHeight="1">
      <c r="A84" s="1" t="s">
        <v>405</v>
      </c>
      <c r="B84" s="1" t="s">
        <v>406</v>
      </c>
      <c r="C84" s="1">
        <v>2022.0</v>
      </c>
      <c r="D84" s="1" t="s">
        <v>407</v>
      </c>
      <c r="E84" s="1" t="s">
        <v>408</v>
      </c>
      <c r="F84" s="1" t="s">
        <v>409</v>
      </c>
      <c r="G84" s="1">
        <v>13.0</v>
      </c>
      <c r="H84" s="1" t="s">
        <v>14</v>
      </c>
      <c r="I84" s="1" t="s">
        <v>21</v>
      </c>
    </row>
    <row r="85" ht="15.75" customHeight="1">
      <c r="A85" s="1" t="s">
        <v>410</v>
      </c>
      <c r="B85" s="1" t="s">
        <v>411</v>
      </c>
      <c r="C85" s="1">
        <v>2023.0</v>
      </c>
      <c r="D85" s="1" t="s">
        <v>412</v>
      </c>
      <c r="E85" s="1" t="s">
        <v>413</v>
      </c>
      <c r="F85" s="1" t="s">
        <v>414</v>
      </c>
      <c r="G85" s="1">
        <v>0.0</v>
      </c>
      <c r="H85" s="1" t="s">
        <v>14</v>
      </c>
      <c r="I85" s="1" t="s">
        <v>21</v>
      </c>
    </row>
    <row r="86" ht="15.75" customHeight="1">
      <c r="A86" s="1" t="s">
        <v>415</v>
      </c>
      <c r="B86" s="1" t="s">
        <v>416</v>
      </c>
      <c r="C86" s="1">
        <v>2023.0</v>
      </c>
      <c r="D86" s="1" t="s">
        <v>417</v>
      </c>
      <c r="E86" s="1" t="s">
        <v>418</v>
      </c>
      <c r="F86" s="1" t="s">
        <v>419</v>
      </c>
      <c r="G86" s="1">
        <v>0.0</v>
      </c>
      <c r="H86" s="1" t="s">
        <v>14</v>
      </c>
      <c r="I86" s="1" t="s">
        <v>15</v>
      </c>
    </row>
    <row r="87" ht="15.75" customHeight="1">
      <c r="A87" s="1" t="s">
        <v>420</v>
      </c>
      <c r="B87" s="1" t="s">
        <v>421</v>
      </c>
      <c r="C87" s="1">
        <v>2023.0</v>
      </c>
      <c r="D87" s="1" t="s">
        <v>197</v>
      </c>
      <c r="E87" s="1" t="s">
        <v>422</v>
      </c>
      <c r="F87" s="1" t="s">
        <v>423</v>
      </c>
      <c r="G87" s="1">
        <v>2.0</v>
      </c>
      <c r="H87" s="1" t="s">
        <v>14</v>
      </c>
      <c r="I87" s="1" t="s">
        <v>21</v>
      </c>
    </row>
    <row r="88" ht="15.75" customHeight="1">
      <c r="A88" s="1" t="s">
        <v>424</v>
      </c>
      <c r="B88" s="1" t="s">
        <v>425</v>
      </c>
      <c r="C88" s="1">
        <v>2023.0</v>
      </c>
      <c r="D88" s="1" t="s">
        <v>426</v>
      </c>
      <c r="E88" s="1" t="s">
        <v>427</v>
      </c>
      <c r="F88" s="1" t="s">
        <v>428</v>
      </c>
      <c r="G88" s="1">
        <v>0.0</v>
      </c>
      <c r="H88" s="1" t="s">
        <v>14</v>
      </c>
      <c r="I88" s="1" t="s">
        <v>21</v>
      </c>
    </row>
    <row r="89" ht="15.75" customHeight="1">
      <c r="A89" s="1" t="s">
        <v>429</v>
      </c>
      <c r="B89" s="1" t="s">
        <v>430</v>
      </c>
      <c r="C89" s="1">
        <v>2022.0</v>
      </c>
      <c r="D89" s="1" t="s">
        <v>431</v>
      </c>
      <c r="E89" s="1" t="s">
        <v>432</v>
      </c>
      <c r="F89" s="1" t="s">
        <v>433</v>
      </c>
      <c r="G89" s="1">
        <v>0.0</v>
      </c>
      <c r="H89" s="1" t="s">
        <v>14</v>
      </c>
      <c r="I89" s="1" t="s">
        <v>15</v>
      </c>
    </row>
    <row r="90" ht="15.75" customHeight="1">
      <c r="A90" s="1" t="s">
        <v>434</v>
      </c>
      <c r="B90" s="1" t="s">
        <v>435</v>
      </c>
      <c r="C90" s="1">
        <v>2022.0</v>
      </c>
      <c r="D90" s="1" t="s">
        <v>436</v>
      </c>
      <c r="E90" s="1" t="s">
        <v>437</v>
      </c>
      <c r="F90" s="1" t="s">
        <v>438</v>
      </c>
      <c r="G90" s="1">
        <v>9.0</v>
      </c>
      <c r="H90" s="1" t="s">
        <v>14</v>
      </c>
      <c r="I90" s="1" t="s">
        <v>21</v>
      </c>
    </row>
    <row r="91" ht="15.75" customHeight="1">
      <c r="A91" s="1" t="s">
        <v>439</v>
      </c>
      <c r="B91" s="1" t="s">
        <v>440</v>
      </c>
      <c r="C91" s="1">
        <v>2022.0</v>
      </c>
      <c r="D91" s="1" t="s">
        <v>216</v>
      </c>
      <c r="E91" s="1" t="s">
        <v>441</v>
      </c>
      <c r="F91" s="1" t="s">
        <v>442</v>
      </c>
      <c r="G91" s="1">
        <v>5.0</v>
      </c>
      <c r="H91" s="1" t="s">
        <v>14</v>
      </c>
      <c r="I91" s="1" t="s">
        <v>21</v>
      </c>
    </row>
    <row r="92" ht="15.75" customHeight="1">
      <c r="A92" s="1" t="s">
        <v>443</v>
      </c>
      <c r="B92" s="1" t="s">
        <v>444</v>
      </c>
      <c r="C92" s="1">
        <v>2021.0</v>
      </c>
      <c r="D92" s="1" t="s">
        <v>320</v>
      </c>
      <c r="E92" s="1" t="s">
        <v>445</v>
      </c>
      <c r="F92" s="1" t="s">
        <v>446</v>
      </c>
      <c r="G92" s="1">
        <v>0.0</v>
      </c>
      <c r="H92" s="1" t="s">
        <v>14</v>
      </c>
      <c r="I92" s="1" t="s">
        <v>15</v>
      </c>
    </row>
    <row r="93" ht="15.75" customHeight="1">
      <c r="A93" s="1" t="s">
        <v>447</v>
      </c>
      <c r="B93" s="1" t="s">
        <v>448</v>
      </c>
      <c r="C93" s="1">
        <v>2022.0</v>
      </c>
      <c r="D93" s="1" t="s">
        <v>449</v>
      </c>
      <c r="E93" s="1" t="s">
        <v>450</v>
      </c>
      <c r="F93" s="1" t="s">
        <v>451</v>
      </c>
      <c r="G93" s="1">
        <v>0.0</v>
      </c>
      <c r="H93" s="1" t="s">
        <v>14</v>
      </c>
      <c r="I93" s="1" t="s">
        <v>15</v>
      </c>
    </row>
    <row r="94" ht="15.75" customHeight="1">
      <c r="A94" s="1" t="s">
        <v>452</v>
      </c>
      <c r="B94" s="1" t="s">
        <v>453</v>
      </c>
      <c r="C94" s="1">
        <v>2022.0</v>
      </c>
      <c r="D94" s="1" t="s">
        <v>454</v>
      </c>
      <c r="E94" s="1" t="s">
        <v>455</v>
      </c>
      <c r="F94" s="1" t="s">
        <v>456</v>
      </c>
      <c r="G94" s="1">
        <v>1.0</v>
      </c>
      <c r="H94" s="1" t="s">
        <v>14</v>
      </c>
      <c r="I94" s="1" t="s">
        <v>15</v>
      </c>
    </row>
    <row r="95" ht="15.75" customHeight="1">
      <c r="A95" s="1" t="s">
        <v>457</v>
      </c>
      <c r="B95" s="1" t="s">
        <v>458</v>
      </c>
      <c r="C95" s="1">
        <v>2022.0</v>
      </c>
      <c r="D95" s="1" t="s">
        <v>459</v>
      </c>
      <c r="E95" s="1" t="s">
        <v>460</v>
      </c>
      <c r="F95" s="1" t="s">
        <v>461</v>
      </c>
      <c r="G95" s="1">
        <v>2.0</v>
      </c>
      <c r="H95" s="1" t="s">
        <v>14</v>
      </c>
      <c r="I95" s="1" t="s">
        <v>15</v>
      </c>
    </row>
    <row r="96" ht="15.75" customHeight="1">
      <c r="A96" s="1" t="s">
        <v>462</v>
      </c>
      <c r="B96" s="1" t="s">
        <v>463</v>
      </c>
      <c r="C96" s="1">
        <v>2022.0</v>
      </c>
      <c r="D96" s="1" t="s">
        <v>464</v>
      </c>
      <c r="E96" s="1" t="s">
        <v>465</v>
      </c>
      <c r="F96" s="1" t="s">
        <v>466</v>
      </c>
      <c r="G96" s="1">
        <v>0.0</v>
      </c>
      <c r="H96" s="1" t="s">
        <v>14</v>
      </c>
      <c r="I96" s="1" t="s">
        <v>15</v>
      </c>
    </row>
    <row r="97" ht="15.75" customHeight="1">
      <c r="A97" s="1" t="s">
        <v>467</v>
      </c>
      <c r="B97" s="1" t="s">
        <v>430</v>
      </c>
      <c r="C97" s="1">
        <v>2022.0</v>
      </c>
      <c r="D97" s="1" t="s">
        <v>63</v>
      </c>
      <c r="E97" s="1" t="s">
        <v>468</v>
      </c>
      <c r="F97" s="1" t="s">
        <v>469</v>
      </c>
      <c r="G97" s="1">
        <v>9.0</v>
      </c>
      <c r="H97" s="1" t="s">
        <v>14</v>
      </c>
      <c r="I97" s="1" t="s">
        <v>15</v>
      </c>
    </row>
    <row r="98" ht="15.75" customHeight="1">
      <c r="A98" s="1" t="s">
        <v>470</v>
      </c>
      <c r="B98" s="1" t="s">
        <v>471</v>
      </c>
      <c r="C98" s="1">
        <v>2024.0</v>
      </c>
      <c r="D98" s="1" t="s">
        <v>472</v>
      </c>
      <c r="E98" s="1" t="s">
        <v>473</v>
      </c>
      <c r="F98" s="1" t="s">
        <v>474</v>
      </c>
      <c r="G98" s="1">
        <v>0.0</v>
      </c>
      <c r="H98" s="1" t="s">
        <v>14</v>
      </c>
      <c r="I98" s="1" t="s">
        <v>21</v>
      </c>
    </row>
    <row r="99" ht="15.75" customHeight="1">
      <c r="A99" s="1" t="s">
        <v>475</v>
      </c>
      <c r="B99" s="1" t="s">
        <v>301</v>
      </c>
      <c r="C99" s="1">
        <v>2024.0</v>
      </c>
      <c r="D99" s="1" t="s">
        <v>476</v>
      </c>
      <c r="E99" s="1" t="s">
        <v>477</v>
      </c>
      <c r="F99" s="1" t="s">
        <v>478</v>
      </c>
      <c r="G99" s="1">
        <v>0.0</v>
      </c>
      <c r="H99" s="1" t="s">
        <v>14</v>
      </c>
      <c r="I99" s="1" t="s">
        <v>21</v>
      </c>
    </row>
    <row r="100" ht="15.75" customHeight="1">
      <c r="A100" s="1" t="s">
        <v>479</v>
      </c>
      <c r="B100" s="1" t="s">
        <v>480</v>
      </c>
      <c r="C100" s="1">
        <v>2023.0</v>
      </c>
      <c r="D100" s="1" t="s">
        <v>481</v>
      </c>
      <c r="E100" s="1" t="s">
        <v>482</v>
      </c>
      <c r="F100" s="1" t="s">
        <v>483</v>
      </c>
      <c r="G100" s="1">
        <v>1.0</v>
      </c>
      <c r="H100" s="1" t="s">
        <v>14</v>
      </c>
      <c r="I100" s="1" t="s">
        <v>21</v>
      </c>
    </row>
    <row r="101" ht="15.75" customHeight="1">
      <c r="A101" s="1" t="s">
        <v>484</v>
      </c>
      <c r="B101" s="1" t="s">
        <v>485</v>
      </c>
      <c r="C101" s="1">
        <v>2022.0</v>
      </c>
      <c r="D101" s="1" t="s">
        <v>486</v>
      </c>
      <c r="F101" s="1" t="s">
        <v>487</v>
      </c>
      <c r="G101" s="1">
        <v>10.0</v>
      </c>
      <c r="H101" s="1" t="s">
        <v>14</v>
      </c>
      <c r="I101" s="1" t="s">
        <v>15</v>
      </c>
    </row>
    <row r="102" ht="15.75" customHeight="1">
      <c r="A102" s="1" t="s">
        <v>488</v>
      </c>
      <c r="B102" s="1" t="s">
        <v>489</v>
      </c>
      <c r="C102" s="1">
        <v>2018.0</v>
      </c>
      <c r="D102" s="1" t="s">
        <v>490</v>
      </c>
      <c r="E102" s="1" t="s">
        <v>491</v>
      </c>
      <c r="F102" s="1" t="s">
        <v>492</v>
      </c>
      <c r="G102" s="1">
        <v>117.0</v>
      </c>
      <c r="H102" s="1" t="s">
        <v>14</v>
      </c>
      <c r="I102" s="1" t="s">
        <v>15</v>
      </c>
    </row>
    <row r="103" ht="15.75" customHeight="1">
      <c r="A103" s="1" t="s">
        <v>493</v>
      </c>
      <c r="B103" s="1" t="s">
        <v>494</v>
      </c>
      <c r="C103" s="1">
        <v>2020.0</v>
      </c>
      <c r="D103" s="1" t="s">
        <v>495</v>
      </c>
      <c r="E103" s="1" t="s">
        <v>496</v>
      </c>
      <c r="F103" s="1" t="s">
        <v>497</v>
      </c>
      <c r="G103" s="1">
        <v>1.0</v>
      </c>
      <c r="H103" s="1" t="s">
        <v>14</v>
      </c>
      <c r="I103" s="1" t="s">
        <v>21</v>
      </c>
    </row>
    <row r="104" ht="15.75" customHeight="1">
      <c r="A104" s="1" t="s">
        <v>498</v>
      </c>
      <c r="B104" s="1" t="s">
        <v>499</v>
      </c>
      <c r="C104" s="1">
        <v>2018.0</v>
      </c>
      <c r="D104" s="1" t="s">
        <v>402</v>
      </c>
      <c r="E104" s="1" t="s">
        <v>500</v>
      </c>
      <c r="F104" s="1" t="s">
        <v>501</v>
      </c>
      <c r="G104" s="1">
        <v>9.0</v>
      </c>
      <c r="H104" s="1" t="s">
        <v>14</v>
      </c>
      <c r="I104" s="1" t="s">
        <v>21</v>
      </c>
    </row>
    <row r="105" ht="15.75" customHeight="1">
      <c r="A105" s="1" t="s">
        <v>502</v>
      </c>
      <c r="B105" s="1" t="s">
        <v>503</v>
      </c>
      <c r="C105" s="1">
        <v>2021.0</v>
      </c>
      <c r="D105" s="1" t="s">
        <v>504</v>
      </c>
      <c r="E105" s="1" t="s">
        <v>505</v>
      </c>
      <c r="F105" s="1" t="s">
        <v>506</v>
      </c>
      <c r="G105" s="1">
        <v>14.0</v>
      </c>
      <c r="H105" s="1" t="s">
        <v>14</v>
      </c>
      <c r="I105" s="1" t="s">
        <v>15</v>
      </c>
    </row>
    <row r="106" ht="15.75" customHeight="1">
      <c r="A106" s="1" t="s">
        <v>507</v>
      </c>
      <c r="B106" s="1" t="s">
        <v>508</v>
      </c>
      <c r="C106" s="1">
        <v>2021.0</v>
      </c>
      <c r="D106" s="1" t="s">
        <v>509</v>
      </c>
      <c r="E106" s="1" t="s">
        <v>510</v>
      </c>
      <c r="F106" s="1" t="s">
        <v>511</v>
      </c>
      <c r="G106" s="1">
        <v>0.0</v>
      </c>
      <c r="H106" s="1" t="s">
        <v>14</v>
      </c>
      <c r="I106" s="1" t="s">
        <v>21</v>
      </c>
    </row>
    <row r="107" ht="15.75" customHeight="1">
      <c r="A107" s="1" t="s">
        <v>512</v>
      </c>
      <c r="B107" s="1" t="s">
        <v>513</v>
      </c>
      <c r="C107" s="1">
        <v>2021.0</v>
      </c>
      <c r="D107" s="1" t="s">
        <v>514</v>
      </c>
      <c r="F107" s="1" t="s">
        <v>515</v>
      </c>
      <c r="G107" s="1">
        <v>0.0</v>
      </c>
      <c r="H107" s="1" t="s">
        <v>14</v>
      </c>
      <c r="I107" s="1" t="s">
        <v>15</v>
      </c>
    </row>
    <row r="108" ht="15.75" customHeight="1">
      <c r="A108" s="1" t="s">
        <v>516</v>
      </c>
      <c r="B108" s="1" t="s">
        <v>517</v>
      </c>
      <c r="C108" s="1">
        <v>2019.0</v>
      </c>
      <c r="D108" s="1" t="s">
        <v>518</v>
      </c>
      <c r="E108" s="1" t="s">
        <v>519</v>
      </c>
      <c r="F108" s="1" t="s">
        <v>520</v>
      </c>
      <c r="G108" s="1">
        <v>11.0</v>
      </c>
      <c r="H108" s="1" t="s">
        <v>14</v>
      </c>
      <c r="I108" s="1" t="s">
        <v>21</v>
      </c>
    </row>
    <row r="109" ht="15.75" customHeight="1">
      <c r="A109" s="1" t="s">
        <v>521</v>
      </c>
      <c r="B109" s="1" t="s">
        <v>522</v>
      </c>
      <c r="C109" s="1">
        <v>2021.0</v>
      </c>
      <c r="D109" s="1" t="s">
        <v>523</v>
      </c>
      <c r="E109" s="1" t="s">
        <v>524</v>
      </c>
      <c r="F109" s="1" t="s">
        <v>525</v>
      </c>
      <c r="G109" s="1">
        <v>0.0</v>
      </c>
      <c r="H109" s="1" t="s">
        <v>14</v>
      </c>
      <c r="I109" s="1" t="s">
        <v>15</v>
      </c>
    </row>
    <row r="110" ht="15.75" customHeight="1">
      <c r="A110" s="1" t="s">
        <v>526</v>
      </c>
      <c r="B110" s="1" t="s">
        <v>527</v>
      </c>
      <c r="C110" s="1">
        <v>2020.0</v>
      </c>
      <c r="D110" s="1" t="s">
        <v>18</v>
      </c>
      <c r="E110" s="1" t="s">
        <v>528</v>
      </c>
      <c r="F110" s="1" t="s">
        <v>529</v>
      </c>
      <c r="G110" s="1">
        <v>31.0</v>
      </c>
      <c r="H110" s="1" t="s">
        <v>14</v>
      </c>
      <c r="I110" s="1" t="s">
        <v>21</v>
      </c>
    </row>
    <row r="111" ht="15.75" customHeight="1">
      <c r="A111" s="1" t="s">
        <v>530</v>
      </c>
      <c r="B111" s="1" t="s">
        <v>531</v>
      </c>
      <c r="C111" s="1">
        <v>2018.0</v>
      </c>
      <c r="D111" s="1" t="s">
        <v>532</v>
      </c>
      <c r="F111" s="1" t="s">
        <v>533</v>
      </c>
      <c r="G111" s="1">
        <v>0.0</v>
      </c>
      <c r="H111" s="1" t="s">
        <v>14</v>
      </c>
      <c r="I111" s="1" t="s">
        <v>15</v>
      </c>
    </row>
    <row r="112" ht="15.75" customHeight="1">
      <c r="A112" s="1" t="s">
        <v>534</v>
      </c>
      <c r="B112" s="1" t="s">
        <v>535</v>
      </c>
      <c r="C112" s="1">
        <v>2020.0</v>
      </c>
      <c r="D112" s="1" t="s">
        <v>536</v>
      </c>
      <c r="E112" s="1" t="s">
        <v>537</v>
      </c>
      <c r="F112" s="1" t="s">
        <v>538</v>
      </c>
      <c r="G112" s="1">
        <v>3.0</v>
      </c>
      <c r="H112" s="1" t="s">
        <v>14</v>
      </c>
      <c r="I112" s="1" t="s">
        <v>15</v>
      </c>
    </row>
    <row r="113" ht="15.75" customHeight="1">
      <c r="A113" s="1" t="s">
        <v>539</v>
      </c>
      <c r="B113" s="1" t="s">
        <v>540</v>
      </c>
      <c r="C113" s="1">
        <v>2021.0</v>
      </c>
      <c r="D113" s="1" t="s">
        <v>541</v>
      </c>
      <c r="E113" s="1" t="s">
        <v>542</v>
      </c>
      <c r="F113" s="1" t="s">
        <v>543</v>
      </c>
      <c r="G113" s="1">
        <v>4.0</v>
      </c>
      <c r="H113" s="1" t="s">
        <v>14</v>
      </c>
      <c r="I113" s="1" t="s">
        <v>15</v>
      </c>
    </row>
    <row r="114" ht="15.75" customHeight="1">
      <c r="A114" s="1" t="s">
        <v>544</v>
      </c>
      <c r="B114" s="1" t="s">
        <v>545</v>
      </c>
      <c r="C114" s="1">
        <v>2020.0</v>
      </c>
      <c r="D114" s="1" t="s">
        <v>129</v>
      </c>
      <c r="E114" s="1" t="s">
        <v>546</v>
      </c>
      <c r="F114" s="1" t="s">
        <v>547</v>
      </c>
      <c r="G114" s="1">
        <v>12.0</v>
      </c>
      <c r="H114" s="1" t="s">
        <v>14</v>
      </c>
      <c r="I114" s="1" t="s">
        <v>21</v>
      </c>
    </row>
    <row r="115" ht="15.75" customHeight="1">
      <c r="A115" s="1" t="s">
        <v>548</v>
      </c>
      <c r="B115" s="1" t="s">
        <v>549</v>
      </c>
      <c r="C115" s="1">
        <v>2018.0</v>
      </c>
      <c r="D115" s="1" t="s">
        <v>550</v>
      </c>
      <c r="E115" s="1" t="s">
        <v>551</v>
      </c>
      <c r="F115" s="1" t="s">
        <v>552</v>
      </c>
      <c r="G115" s="1">
        <v>3.0</v>
      </c>
      <c r="H115" s="1" t="s">
        <v>14</v>
      </c>
      <c r="I115" s="1" t="s">
        <v>15</v>
      </c>
    </row>
    <row r="116" ht="15.75" customHeight="1">
      <c r="A116" s="1" t="s">
        <v>553</v>
      </c>
      <c r="B116" s="1" t="s">
        <v>554</v>
      </c>
      <c r="C116" s="1">
        <v>2018.0</v>
      </c>
      <c r="D116" s="1" t="s">
        <v>555</v>
      </c>
      <c r="E116" s="1" t="s">
        <v>556</v>
      </c>
      <c r="F116" s="1" t="s">
        <v>557</v>
      </c>
      <c r="G116" s="1">
        <v>10.0</v>
      </c>
      <c r="H116" s="1" t="s">
        <v>14</v>
      </c>
      <c r="I116" s="1" t="s">
        <v>15</v>
      </c>
    </row>
    <row r="117" ht="15.75" customHeight="1">
      <c r="A117" s="1" t="s">
        <v>558</v>
      </c>
      <c r="B117" s="1" t="s">
        <v>559</v>
      </c>
      <c r="C117" s="1">
        <v>2020.0</v>
      </c>
      <c r="D117" s="1" t="s">
        <v>78</v>
      </c>
      <c r="E117" s="1" t="s">
        <v>560</v>
      </c>
      <c r="F117" s="1" t="s">
        <v>561</v>
      </c>
      <c r="G117" s="1">
        <v>1.0</v>
      </c>
      <c r="H117" s="1" t="s">
        <v>14</v>
      </c>
      <c r="I117" s="1" t="s">
        <v>15</v>
      </c>
    </row>
    <row r="118" ht="15.75" customHeight="1">
      <c r="A118" s="1" t="s">
        <v>562</v>
      </c>
      <c r="B118" s="1" t="s">
        <v>563</v>
      </c>
      <c r="C118" s="1">
        <v>2021.0</v>
      </c>
      <c r="D118" s="1" t="s">
        <v>490</v>
      </c>
      <c r="E118" s="1" t="s">
        <v>564</v>
      </c>
      <c r="F118" s="1" t="s">
        <v>565</v>
      </c>
      <c r="G118" s="1">
        <v>4.0</v>
      </c>
      <c r="H118" s="1" t="s">
        <v>14</v>
      </c>
      <c r="I118" s="1" t="s">
        <v>15</v>
      </c>
    </row>
    <row r="119" ht="15.75" customHeight="1">
      <c r="A119" s="1" t="s">
        <v>566</v>
      </c>
      <c r="B119" s="1" t="s">
        <v>567</v>
      </c>
      <c r="C119" s="1">
        <v>2020.0</v>
      </c>
      <c r="D119" s="1" t="s">
        <v>568</v>
      </c>
      <c r="E119" s="1" t="s">
        <v>569</v>
      </c>
      <c r="F119" s="1" t="s">
        <v>570</v>
      </c>
      <c r="G119" s="1">
        <v>12.0</v>
      </c>
      <c r="H119" s="1" t="s">
        <v>14</v>
      </c>
      <c r="I119" s="1" t="s">
        <v>15</v>
      </c>
    </row>
    <row r="120" ht="15.75" customHeight="1">
      <c r="A120" s="1" t="s">
        <v>571</v>
      </c>
      <c r="B120" s="1" t="s">
        <v>572</v>
      </c>
      <c r="C120" s="1">
        <v>2021.0</v>
      </c>
      <c r="D120" s="1" t="s">
        <v>573</v>
      </c>
      <c r="E120" s="1" t="s">
        <v>574</v>
      </c>
      <c r="F120" s="1" t="s">
        <v>575</v>
      </c>
      <c r="G120" s="1">
        <v>15.0</v>
      </c>
      <c r="H120" s="1" t="s">
        <v>14</v>
      </c>
      <c r="I120" s="1" t="s">
        <v>15</v>
      </c>
    </row>
    <row r="121" ht="15.75" customHeight="1">
      <c r="A121" s="1" t="s">
        <v>576</v>
      </c>
      <c r="B121" s="1" t="s">
        <v>577</v>
      </c>
      <c r="C121" s="1">
        <v>2021.0</v>
      </c>
      <c r="D121" s="1" t="s">
        <v>578</v>
      </c>
      <c r="E121" s="1" t="s">
        <v>579</v>
      </c>
      <c r="F121" s="1" t="s">
        <v>580</v>
      </c>
      <c r="G121" s="1">
        <v>0.0</v>
      </c>
      <c r="H121" s="1" t="s">
        <v>14</v>
      </c>
      <c r="I121" s="1" t="s">
        <v>15</v>
      </c>
    </row>
    <row r="122" ht="15.75" customHeight="1">
      <c r="A122" s="1" t="s">
        <v>581</v>
      </c>
      <c r="B122" s="1" t="s">
        <v>582</v>
      </c>
      <c r="C122" s="1">
        <v>2020.0</v>
      </c>
      <c r="D122" s="1" t="s">
        <v>555</v>
      </c>
      <c r="E122" s="1" t="s">
        <v>583</v>
      </c>
      <c r="F122" s="1" t="s">
        <v>584</v>
      </c>
      <c r="G122" s="1">
        <v>0.0</v>
      </c>
      <c r="H122" s="1" t="s">
        <v>14</v>
      </c>
      <c r="I122" s="1" t="s">
        <v>15</v>
      </c>
    </row>
    <row r="123" ht="15.75" customHeight="1">
      <c r="A123" s="1" t="s">
        <v>585</v>
      </c>
      <c r="B123" s="1" t="s">
        <v>243</v>
      </c>
      <c r="C123" s="1">
        <v>2021.0</v>
      </c>
      <c r="D123" s="1" t="s">
        <v>393</v>
      </c>
      <c r="E123" s="1" t="s">
        <v>586</v>
      </c>
      <c r="F123" s="1" t="s">
        <v>587</v>
      </c>
      <c r="G123" s="1">
        <v>6.0</v>
      </c>
      <c r="H123" s="1" t="s">
        <v>14</v>
      </c>
      <c r="I123" s="1" t="s">
        <v>21</v>
      </c>
    </row>
    <row r="124" ht="15.75" customHeight="1">
      <c r="A124" s="1" t="s">
        <v>588</v>
      </c>
      <c r="B124" s="1" t="s">
        <v>589</v>
      </c>
      <c r="C124" s="1">
        <v>2021.0</v>
      </c>
      <c r="D124" s="1" t="s">
        <v>449</v>
      </c>
      <c r="E124" s="1" t="s">
        <v>590</v>
      </c>
      <c r="F124" s="1" t="s">
        <v>591</v>
      </c>
      <c r="G124" s="1">
        <v>2.0</v>
      </c>
      <c r="H124" s="1" t="s">
        <v>14</v>
      </c>
      <c r="I124" s="1" t="s">
        <v>15</v>
      </c>
    </row>
    <row r="125" ht="15.75" customHeight="1">
      <c r="A125" s="1" t="s">
        <v>592</v>
      </c>
      <c r="B125" s="1" t="s">
        <v>593</v>
      </c>
      <c r="C125" s="1">
        <v>2021.0</v>
      </c>
      <c r="D125" s="1" t="s">
        <v>594</v>
      </c>
      <c r="E125" s="1" t="s">
        <v>595</v>
      </c>
      <c r="F125" s="1" t="s">
        <v>596</v>
      </c>
      <c r="G125" s="1">
        <v>4.0</v>
      </c>
      <c r="H125" s="1" t="s">
        <v>14</v>
      </c>
      <c r="I125" s="1" t="s">
        <v>15</v>
      </c>
    </row>
    <row r="126" ht="15.75" customHeight="1">
      <c r="A126" s="1" t="s">
        <v>597</v>
      </c>
      <c r="B126" s="1" t="s">
        <v>598</v>
      </c>
      <c r="C126" s="1">
        <v>2019.0</v>
      </c>
      <c r="D126" s="1" t="s">
        <v>599</v>
      </c>
      <c r="E126" s="1" t="s">
        <v>600</v>
      </c>
      <c r="F126" s="1" t="s">
        <v>601</v>
      </c>
      <c r="G126" s="1">
        <v>49.0</v>
      </c>
      <c r="H126" s="1" t="s">
        <v>14</v>
      </c>
      <c r="I126" s="1" t="s">
        <v>21</v>
      </c>
    </row>
    <row r="127" ht="15.75" customHeight="1">
      <c r="A127" s="1" t="s">
        <v>602</v>
      </c>
      <c r="B127" s="1" t="s">
        <v>603</v>
      </c>
      <c r="C127" s="1">
        <v>2020.0</v>
      </c>
      <c r="D127" s="1" t="s">
        <v>604</v>
      </c>
      <c r="E127" s="1" t="s">
        <v>605</v>
      </c>
      <c r="F127" s="1" t="s">
        <v>606</v>
      </c>
      <c r="G127" s="1">
        <v>0.0</v>
      </c>
      <c r="H127" s="1" t="s">
        <v>14</v>
      </c>
      <c r="I127" s="1" t="s">
        <v>15</v>
      </c>
    </row>
    <row r="128" ht="15.75" customHeight="1">
      <c r="A128" s="1" t="s">
        <v>607</v>
      </c>
      <c r="B128" s="1" t="s">
        <v>608</v>
      </c>
      <c r="C128" s="1">
        <v>2019.0</v>
      </c>
      <c r="D128" s="1" t="s">
        <v>609</v>
      </c>
      <c r="E128" s="1" t="s">
        <v>610</v>
      </c>
      <c r="F128" s="1" t="s">
        <v>611</v>
      </c>
      <c r="G128" s="1">
        <v>4.0</v>
      </c>
      <c r="H128" s="1" t="s">
        <v>14</v>
      </c>
      <c r="I128" s="1" t="s">
        <v>15</v>
      </c>
    </row>
    <row r="129" ht="15.75" customHeight="1">
      <c r="A129" s="1" t="s">
        <v>612</v>
      </c>
      <c r="B129" s="1" t="s">
        <v>613</v>
      </c>
      <c r="C129" s="1">
        <v>2018.0</v>
      </c>
      <c r="D129" s="1" t="s">
        <v>614</v>
      </c>
      <c r="E129" s="1" t="s">
        <v>615</v>
      </c>
      <c r="F129" s="1" t="s">
        <v>616</v>
      </c>
      <c r="G129" s="1">
        <v>0.0</v>
      </c>
      <c r="H129" s="1" t="s">
        <v>14</v>
      </c>
      <c r="I129" s="1" t="s">
        <v>15</v>
      </c>
    </row>
    <row r="130" ht="15.75" customHeight="1">
      <c r="A130" s="1" t="s">
        <v>617</v>
      </c>
      <c r="B130" s="1" t="s">
        <v>618</v>
      </c>
      <c r="C130" s="1">
        <v>2019.0</v>
      </c>
      <c r="D130" s="1" t="s">
        <v>619</v>
      </c>
      <c r="E130" s="1" t="s">
        <v>620</v>
      </c>
      <c r="F130" s="1" t="s">
        <v>621</v>
      </c>
      <c r="G130" s="1">
        <v>0.0</v>
      </c>
      <c r="H130" s="1" t="s">
        <v>14</v>
      </c>
      <c r="I130" s="1" t="s">
        <v>15</v>
      </c>
    </row>
    <row r="131" ht="15.75" customHeight="1">
      <c r="A131" s="1" t="s">
        <v>622</v>
      </c>
      <c r="B131" s="1" t="s">
        <v>623</v>
      </c>
      <c r="C131" s="1">
        <v>2018.0</v>
      </c>
      <c r="D131" s="1" t="s">
        <v>624</v>
      </c>
      <c r="E131" s="1" t="s">
        <v>625</v>
      </c>
      <c r="F131" s="1" t="s">
        <v>626</v>
      </c>
      <c r="G131" s="1">
        <v>5.0</v>
      </c>
      <c r="H131" s="1" t="s">
        <v>14</v>
      </c>
      <c r="I131" s="1" t="s">
        <v>21</v>
      </c>
    </row>
    <row r="132" ht="15.75" customHeight="1">
      <c r="A132" s="1" t="s">
        <v>627</v>
      </c>
      <c r="B132" s="1" t="s">
        <v>628</v>
      </c>
      <c r="C132" s="1">
        <v>2020.0</v>
      </c>
      <c r="D132" s="1" t="s">
        <v>629</v>
      </c>
      <c r="E132" s="1" t="s">
        <v>630</v>
      </c>
      <c r="F132" s="1" t="s">
        <v>631</v>
      </c>
      <c r="G132" s="1">
        <v>70.0</v>
      </c>
      <c r="H132" s="1" t="s">
        <v>14</v>
      </c>
      <c r="I132" s="1" t="s">
        <v>15</v>
      </c>
    </row>
    <row r="133" ht="15.75" customHeight="1">
      <c r="A133" s="1" t="s">
        <v>632</v>
      </c>
      <c r="B133" s="1" t="s">
        <v>633</v>
      </c>
      <c r="C133" s="1">
        <v>2021.0</v>
      </c>
      <c r="D133" s="1" t="s">
        <v>634</v>
      </c>
      <c r="E133" s="1" t="s">
        <v>635</v>
      </c>
      <c r="F133" s="1" t="s">
        <v>636</v>
      </c>
      <c r="G133" s="1">
        <v>1.0</v>
      </c>
      <c r="H133" s="1" t="s">
        <v>14</v>
      </c>
      <c r="I133" s="1" t="s">
        <v>15</v>
      </c>
    </row>
    <row r="134" ht="15.75" customHeight="1">
      <c r="A134" s="1" t="s">
        <v>637</v>
      </c>
      <c r="B134" s="1" t="s">
        <v>638</v>
      </c>
      <c r="C134" s="1">
        <v>2019.0</v>
      </c>
      <c r="D134" s="1" t="s">
        <v>639</v>
      </c>
      <c r="E134" s="1" t="s">
        <v>640</v>
      </c>
      <c r="F134" s="1" t="s">
        <v>641</v>
      </c>
      <c r="G134" s="1">
        <v>1.0</v>
      </c>
      <c r="H134" s="1" t="s">
        <v>14</v>
      </c>
      <c r="I134" s="1" t="s">
        <v>15</v>
      </c>
    </row>
    <row r="135" ht="15.75" customHeight="1">
      <c r="A135" s="1" t="s">
        <v>642</v>
      </c>
      <c r="B135" s="1" t="s">
        <v>643</v>
      </c>
      <c r="C135" s="1">
        <v>2021.0</v>
      </c>
      <c r="D135" s="1" t="s">
        <v>644</v>
      </c>
      <c r="F135" s="1" t="s">
        <v>645</v>
      </c>
      <c r="G135" s="1">
        <v>8.0</v>
      </c>
      <c r="H135" s="1" t="s">
        <v>14</v>
      </c>
      <c r="I135" s="1" t="s">
        <v>15</v>
      </c>
    </row>
    <row r="136" ht="15.75" customHeight="1">
      <c r="A136" s="1" t="s">
        <v>646</v>
      </c>
      <c r="B136" s="1" t="s">
        <v>647</v>
      </c>
      <c r="C136" s="1">
        <v>2020.0</v>
      </c>
      <c r="D136" s="1" t="s">
        <v>648</v>
      </c>
      <c r="E136" s="1" t="s">
        <v>649</v>
      </c>
      <c r="F136" s="1" t="s">
        <v>650</v>
      </c>
      <c r="G136" s="1">
        <v>8.0</v>
      </c>
      <c r="H136" s="1" t="s">
        <v>14</v>
      </c>
      <c r="I136" s="1" t="s">
        <v>21</v>
      </c>
    </row>
    <row r="137" ht="15.75" customHeight="1">
      <c r="A137" s="1" t="s">
        <v>651</v>
      </c>
      <c r="B137" s="1" t="s">
        <v>652</v>
      </c>
      <c r="C137" s="1">
        <v>2021.0</v>
      </c>
      <c r="D137" s="1" t="s">
        <v>653</v>
      </c>
      <c r="E137" s="1" t="s">
        <v>654</v>
      </c>
      <c r="F137" s="1" t="s">
        <v>655</v>
      </c>
      <c r="G137" s="1">
        <v>1.0</v>
      </c>
      <c r="H137" s="1" t="s">
        <v>14</v>
      </c>
      <c r="I137" s="1" t="s">
        <v>15</v>
      </c>
    </row>
    <row r="138" ht="15.75" customHeight="1">
      <c r="A138" s="1" t="s">
        <v>656</v>
      </c>
      <c r="B138" s="1" t="s">
        <v>657</v>
      </c>
      <c r="C138" s="1">
        <v>2021.0</v>
      </c>
      <c r="D138" s="1" t="s">
        <v>63</v>
      </c>
      <c r="E138" s="1" t="s">
        <v>658</v>
      </c>
      <c r="F138" s="1" t="s">
        <v>659</v>
      </c>
      <c r="G138" s="1">
        <v>15.0</v>
      </c>
      <c r="H138" s="1" t="s">
        <v>14</v>
      </c>
      <c r="I138" s="1" t="s">
        <v>15</v>
      </c>
    </row>
    <row r="139" ht="15.75" customHeight="1">
      <c r="A139" s="1" t="s">
        <v>660</v>
      </c>
      <c r="B139" s="1" t="s">
        <v>661</v>
      </c>
      <c r="C139" s="1">
        <v>2019.0</v>
      </c>
      <c r="D139" s="1" t="s">
        <v>662</v>
      </c>
      <c r="E139" s="1" t="s">
        <v>663</v>
      </c>
      <c r="F139" s="1" t="s">
        <v>664</v>
      </c>
      <c r="G139" s="1">
        <v>1.0</v>
      </c>
      <c r="H139" s="1" t="s">
        <v>14</v>
      </c>
      <c r="I139" s="1" t="s">
        <v>15</v>
      </c>
    </row>
    <row r="140" ht="15.75" customHeight="1">
      <c r="A140" s="1" t="s">
        <v>665</v>
      </c>
      <c r="B140" s="1" t="s">
        <v>666</v>
      </c>
      <c r="C140" s="1">
        <v>2021.0</v>
      </c>
      <c r="D140" s="1" t="s">
        <v>78</v>
      </c>
      <c r="E140" s="1" t="s">
        <v>667</v>
      </c>
      <c r="F140" s="1" t="s">
        <v>668</v>
      </c>
      <c r="G140" s="1">
        <v>29.0</v>
      </c>
      <c r="H140" s="1" t="s">
        <v>14</v>
      </c>
      <c r="I140" s="1" t="s">
        <v>15</v>
      </c>
    </row>
    <row r="141" ht="15.75" customHeight="1">
      <c r="A141" s="1" t="s">
        <v>669</v>
      </c>
      <c r="B141" s="1" t="s">
        <v>670</v>
      </c>
      <c r="C141" s="1">
        <v>2018.0</v>
      </c>
      <c r="D141" s="1" t="s">
        <v>671</v>
      </c>
      <c r="E141" s="1" t="s">
        <v>672</v>
      </c>
      <c r="F141" s="1" t="s">
        <v>673</v>
      </c>
      <c r="G141" s="1">
        <v>2.0</v>
      </c>
      <c r="H141" s="1" t="s">
        <v>14</v>
      </c>
      <c r="I141" s="1" t="s">
        <v>15</v>
      </c>
    </row>
    <row r="142" ht="15.75" customHeight="1">
      <c r="A142" s="1" t="s">
        <v>674</v>
      </c>
      <c r="B142" s="1" t="s">
        <v>675</v>
      </c>
      <c r="C142" s="1">
        <v>2019.0</v>
      </c>
      <c r="D142" s="1" t="s">
        <v>320</v>
      </c>
      <c r="E142" s="1" t="s">
        <v>676</v>
      </c>
      <c r="F142" s="1" t="s">
        <v>677</v>
      </c>
      <c r="G142" s="1">
        <v>0.0</v>
      </c>
      <c r="H142" s="1" t="s">
        <v>14</v>
      </c>
      <c r="I142" s="1" t="s">
        <v>15</v>
      </c>
    </row>
    <row r="143" ht="15.75" customHeight="1">
      <c r="A143" s="1" t="s">
        <v>678</v>
      </c>
      <c r="B143" s="1" t="s">
        <v>679</v>
      </c>
      <c r="C143" s="1">
        <v>2020.0</v>
      </c>
      <c r="D143" s="1" t="s">
        <v>486</v>
      </c>
      <c r="F143" s="1" t="s">
        <v>680</v>
      </c>
      <c r="G143" s="1">
        <v>29.0</v>
      </c>
      <c r="H143" s="1" t="s">
        <v>14</v>
      </c>
      <c r="I143" s="1" t="s">
        <v>15</v>
      </c>
    </row>
    <row r="144" ht="15.75" customHeight="1">
      <c r="A144" s="1" t="s">
        <v>681</v>
      </c>
      <c r="B144" s="1" t="s">
        <v>682</v>
      </c>
      <c r="C144" s="1">
        <v>2019.0</v>
      </c>
      <c r="D144" s="1" t="s">
        <v>683</v>
      </c>
      <c r="E144" s="1" t="s">
        <v>684</v>
      </c>
      <c r="F144" s="1" t="s">
        <v>685</v>
      </c>
      <c r="G144" s="1">
        <v>6.0</v>
      </c>
      <c r="H144" s="1" t="s">
        <v>14</v>
      </c>
      <c r="I144" s="1" t="s">
        <v>15</v>
      </c>
    </row>
    <row r="145" ht="15.75" customHeight="1">
      <c r="A145" s="1" t="s">
        <v>686</v>
      </c>
      <c r="B145" s="1" t="s">
        <v>687</v>
      </c>
      <c r="C145" s="1">
        <v>2021.0</v>
      </c>
      <c r="D145" s="1" t="s">
        <v>532</v>
      </c>
      <c r="F145" s="1" t="s">
        <v>688</v>
      </c>
      <c r="G145" s="1">
        <v>0.0</v>
      </c>
      <c r="H145" s="1" t="s">
        <v>14</v>
      </c>
      <c r="I145" s="1" t="s">
        <v>15</v>
      </c>
    </row>
    <row r="146" ht="15.75" customHeight="1">
      <c r="A146" s="1" t="s">
        <v>689</v>
      </c>
      <c r="B146" s="1" t="s">
        <v>690</v>
      </c>
      <c r="C146" s="1">
        <v>2020.0</v>
      </c>
      <c r="D146" s="1" t="s">
        <v>691</v>
      </c>
      <c r="F146" s="1" t="s">
        <v>692</v>
      </c>
      <c r="G146" s="1">
        <v>5.0</v>
      </c>
      <c r="H146" s="1" t="s">
        <v>14</v>
      </c>
      <c r="I146" s="1" t="s">
        <v>15</v>
      </c>
    </row>
    <row r="147" ht="15.75" customHeight="1">
      <c r="A147" s="1" t="s">
        <v>693</v>
      </c>
      <c r="B147" s="1" t="s">
        <v>694</v>
      </c>
      <c r="C147" s="1">
        <v>2019.0</v>
      </c>
      <c r="D147" s="1" t="s">
        <v>695</v>
      </c>
      <c r="E147" s="1" t="s">
        <v>696</v>
      </c>
      <c r="F147" s="1" t="s">
        <v>697</v>
      </c>
      <c r="G147" s="1">
        <v>2.0</v>
      </c>
      <c r="H147" s="1" t="s">
        <v>14</v>
      </c>
      <c r="I147" s="1" t="s">
        <v>21</v>
      </c>
    </row>
    <row r="148" ht="15.75" customHeight="1">
      <c r="A148" s="1" t="s">
        <v>698</v>
      </c>
      <c r="B148" s="1" t="s">
        <v>666</v>
      </c>
      <c r="C148" s="1">
        <v>2021.0</v>
      </c>
      <c r="D148" s="1" t="s">
        <v>78</v>
      </c>
      <c r="E148" s="1" t="s">
        <v>699</v>
      </c>
      <c r="F148" s="1" t="s">
        <v>700</v>
      </c>
      <c r="G148" s="1">
        <v>0.0</v>
      </c>
      <c r="H148" s="1" t="s">
        <v>14</v>
      </c>
      <c r="I148" s="1" t="s">
        <v>15</v>
      </c>
    </row>
    <row r="149" ht="15.75" customHeight="1">
      <c r="A149" s="1" t="s">
        <v>701</v>
      </c>
      <c r="B149" s="1" t="s">
        <v>702</v>
      </c>
      <c r="C149" s="1">
        <v>2019.0</v>
      </c>
      <c r="D149" s="1" t="s">
        <v>449</v>
      </c>
      <c r="E149" s="1" t="s">
        <v>703</v>
      </c>
      <c r="F149" s="1" t="s">
        <v>704</v>
      </c>
      <c r="G149" s="1">
        <v>0.0</v>
      </c>
      <c r="H149" s="1" t="s">
        <v>14</v>
      </c>
      <c r="I149" s="1" t="s">
        <v>15</v>
      </c>
    </row>
    <row r="150" ht="15.75" customHeight="1">
      <c r="A150" s="1" t="s">
        <v>705</v>
      </c>
      <c r="B150" s="1" t="s">
        <v>706</v>
      </c>
      <c r="C150" s="1">
        <v>2018.0</v>
      </c>
      <c r="D150" s="1" t="s">
        <v>707</v>
      </c>
      <c r="E150" s="1" t="s">
        <v>708</v>
      </c>
      <c r="F150" s="1" t="s">
        <v>709</v>
      </c>
      <c r="G150" s="1">
        <v>1.0</v>
      </c>
      <c r="H150" s="1" t="s">
        <v>14</v>
      </c>
      <c r="I150" s="1" t="s">
        <v>21</v>
      </c>
    </row>
    <row r="151" ht="15.75" customHeight="1">
      <c r="A151" s="1" t="s">
        <v>710</v>
      </c>
      <c r="B151" s="1" t="s">
        <v>711</v>
      </c>
      <c r="C151" s="1">
        <v>2021.0</v>
      </c>
      <c r="D151" s="1" t="s">
        <v>712</v>
      </c>
      <c r="E151" s="1" t="s">
        <v>713</v>
      </c>
      <c r="F151" s="1" t="s">
        <v>714</v>
      </c>
      <c r="G151" s="1">
        <v>5.0</v>
      </c>
      <c r="H151" s="1" t="s">
        <v>14</v>
      </c>
      <c r="I151" s="1" t="s">
        <v>15</v>
      </c>
    </row>
    <row r="152" ht="15.75" customHeight="1">
      <c r="A152" s="1" t="s">
        <v>715</v>
      </c>
      <c r="B152" s="1" t="s">
        <v>716</v>
      </c>
      <c r="C152" s="1">
        <v>2020.0</v>
      </c>
      <c r="D152" s="1" t="s">
        <v>717</v>
      </c>
      <c r="E152" s="1" t="s">
        <v>718</v>
      </c>
      <c r="F152" s="1" t="s">
        <v>719</v>
      </c>
      <c r="G152" s="1">
        <v>97.0</v>
      </c>
      <c r="H152" s="1" t="s">
        <v>14</v>
      </c>
      <c r="I152" s="1" t="s">
        <v>15</v>
      </c>
    </row>
    <row r="153" ht="15.75" customHeight="1">
      <c r="A153" s="1" t="s">
        <v>720</v>
      </c>
      <c r="B153" s="1" t="s">
        <v>721</v>
      </c>
      <c r="C153" s="1">
        <v>2020.0</v>
      </c>
      <c r="D153" s="1" t="s">
        <v>722</v>
      </c>
      <c r="E153" s="1" t="s">
        <v>723</v>
      </c>
      <c r="F153" s="1" t="s">
        <v>724</v>
      </c>
      <c r="G153" s="1">
        <v>13.0</v>
      </c>
      <c r="H153" s="1" t="s">
        <v>14</v>
      </c>
      <c r="I153" s="1" t="s">
        <v>21</v>
      </c>
    </row>
    <row r="154" ht="15.75" customHeight="1">
      <c r="A154" s="1" t="s">
        <v>725</v>
      </c>
      <c r="B154" s="1" t="s">
        <v>726</v>
      </c>
      <c r="C154" s="1">
        <v>2020.0</v>
      </c>
      <c r="D154" s="1" t="s">
        <v>532</v>
      </c>
      <c r="F154" s="1" t="s">
        <v>727</v>
      </c>
      <c r="G154" s="1">
        <v>49.0</v>
      </c>
      <c r="H154" s="1" t="s">
        <v>14</v>
      </c>
      <c r="I154" s="1" t="s">
        <v>15</v>
      </c>
    </row>
    <row r="155" ht="15.75" customHeight="1">
      <c r="A155" s="1" t="s">
        <v>728</v>
      </c>
      <c r="B155" s="1" t="s">
        <v>729</v>
      </c>
      <c r="C155" s="1">
        <v>2018.0</v>
      </c>
      <c r="D155" s="1" t="s">
        <v>63</v>
      </c>
      <c r="E155" s="1" t="s">
        <v>730</v>
      </c>
      <c r="F155" s="1" t="s">
        <v>731</v>
      </c>
      <c r="G155" s="1">
        <v>1.0</v>
      </c>
      <c r="H155" s="1" t="s">
        <v>14</v>
      </c>
      <c r="I155" s="1" t="s">
        <v>15</v>
      </c>
    </row>
    <row r="156" ht="15.75" customHeight="1">
      <c r="A156" s="1" t="s">
        <v>732</v>
      </c>
      <c r="B156" s="1" t="s">
        <v>733</v>
      </c>
      <c r="C156" s="1">
        <v>2021.0</v>
      </c>
      <c r="D156" s="1" t="s">
        <v>111</v>
      </c>
      <c r="E156" s="1" t="s">
        <v>734</v>
      </c>
      <c r="F156" s="1" t="s">
        <v>735</v>
      </c>
      <c r="G156" s="1">
        <v>14.0</v>
      </c>
      <c r="H156" s="1" t="s">
        <v>14</v>
      </c>
      <c r="I156" s="1" t="s">
        <v>21</v>
      </c>
    </row>
    <row r="157" ht="15.75" customHeight="1">
      <c r="A157" s="1" t="s">
        <v>736</v>
      </c>
      <c r="B157" s="1" t="s">
        <v>737</v>
      </c>
      <c r="C157" s="1">
        <v>2019.0</v>
      </c>
      <c r="D157" s="1" t="s">
        <v>738</v>
      </c>
      <c r="E157" s="1" t="s">
        <v>739</v>
      </c>
      <c r="F157" s="1" t="s">
        <v>740</v>
      </c>
      <c r="G157" s="1">
        <v>34.0</v>
      </c>
      <c r="H157" s="1" t="s">
        <v>14</v>
      </c>
      <c r="I157" s="1" t="s">
        <v>21</v>
      </c>
    </row>
    <row r="158" ht="15.75" customHeight="1">
      <c r="A158" s="1" t="s">
        <v>741</v>
      </c>
      <c r="B158" s="1" t="s">
        <v>742</v>
      </c>
      <c r="C158" s="1">
        <v>2020.0</v>
      </c>
      <c r="D158" s="1" t="s">
        <v>743</v>
      </c>
      <c r="E158" s="1" t="s">
        <v>744</v>
      </c>
      <c r="F158" s="1" t="s">
        <v>745</v>
      </c>
      <c r="G158" s="1">
        <v>0.0</v>
      </c>
      <c r="H158" s="1" t="s">
        <v>14</v>
      </c>
      <c r="I158" s="1" t="s">
        <v>15</v>
      </c>
    </row>
    <row r="159" ht="15.75" customHeight="1">
      <c r="A159" s="1" t="s">
        <v>746</v>
      </c>
      <c r="B159" s="1" t="s">
        <v>747</v>
      </c>
      <c r="C159" s="1">
        <v>2019.0</v>
      </c>
      <c r="D159" s="1" t="s">
        <v>748</v>
      </c>
      <c r="E159" s="1" t="s">
        <v>749</v>
      </c>
      <c r="F159" s="1" t="s">
        <v>750</v>
      </c>
      <c r="G159" s="1">
        <v>4.0</v>
      </c>
      <c r="H159" s="1" t="s">
        <v>14</v>
      </c>
      <c r="I159" s="1" t="s">
        <v>21</v>
      </c>
    </row>
    <row r="160" ht="15.75" customHeight="1">
      <c r="A160" s="1" t="s">
        <v>751</v>
      </c>
      <c r="B160" s="1" t="s">
        <v>752</v>
      </c>
      <c r="C160" s="1">
        <v>2020.0</v>
      </c>
      <c r="D160" s="1" t="s">
        <v>753</v>
      </c>
      <c r="E160" s="1" t="s">
        <v>754</v>
      </c>
      <c r="F160" s="1" t="s">
        <v>755</v>
      </c>
      <c r="G160" s="1">
        <v>0.0</v>
      </c>
      <c r="H160" s="1" t="s">
        <v>14</v>
      </c>
      <c r="I160" s="1" t="s">
        <v>15</v>
      </c>
    </row>
    <row r="161" ht="15.75" customHeight="1">
      <c r="A161" s="1" t="s">
        <v>756</v>
      </c>
      <c r="B161" s="1" t="s">
        <v>757</v>
      </c>
      <c r="C161" s="1">
        <v>2020.0</v>
      </c>
      <c r="D161" s="1" t="s">
        <v>393</v>
      </c>
      <c r="E161" s="1" t="s">
        <v>758</v>
      </c>
      <c r="F161" s="1" t="s">
        <v>759</v>
      </c>
      <c r="G161" s="1">
        <v>32.0</v>
      </c>
      <c r="H161" s="1" t="s">
        <v>14</v>
      </c>
      <c r="I161" s="1" t="s">
        <v>21</v>
      </c>
    </row>
    <row r="162" ht="15.75" customHeight="1">
      <c r="A162" s="1" t="s">
        <v>760</v>
      </c>
      <c r="B162" s="1" t="s">
        <v>761</v>
      </c>
      <c r="C162" s="1">
        <v>2019.0</v>
      </c>
      <c r="D162" s="1" t="s">
        <v>762</v>
      </c>
      <c r="E162" s="1" t="s">
        <v>763</v>
      </c>
      <c r="F162" s="1" t="s">
        <v>764</v>
      </c>
      <c r="G162" s="1">
        <v>10.0</v>
      </c>
      <c r="H162" s="1" t="s">
        <v>14</v>
      </c>
      <c r="I162" s="1" t="s">
        <v>15</v>
      </c>
    </row>
    <row r="163" ht="15.75" customHeight="1">
      <c r="A163" s="1" t="s">
        <v>765</v>
      </c>
      <c r="B163" s="1" t="s">
        <v>766</v>
      </c>
      <c r="C163" s="1">
        <v>2020.0</v>
      </c>
      <c r="D163" s="1" t="s">
        <v>767</v>
      </c>
      <c r="E163" s="1" t="s">
        <v>768</v>
      </c>
      <c r="F163" s="1" t="s">
        <v>769</v>
      </c>
      <c r="G163" s="1">
        <v>12.0</v>
      </c>
      <c r="H163" s="1" t="s">
        <v>14</v>
      </c>
      <c r="I163" s="1" t="s">
        <v>21</v>
      </c>
    </row>
    <row r="164" ht="15.75" customHeight="1">
      <c r="A164" s="1" t="s">
        <v>770</v>
      </c>
      <c r="B164" s="1" t="s">
        <v>771</v>
      </c>
      <c r="C164" s="1">
        <v>2019.0</v>
      </c>
      <c r="D164" s="1" t="s">
        <v>772</v>
      </c>
      <c r="F164" s="1" t="s">
        <v>773</v>
      </c>
      <c r="G164" s="1">
        <v>4.0</v>
      </c>
      <c r="H164" s="1" t="s">
        <v>14</v>
      </c>
      <c r="I164" s="1" t="s">
        <v>15</v>
      </c>
    </row>
    <row r="165" ht="15.75" customHeight="1">
      <c r="A165" s="1" t="s">
        <v>774</v>
      </c>
      <c r="B165" s="1" t="s">
        <v>775</v>
      </c>
      <c r="C165" s="1">
        <v>2019.0</v>
      </c>
      <c r="D165" s="1" t="s">
        <v>776</v>
      </c>
      <c r="E165" s="1" t="s">
        <v>777</v>
      </c>
      <c r="F165" s="1" t="s">
        <v>778</v>
      </c>
      <c r="G165" s="1">
        <v>9.0</v>
      </c>
      <c r="H165" s="1" t="s">
        <v>14</v>
      </c>
      <c r="I165" s="1" t="s">
        <v>15</v>
      </c>
    </row>
    <row r="166" ht="15.75" customHeight="1">
      <c r="A166" s="1" t="s">
        <v>779</v>
      </c>
      <c r="B166" s="1" t="s">
        <v>780</v>
      </c>
      <c r="C166" s="1">
        <v>2020.0</v>
      </c>
      <c r="D166" s="1" t="s">
        <v>781</v>
      </c>
      <c r="E166" s="1" t="s">
        <v>782</v>
      </c>
      <c r="F166" s="1" t="s">
        <v>783</v>
      </c>
      <c r="G166" s="1">
        <v>7.0</v>
      </c>
      <c r="H166" s="1" t="s">
        <v>14</v>
      </c>
      <c r="I166" s="1" t="s">
        <v>21</v>
      </c>
    </row>
    <row r="167" ht="15.75" customHeight="1">
      <c r="A167" s="1" t="s">
        <v>784</v>
      </c>
      <c r="B167" s="1" t="s">
        <v>785</v>
      </c>
      <c r="C167" s="1">
        <v>2019.0</v>
      </c>
      <c r="D167" s="1" t="s">
        <v>786</v>
      </c>
      <c r="E167" s="1" t="s">
        <v>787</v>
      </c>
      <c r="F167" s="1" t="s">
        <v>788</v>
      </c>
      <c r="G167" s="1">
        <v>6.0</v>
      </c>
      <c r="H167" s="1" t="s">
        <v>14</v>
      </c>
      <c r="I167" s="1" t="s">
        <v>15</v>
      </c>
    </row>
    <row r="168" ht="15.75" customHeight="1">
      <c r="A168" s="1" t="s">
        <v>789</v>
      </c>
      <c r="B168" s="1" t="s">
        <v>790</v>
      </c>
      <c r="C168" s="1">
        <v>2021.0</v>
      </c>
      <c r="D168" s="1" t="s">
        <v>791</v>
      </c>
      <c r="E168" s="1" t="s">
        <v>792</v>
      </c>
      <c r="F168" s="1" t="s">
        <v>793</v>
      </c>
      <c r="G168" s="1">
        <v>2.0</v>
      </c>
      <c r="H168" s="1" t="s">
        <v>14</v>
      </c>
      <c r="I168" s="1" t="s">
        <v>15</v>
      </c>
    </row>
    <row r="169" ht="15.75" customHeight="1">
      <c r="A169" s="1" t="s">
        <v>794</v>
      </c>
      <c r="B169" s="1" t="s">
        <v>795</v>
      </c>
      <c r="C169" s="1">
        <v>2020.0</v>
      </c>
      <c r="D169" s="1" t="s">
        <v>796</v>
      </c>
      <c r="E169" s="1" t="s">
        <v>797</v>
      </c>
      <c r="F169" s="1" t="s">
        <v>798</v>
      </c>
      <c r="G169" s="1">
        <v>2.0</v>
      </c>
      <c r="H169" s="1" t="s">
        <v>14</v>
      </c>
      <c r="I169" s="1" t="s">
        <v>15</v>
      </c>
    </row>
    <row r="170" ht="15.75" customHeight="1">
      <c r="A170" s="1" t="s">
        <v>799</v>
      </c>
      <c r="B170" s="1" t="s">
        <v>800</v>
      </c>
      <c r="C170" s="1">
        <v>2021.0</v>
      </c>
      <c r="D170" s="1" t="s">
        <v>96</v>
      </c>
      <c r="E170" s="1" t="s">
        <v>801</v>
      </c>
      <c r="F170" s="1" t="s">
        <v>802</v>
      </c>
      <c r="G170" s="1">
        <v>0.0</v>
      </c>
      <c r="H170" s="1" t="s">
        <v>14</v>
      </c>
      <c r="I170" s="1" t="s">
        <v>15</v>
      </c>
    </row>
    <row r="171" ht="15.75" customHeight="1">
      <c r="A171" s="1" t="s">
        <v>803</v>
      </c>
      <c r="B171" s="1" t="s">
        <v>804</v>
      </c>
      <c r="C171" s="1">
        <v>2020.0</v>
      </c>
      <c r="D171" s="1" t="s">
        <v>402</v>
      </c>
      <c r="E171" s="1" t="s">
        <v>805</v>
      </c>
      <c r="F171" s="1" t="s">
        <v>806</v>
      </c>
      <c r="G171" s="1">
        <v>8.0</v>
      </c>
      <c r="H171" s="1" t="s">
        <v>14</v>
      </c>
      <c r="I171" s="1" t="s">
        <v>21</v>
      </c>
    </row>
    <row r="172" ht="15.75" customHeight="1">
      <c r="A172" s="1" t="s">
        <v>807</v>
      </c>
      <c r="B172" s="1" t="s">
        <v>808</v>
      </c>
      <c r="C172" s="1">
        <v>2020.0</v>
      </c>
      <c r="D172" s="1" t="s">
        <v>292</v>
      </c>
      <c r="E172" s="1" t="s">
        <v>809</v>
      </c>
      <c r="F172" s="1" t="s">
        <v>810</v>
      </c>
      <c r="G172" s="1">
        <v>13.0</v>
      </c>
      <c r="H172" s="1" t="s">
        <v>14</v>
      </c>
      <c r="I172" s="1" t="s">
        <v>15</v>
      </c>
    </row>
    <row r="173" ht="15.75" customHeight="1">
      <c r="A173" s="1" t="s">
        <v>811</v>
      </c>
      <c r="B173" s="1" t="s">
        <v>812</v>
      </c>
      <c r="C173" s="1">
        <v>2018.0</v>
      </c>
      <c r="D173" s="1" t="s">
        <v>153</v>
      </c>
      <c r="E173" s="1" t="s">
        <v>813</v>
      </c>
      <c r="F173" s="1" t="s">
        <v>814</v>
      </c>
      <c r="G173" s="1">
        <v>5.0</v>
      </c>
      <c r="H173" s="1" t="s">
        <v>14</v>
      </c>
      <c r="I173" s="1" t="s">
        <v>15</v>
      </c>
    </row>
    <row r="174" ht="15.75" customHeight="1">
      <c r="A174" s="1" t="s">
        <v>815</v>
      </c>
      <c r="B174" s="1" t="s">
        <v>816</v>
      </c>
      <c r="C174" s="1">
        <v>2021.0</v>
      </c>
      <c r="E174" s="1" t="s">
        <v>817</v>
      </c>
      <c r="F174" s="1" t="s">
        <v>818</v>
      </c>
      <c r="G174" s="1">
        <v>0.0</v>
      </c>
      <c r="H174" s="1" t="s">
        <v>14</v>
      </c>
      <c r="I174" s="1" t="s">
        <v>15</v>
      </c>
    </row>
    <row r="175" ht="15.75" customHeight="1">
      <c r="A175" s="1" t="s">
        <v>819</v>
      </c>
      <c r="B175" s="1" t="s">
        <v>820</v>
      </c>
      <c r="C175" s="1">
        <v>2021.0</v>
      </c>
      <c r="D175" s="1" t="s">
        <v>821</v>
      </c>
      <c r="E175" s="1" t="s">
        <v>822</v>
      </c>
      <c r="F175" s="1" t="s">
        <v>823</v>
      </c>
      <c r="G175" s="1">
        <v>6.0</v>
      </c>
      <c r="H175" s="1" t="s">
        <v>14</v>
      </c>
      <c r="I175" s="1" t="s">
        <v>21</v>
      </c>
    </row>
    <row r="176" ht="15.75" customHeight="1">
      <c r="A176" s="1" t="s">
        <v>824</v>
      </c>
      <c r="B176" s="1" t="s">
        <v>825</v>
      </c>
      <c r="C176" s="1">
        <v>2020.0</v>
      </c>
      <c r="D176" s="1" t="s">
        <v>826</v>
      </c>
      <c r="E176" s="1" t="s">
        <v>827</v>
      </c>
      <c r="F176" s="1" t="s">
        <v>828</v>
      </c>
      <c r="G176" s="1">
        <v>17.0</v>
      </c>
      <c r="H176" s="1" t="s">
        <v>14</v>
      </c>
      <c r="I176" s="1" t="s">
        <v>21</v>
      </c>
    </row>
    <row r="177" ht="15.75" customHeight="1">
      <c r="A177" s="1" t="s">
        <v>829</v>
      </c>
      <c r="B177" s="1" t="s">
        <v>830</v>
      </c>
      <c r="C177" s="1">
        <v>2018.0</v>
      </c>
      <c r="D177" s="1" t="s">
        <v>831</v>
      </c>
      <c r="E177" s="1" t="s">
        <v>832</v>
      </c>
      <c r="F177" s="1" t="s">
        <v>833</v>
      </c>
      <c r="G177" s="1">
        <v>23.0</v>
      </c>
      <c r="H177" s="1" t="s">
        <v>14</v>
      </c>
      <c r="I177" s="1" t="s">
        <v>21</v>
      </c>
    </row>
    <row r="178" ht="15.75" customHeight="1">
      <c r="A178" s="1" t="s">
        <v>834</v>
      </c>
      <c r="B178" s="1" t="s">
        <v>835</v>
      </c>
      <c r="C178" s="1">
        <v>2021.0</v>
      </c>
      <c r="D178" s="1" t="s">
        <v>836</v>
      </c>
      <c r="E178" s="1" t="s">
        <v>837</v>
      </c>
      <c r="F178" s="1" t="s">
        <v>838</v>
      </c>
      <c r="G178" s="1">
        <v>2.0</v>
      </c>
      <c r="H178" s="1" t="s">
        <v>14</v>
      </c>
      <c r="I178" s="1" t="s">
        <v>15</v>
      </c>
    </row>
    <row r="179" ht="15.75" customHeight="1">
      <c r="A179" s="1" t="s">
        <v>839</v>
      </c>
      <c r="B179" s="1" t="s">
        <v>840</v>
      </c>
      <c r="C179" s="1">
        <v>2021.0</v>
      </c>
      <c r="D179" s="1" t="s">
        <v>841</v>
      </c>
      <c r="E179" s="1" t="s">
        <v>842</v>
      </c>
      <c r="F179" s="1" t="s">
        <v>843</v>
      </c>
      <c r="G179" s="1">
        <v>0.0</v>
      </c>
      <c r="H179" s="1" t="s">
        <v>14</v>
      </c>
      <c r="I179" s="1" t="s">
        <v>15</v>
      </c>
    </row>
    <row r="180" ht="15.75" customHeight="1">
      <c r="A180" s="1" t="s">
        <v>844</v>
      </c>
      <c r="B180" s="1" t="s">
        <v>845</v>
      </c>
      <c r="C180" s="1">
        <v>2020.0</v>
      </c>
      <c r="D180" s="1" t="s">
        <v>846</v>
      </c>
      <c r="E180" s="1" t="s">
        <v>847</v>
      </c>
      <c r="F180" s="1" t="s">
        <v>848</v>
      </c>
      <c r="G180" s="1">
        <v>8.0</v>
      </c>
      <c r="H180" s="1" t="s">
        <v>14</v>
      </c>
      <c r="I180" s="1" t="s">
        <v>15</v>
      </c>
    </row>
    <row r="181" ht="15.75" customHeight="1">
      <c r="A181" s="1" t="s">
        <v>849</v>
      </c>
      <c r="B181" s="1" t="s">
        <v>850</v>
      </c>
      <c r="C181" s="1">
        <v>2018.0</v>
      </c>
      <c r="D181" s="1" t="s">
        <v>851</v>
      </c>
      <c r="E181" s="1" t="s">
        <v>852</v>
      </c>
      <c r="F181" s="1" t="s">
        <v>853</v>
      </c>
      <c r="G181" s="1">
        <v>25.0</v>
      </c>
      <c r="H181" s="1" t="s">
        <v>14</v>
      </c>
      <c r="I181" s="1" t="s">
        <v>15</v>
      </c>
    </row>
    <row r="182" ht="15.75" customHeight="1">
      <c r="A182" s="1" t="s">
        <v>854</v>
      </c>
      <c r="B182" s="1" t="s">
        <v>855</v>
      </c>
      <c r="C182" s="1">
        <v>2020.0</v>
      </c>
      <c r="D182" s="1" t="s">
        <v>129</v>
      </c>
      <c r="E182" s="1" t="s">
        <v>856</v>
      </c>
      <c r="F182" s="1" t="s">
        <v>857</v>
      </c>
      <c r="G182" s="1">
        <v>3.0</v>
      </c>
      <c r="H182" s="1" t="s">
        <v>14</v>
      </c>
      <c r="I182" s="1" t="s">
        <v>21</v>
      </c>
    </row>
    <row r="183" ht="15.75" customHeight="1">
      <c r="A183" s="1" t="s">
        <v>858</v>
      </c>
      <c r="B183" s="1" t="s">
        <v>859</v>
      </c>
      <c r="C183" s="1">
        <v>2018.0</v>
      </c>
      <c r="D183" s="1" t="s">
        <v>860</v>
      </c>
      <c r="F183" s="1" t="s">
        <v>861</v>
      </c>
      <c r="G183" s="1">
        <v>1.0</v>
      </c>
      <c r="H183" s="1" t="s">
        <v>14</v>
      </c>
      <c r="I183" s="1" t="s">
        <v>15</v>
      </c>
    </row>
    <row r="184" ht="15.75" customHeight="1">
      <c r="A184" s="1" t="s">
        <v>862</v>
      </c>
      <c r="B184" s="1" t="s">
        <v>863</v>
      </c>
      <c r="C184" s="1">
        <v>2019.0</v>
      </c>
      <c r="D184" s="1" t="s">
        <v>864</v>
      </c>
      <c r="E184" s="1" t="s">
        <v>865</v>
      </c>
      <c r="F184" s="1" t="s">
        <v>866</v>
      </c>
      <c r="G184" s="1">
        <v>41.0</v>
      </c>
      <c r="H184" s="1" t="s">
        <v>14</v>
      </c>
      <c r="I184" s="1" t="s">
        <v>21</v>
      </c>
    </row>
    <row r="185" ht="15.75" customHeight="1">
      <c r="A185" s="1" t="s">
        <v>867</v>
      </c>
      <c r="B185" s="1" t="s">
        <v>868</v>
      </c>
      <c r="C185" s="1">
        <v>2019.0</v>
      </c>
      <c r="D185" s="1" t="s">
        <v>869</v>
      </c>
      <c r="E185" s="1" t="s">
        <v>870</v>
      </c>
      <c r="F185" s="1" t="s">
        <v>871</v>
      </c>
      <c r="G185" s="1">
        <v>3.0</v>
      </c>
      <c r="H185" s="1" t="s">
        <v>14</v>
      </c>
      <c r="I185" s="1" t="s">
        <v>15</v>
      </c>
    </row>
    <row r="186" ht="15.75" customHeight="1">
      <c r="A186" s="1" t="s">
        <v>872</v>
      </c>
      <c r="B186" s="1" t="s">
        <v>873</v>
      </c>
      <c r="C186" s="1">
        <v>2021.0</v>
      </c>
      <c r="D186" s="1" t="s">
        <v>344</v>
      </c>
      <c r="E186" s="1" t="s">
        <v>874</v>
      </c>
      <c r="F186" s="1" t="s">
        <v>875</v>
      </c>
      <c r="G186" s="1">
        <v>6.0</v>
      </c>
      <c r="H186" s="1" t="s">
        <v>14</v>
      </c>
      <c r="I186" s="1" t="s">
        <v>21</v>
      </c>
    </row>
    <row r="187" ht="15.75" customHeight="1">
      <c r="A187" s="1" t="s">
        <v>876</v>
      </c>
      <c r="B187" s="1" t="s">
        <v>877</v>
      </c>
      <c r="C187" s="1">
        <v>2020.0</v>
      </c>
      <c r="D187" s="1" t="s">
        <v>878</v>
      </c>
      <c r="E187" s="1" t="s">
        <v>879</v>
      </c>
      <c r="F187" s="1" t="s">
        <v>880</v>
      </c>
      <c r="G187" s="1">
        <v>2.0</v>
      </c>
      <c r="H187" s="1" t="s">
        <v>14</v>
      </c>
      <c r="I187" s="1" t="s">
        <v>15</v>
      </c>
    </row>
    <row r="188" ht="15.75" customHeight="1">
      <c r="A188" s="1" t="s">
        <v>881</v>
      </c>
      <c r="B188" s="1" t="s">
        <v>882</v>
      </c>
      <c r="C188" s="1">
        <v>2019.0</v>
      </c>
      <c r="D188" s="1" t="s">
        <v>449</v>
      </c>
      <c r="E188" s="1" t="s">
        <v>883</v>
      </c>
      <c r="F188" s="1" t="s">
        <v>884</v>
      </c>
      <c r="G188" s="1">
        <v>0.0</v>
      </c>
      <c r="H188" s="1" t="s">
        <v>14</v>
      </c>
      <c r="I188" s="1" t="s">
        <v>15</v>
      </c>
    </row>
    <row r="189" ht="15.75" customHeight="1">
      <c r="A189" s="1" t="s">
        <v>885</v>
      </c>
      <c r="B189" s="1" t="s">
        <v>886</v>
      </c>
      <c r="C189" s="1">
        <v>2018.0</v>
      </c>
      <c r="D189" s="1" t="s">
        <v>887</v>
      </c>
      <c r="E189" s="1" t="s">
        <v>888</v>
      </c>
      <c r="F189" s="1" t="s">
        <v>889</v>
      </c>
      <c r="G189" s="1">
        <v>3.0</v>
      </c>
      <c r="H189" s="1" t="s">
        <v>14</v>
      </c>
      <c r="I189" s="1" t="s">
        <v>15</v>
      </c>
    </row>
    <row r="190" ht="15.75" customHeight="1">
      <c r="A190" s="1" t="s">
        <v>890</v>
      </c>
      <c r="B190" s="1" t="s">
        <v>891</v>
      </c>
      <c r="C190" s="1">
        <v>2020.0</v>
      </c>
      <c r="D190" s="1" t="s">
        <v>292</v>
      </c>
      <c r="E190" s="1" t="s">
        <v>892</v>
      </c>
      <c r="F190" s="1" t="s">
        <v>893</v>
      </c>
      <c r="G190" s="1">
        <v>2.0</v>
      </c>
      <c r="H190" s="1" t="s">
        <v>14</v>
      </c>
      <c r="I190" s="1" t="s">
        <v>15</v>
      </c>
    </row>
    <row r="191" ht="15.75" customHeight="1">
      <c r="A191" s="1" t="s">
        <v>894</v>
      </c>
      <c r="B191" s="1" t="s">
        <v>895</v>
      </c>
      <c r="C191" s="1">
        <v>2018.0</v>
      </c>
      <c r="D191" s="1" t="s">
        <v>896</v>
      </c>
      <c r="E191" s="1" t="s">
        <v>897</v>
      </c>
      <c r="F191" s="1" t="s">
        <v>898</v>
      </c>
      <c r="G191" s="1">
        <v>11.0</v>
      </c>
      <c r="H191" s="1" t="s">
        <v>14</v>
      </c>
      <c r="I191" s="1" t="s">
        <v>21</v>
      </c>
    </row>
    <row r="192" ht="15.75" customHeight="1">
      <c r="A192" s="1" t="s">
        <v>899</v>
      </c>
      <c r="B192" s="1" t="s">
        <v>900</v>
      </c>
      <c r="C192" s="1">
        <v>2020.0</v>
      </c>
      <c r="D192" s="1" t="s">
        <v>78</v>
      </c>
      <c r="E192" s="1" t="s">
        <v>901</v>
      </c>
      <c r="F192" s="1" t="s">
        <v>902</v>
      </c>
      <c r="G192" s="1">
        <v>28.0</v>
      </c>
      <c r="H192" s="1" t="s">
        <v>14</v>
      </c>
      <c r="I192" s="1" t="s">
        <v>15</v>
      </c>
    </row>
    <row r="193" ht="15.75" customHeight="1">
      <c r="A193" s="1" t="s">
        <v>903</v>
      </c>
      <c r="B193" s="1" t="s">
        <v>904</v>
      </c>
      <c r="C193" s="1">
        <v>2018.0</v>
      </c>
      <c r="D193" s="1" t="s">
        <v>905</v>
      </c>
      <c r="E193" s="1" t="s">
        <v>906</v>
      </c>
      <c r="F193" s="1" t="s">
        <v>907</v>
      </c>
      <c r="G193" s="1">
        <v>0.0</v>
      </c>
      <c r="H193" s="1" t="s">
        <v>14</v>
      </c>
      <c r="I193" s="1" t="s">
        <v>15</v>
      </c>
    </row>
    <row r="194" ht="15.75" customHeight="1">
      <c r="A194" s="1" t="s">
        <v>908</v>
      </c>
      <c r="B194" s="1" t="s">
        <v>909</v>
      </c>
      <c r="C194" s="1">
        <v>2020.0</v>
      </c>
      <c r="D194" s="1" t="s">
        <v>910</v>
      </c>
      <c r="F194" s="1" t="s">
        <v>911</v>
      </c>
      <c r="G194" s="1">
        <v>1.0</v>
      </c>
      <c r="H194" s="1" t="s">
        <v>14</v>
      </c>
      <c r="I194" s="1" t="s">
        <v>21</v>
      </c>
    </row>
    <row r="195" ht="15.75" customHeight="1">
      <c r="A195" s="1" t="s">
        <v>912</v>
      </c>
      <c r="B195" s="1" t="s">
        <v>913</v>
      </c>
      <c r="C195" s="1">
        <v>2020.0</v>
      </c>
      <c r="D195" s="1" t="s">
        <v>320</v>
      </c>
      <c r="E195" s="1" t="s">
        <v>914</v>
      </c>
      <c r="F195" s="1" t="s">
        <v>915</v>
      </c>
      <c r="G195" s="1">
        <v>1.0</v>
      </c>
      <c r="H195" s="1" t="s">
        <v>14</v>
      </c>
      <c r="I195" s="1" t="s">
        <v>15</v>
      </c>
    </row>
    <row r="196" ht="15.75" customHeight="1">
      <c r="A196" s="1" t="s">
        <v>916</v>
      </c>
      <c r="B196" s="1" t="s">
        <v>917</v>
      </c>
      <c r="C196" s="1">
        <v>2020.0</v>
      </c>
      <c r="D196" s="1" t="s">
        <v>129</v>
      </c>
      <c r="E196" s="1" t="s">
        <v>918</v>
      </c>
      <c r="F196" s="1" t="s">
        <v>919</v>
      </c>
      <c r="G196" s="1">
        <v>25.0</v>
      </c>
      <c r="H196" s="1" t="s">
        <v>14</v>
      </c>
      <c r="I196" s="1" t="s">
        <v>21</v>
      </c>
    </row>
    <row r="197" ht="15.75" customHeight="1">
      <c r="A197" s="1" t="s">
        <v>920</v>
      </c>
      <c r="B197" s="1" t="s">
        <v>921</v>
      </c>
      <c r="C197" s="1">
        <v>2019.0</v>
      </c>
      <c r="D197" s="1" t="s">
        <v>78</v>
      </c>
      <c r="E197" s="1" t="s">
        <v>922</v>
      </c>
      <c r="F197" s="1" t="s">
        <v>923</v>
      </c>
      <c r="G197" s="1">
        <v>7.0</v>
      </c>
      <c r="H197" s="1" t="s">
        <v>14</v>
      </c>
      <c r="I197" s="1" t="s">
        <v>15</v>
      </c>
    </row>
    <row r="198" ht="15.75" customHeight="1">
      <c r="A198" s="1" t="s">
        <v>924</v>
      </c>
      <c r="B198" s="1" t="s">
        <v>925</v>
      </c>
      <c r="C198" s="1">
        <v>2018.0</v>
      </c>
      <c r="D198" s="1" t="s">
        <v>926</v>
      </c>
      <c r="E198" s="1" t="s">
        <v>927</v>
      </c>
      <c r="F198" s="1" t="s">
        <v>928</v>
      </c>
      <c r="G198" s="1">
        <v>11.0</v>
      </c>
      <c r="H198" s="1" t="s">
        <v>14</v>
      </c>
      <c r="I198" s="1" t="s">
        <v>21</v>
      </c>
    </row>
    <row r="199" ht="15.75" customHeight="1">
      <c r="A199" s="1" t="s">
        <v>929</v>
      </c>
      <c r="B199" s="1" t="s">
        <v>930</v>
      </c>
      <c r="C199" s="1">
        <v>2019.0</v>
      </c>
      <c r="D199" s="1" t="s">
        <v>931</v>
      </c>
      <c r="E199" s="1" t="s">
        <v>932</v>
      </c>
      <c r="F199" s="1" t="s">
        <v>933</v>
      </c>
      <c r="G199" s="1">
        <v>0.0</v>
      </c>
      <c r="H199" s="1" t="s">
        <v>14</v>
      </c>
      <c r="I199" s="1" t="s">
        <v>15</v>
      </c>
    </row>
    <row r="200" ht="15.75" customHeight="1">
      <c r="A200" s="1" t="s">
        <v>934</v>
      </c>
      <c r="B200" s="1" t="s">
        <v>935</v>
      </c>
      <c r="C200" s="1">
        <v>2018.0</v>
      </c>
      <c r="D200" s="1" t="s">
        <v>936</v>
      </c>
      <c r="F200" s="1" t="s">
        <v>937</v>
      </c>
      <c r="G200" s="1">
        <v>2.0</v>
      </c>
      <c r="H200" s="1" t="s">
        <v>14</v>
      </c>
      <c r="I200" s="1" t="s">
        <v>15</v>
      </c>
    </row>
    <row r="201" ht="15.75" customHeight="1">
      <c r="A201" s="1" t="s">
        <v>938</v>
      </c>
      <c r="B201" s="1" t="s">
        <v>939</v>
      </c>
      <c r="C201" s="1">
        <v>2020.0</v>
      </c>
      <c r="D201" s="1" t="s">
        <v>940</v>
      </c>
      <c r="E201" s="1" t="s">
        <v>941</v>
      </c>
      <c r="F201" s="1" t="s">
        <v>942</v>
      </c>
      <c r="G201" s="1">
        <v>6.0</v>
      </c>
      <c r="H201" s="1" t="s">
        <v>14</v>
      </c>
      <c r="I201" s="1" t="s">
        <v>15</v>
      </c>
    </row>
    <row r="202" ht="15.75" customHeight="1">
      <c r="A202" s="1" t="s">
        <v>943</v>
      </c>
      <c r="B202" s="1" t="s">
        <v>944</v>
      </c>
      <c r="C202" s="1">
        <v>2015.0</v>
      </c>
      <c r="D202" s="1" t="s">
        <v>945</v>
      </c>
      <c r="F202" s="1" t="s">
        <v>946</v>
      </c>
      <c r="G202" s="1">
        <v>9.0</v>
      </c>
      <c r="H202" s="1" t="s">
        <v>14</v>
      </c>
      <c r="I202" s="1" t="s">
        <v>15</v>
      </c>
    </row>
    <row r="203" ht="15.75" customHeight="1">
      <c r="A203" s="1" t="s">
        <v>947</v>
      </c>
      <c r="B203" s="1" t="s">
        <v>948</v>
      </c>
      <c r="C203" s="1">
        <v>2013.0</v>
      </c>
      <c r="D203" s="1" t="s">
        <v>949</v>
      </c>
      <c r="E203" s="1" t="s">
        <v>950</v>
      </c>
      <c r="F203" s="1" t="s">
        <v>951</v>
      </c>
      <c r="G203" s="1">
        <v>13.0</v>
      </c>
      <c r="H203" s="1" t="s">
        <v>14</v>
      </c>
      <c r="I203" s="1" t="s">
        <v>15</v>
      </c>
    </row>
    <row r="204" ht="15.75" customHeight="1">
      <c r="A204" s="1" t="s">
        <v>952</v>
      </c>
      <c r="B204" s="1" t="s">
        <v>953</v>
      </c>
      <c r="C204" s="1">
        <v>2014.0</v>
      </c>
      <c r="D204" s="1" t="s">
        <v>954</v>
      </c>
      <c r="E204" s="1" t="s">
        <v>955</v>
      </c>
      <c r="F204" s="1" t="s">
        <v>956</v>
      </c>
      <c r="G204" s="1">
        <v>12.0</v>
      </c>
      <c r="H204" s="1" t="s">
        <v>14</v>
      </c>
      <c r="I204" s="1" t="s">
        <v>21</v>
      </c>
    </row>
    <row r="205" ht="15.75" customHeight="1">
      <c r="A205" s="1" t="s">
        <v>957</v>
      </c>
      <c r="B205" s="1" t="s">
        <v>958</v>
      </c>
      <c r="C205" s="1">
        <v>2015.0</v>
      </c>
      <c r="D205" s="1" t="s">
        <v>959</v>
      </c>
      <c r="E205" s="1" t="s">
        <v>960</v>
      </c>
      <c r="F205" s="1" t="s">
        <v>961</v>
      </c>
      <c r="G205" s="1">
        <v>10.0</v>
      </c>
      <c r="H205" s="1" t="s">
        <v>14</v>
      </c>
      <c r="I205" s="1" t="s">
        <v>21</v>
      </c>
    </row>
    <row r="206" ht="15.75" customHeight="1">
      <c r="A206" s="1" t="s">
        <v>962</v>
      </c>
      <c r="B206" s="1" t="s">
        <v>963</v>
      </c>
      <c r="C206" s="1">
        <v>2014.0</v>
      </c>
      <c r="D206" s="1" t="s">
        <v>964</v>
      </c>
      <c r="F206" s="1" t="s">
        <v>965</v>
      </c>
      <c r="G206" s="1">
        <v>0.0</v>
      </c>
      <c r="H206" s="1" t="s">
        <v>14</v>
      </c>
      <c r="I206" s="1" t="s">
        <v>15</v>
      </c>
    </row>
    <row r="207" ht="15.75" customHeight="1">
      <c r="A207" s="1" t="s">
        <v>966</v>
      </c>
      <c r="B207" s="1" t="s">
        <v>967</v>
      </c>
      <c r="C207" s="1">
        <v>2017.0</v>
      </c>
      <c r="D207" s="1" t="s">
        <v>18</v>
      </c>
      <c r="E207" s="1" t="s">
        <v>968</v>
      </c>
      <c r="F207" s="1" t="s">
        <v>969</v>
      </c>
      <c r="G207" s="1">
        <v>6.0</v>
      </c>
      <c r="H207" s="1" t="s">
        <v>14</v>
      </c>
      <c r="I207" s="1" t="s">
        <v>21</v>
      </c>
    </row>
    <row r="208" ht="15.75" customHeight="1">
      <c r="A208" s="1" t="s">
        <v>970</v>
      </c>
      <c r="B208" s="1" t="s">
        <v>971</v>
      </c>
      <c r="C208" s="1">
        <v>2017.0</v>
      </c>
      <c r="D208" s="1" t="s">
        <v>972</v>
      </c>
      <c r="E208" s="1" t="s">
        <v>973</v>
      </c>
      <c r="F208" s="1" t="s">
        <v>974</v>
      </c>
      <c r="G208" s="1">
        <v>64.0</v>
      </c>
      <c r="H208" s="1" t="s">
        <v>14</v>
      </c>
      <c r="I208" s="1" t="s">
        <v>15</v>
      </c>
    </row>
    <row r="209" ht="15.75" customHeight="1">
      <c r="A209" s="1" t="s">
        <v>975</v>
      </c>
      <c r="B209" s="1" t="s">
        <v>976</v>
      </c>
      <c r="C209" s="1">
        <v>2015.0</v>
      </c>
      <c r="D209" s="1" t="s">
        <v>977</v>
      </c>
      <c r="E209" s="1" t="s">
        <v>978</v>
      </c>
      <c r="F209" s="1" t="s">
        <v>979</v>
      </c>
      <c r="G209" s="1">
        <v>6.0</v>
      </c>
      <c r="H209" s="1" t="s">
        <v>14</v>
      </c>
      <c r="I209" s="1" t="s">
        <v>21</v>
      </c>
    </row>
    <row r="210" ht="15.75" customHeight="1">
      <c r="A210" s="1" t="s">
        <v>980</v>
      </c>
      <c r="B210" s="1" t="s">
        <v>981</v>
      </c>
      <c r="C210" s="1">
        <v>2014.0</v>
      </c>
      <c r="D210" s="1" t="s">
        <v>982</v>
      </c>
      <c r="E210" s="1" t="s">
        <v>983</v>
      </c>
      <c r="F210" s="1" t="s">
        <v>984</v>
      </c>
      <c r="G210" s="1">
        <v>33.0</v>
      </c>
      <c r="H210" s="1" t="s">
        <v>14</v>
      </c>
      <c r="I210" s="1" t="s">
        <v>15</v>
      </c>
    </row>
    <row r="211" ht="15.75" customHeight="1">
      <c r="A211" s="1" t="s">
        <v>985</v>
      </c>
      <c r="B211" s="1" t="s">
        <v>986</v>
      </c>
      <c r="C211" s="1">
        <v>2014.0</v>
      </c>
      <c r="D211" s="1" t="s">
        <v>987</v>
      </c>
      <c r="E211" s="1" t="s">
        <v>988</v>
      </c>
      <c r="F211" s="1" t="s">
        <v>989</v>
      </c>
      <c r="G211" s="1">
        <v>88.0</v>
      </c>
      <c r="H211" s="1" t="s">
        <v>14</v>
      </c>
      <c r="I211" s="1" t="s">
        <v>15</v>
      </c>
    </row>
    <row r="212" ht="15.75" customHeight="1">
      <c r="A212" s="1" t="s">
        <v>990</v>
      </c>
      <c r="B212" s="1" t="s">
        <v>991</v>
      </c>
      <c r="C212" s="1">
        <v>2016.0</v>
      </c>
      <c r="D212" s="1" t="s">
        <v>63</v>
      </c>
      <c r="E212" s="1" t="s">
        <v>992</v>
      </c>
      <c r="F212" s="1" t="s">
        <v>993</v>
      </c>
      <c r="G212" s="1">
        <v>6.0</v>
      </c>
      <c r="H212" s="1" t="s">
        <v>14</v>
      </c>
      <c r="I212" s="1" t="s">
        <v>15</v>
      </c>
    </row>
    <row r="213" ht="15.75" customHeight="1">
      <c r="A213" s="1" t="s">
        <v>994</v>
      </c>
      <c r="B213" s="1" t="s">
        <v>995</v>
      </c>
      <c r="C213" s="1">
        <v>2014.0</v>
      </c>
      <c r="D213" s="1" t="s">
        <v>996</v>
      </c>
      <c r="E213" s="1" t="s">
        <v>997</v>
      </c>
      <c r="F213" s="1" t="s">
        <v>998</v>
      </c>
      <c r="G213" s="1">
        <v>12.0</v>
      </c>
      <c r="H213" s="1" t="s">
        <v>14</v>
      </c>
      <c r="I213" s="1" t="s">
        <v>15</v>
      </c>
    </row>
    <row r="214" ht="15.75" customHeight="1">
      <c r="A214" s="1" t="s">
        <v>999</v>
      </c>
      <c r="B214" s="1" t="s">
        <v>1000</v>
      </c>
      <c r="C214" s="1">
        <v>2017.0</v>
      </c>
      <c r="D214" s="1" t="s">
        <v>63</v>
      </c>
      <c r="E214" s="1" t="s">
        <v>1001</v>
      </c>
      <c r="F214" s="1" t="s">
        <v>1002</v>
      </c>
      <c r="G214" s="1">
        <v>20.0</v>
      </c>
      <c r="H214" s="1" t="s">
        <v>14</v>
      </c>
      <c r="I214" s="1" t="s">
        <v>15</v>
      </c>
    </row>
    <row r="215" ht="15.75" customHeight="1">
      <c r="A215" s="1" t="s">
        <v>1003</v>
      </c>
      <c r="B215" s="1" t="s">
        <v>1004</v>
      </c>
      <c r="C215" s="1">
        <v>2017.0</v>
      </c>
      <c r="D215" s="1" t="s">
        <v>1005</v>
      </c>
      <c r="E215" s="1" t="s">
        <v>1006</v>
      </c>
      <c r="F215" s="1" t="s">
        <v>1007</v>
      </c>
      <c r="G215" s="1">
        <v>27.0</v>
      </c>
      <c r="H215" s="1" t="s">
        <v>14</v>
      </c>
      <c r="I215" s="1" t="s">
        <v>15</v>
      </c>
    </row>
    <row r="216" ht="15.75" customHeight="1">
      <c r="A216" s="1" t="s">
        <v>1008</v>
      </c>
      <c r="B216" s="1" t="s">
        <v>1009</v>
      </c>
      <c r="C216" s="1">
        <v>2016.0</v>
      </c>
      <c r="D216" s="1" t="s">
        <v>216</v>
      </c>
      <c r="E216" s="1" t="s">
        <v>1010</v>
      </c>
      <c r="F216" s="1" t="s">
        <v>1011</v>
      </c>
      <c r="G216" s="1">
        <v>3.0</v>
      </c>
      <c r="H216" s="1" t="s">
        <v>14</v>
      </c>
      <c r="I216" s="1" t="s">
        <v>21</v>
      </c>
    </row>
    <row r="217" ht="15.75" customHeight="1">
      <c r="A217" s="1" t="s">
        <v>1012</v>
      </c>
      <c r="B217" s="1" t="s">
        <v>1013</v>
      </c>
      <c r="C217" s="1">
        <v>2015.0</v>
      </c>
      <c r="D217" s="1" t="s">
        <v>1014</v>
      </c>
      <c r="E217" s="1" t="s">
        <v>1015</v>
      </c>
      <c r="F217" s="1" t="s">
        <v>1016</v>
      </c>
      <c r="G217" s="1">
        <v>11.0</v>
      </c>
      <c r="H217" s="1" t="s">
        <v>14</v>
      </c>
      <c r="I217" s="1" t="s">
        <v>21</v>
      </c>
    </row>
    <row r="218" ht="15.75" customHeight="1">
      <c r="A218" s="1" t="s">
        <v>1017</v>
      </c>
      <c r="B218" s="1" t="s">
        <v>1018</v>
      </c>
      <c r="C218" s="1">
        <v>2017.0</v>
      </c>
      <c r="D218" s="1" t="s">
        <v>1019</v>
      </c>
      <c r="E218" s="1" t="s">
        <v>1020</v>
      </c>
      <c r="F218" s="1" t="s">
        <v>1021</v>
      </c>
      <c r="G218" s="1">
        <v>2.0</v>
      </c>
      <c r="H218" s="1" t="s">
        <v>14</v>
      </c>
      <c r="I218" s="1" t="s">
        <v>15</v>
      </c>
    </row>
    <row r="219" ht="15.75" customHeight="1">
      <c r="A219" s="1" t="s">
        <v>1022</v>
      </c>
      <c r="B219" s="1" t="s">
        <v>1023</v>
      </c>
      <c r="C219" s="1">
        <v>2015.0</v>
      </c>
      <c r="D219" s="1" t="s">
        <v>1024</v>
      </c>
      <c r="E219" s="1" t="s">
        <v>1025</v>
      </c>
      <c r="F219" s="1" t="s">
        <v>1026</v>
      </c>
      <c r="G219" s="1">
        <v>15.0</v>
      </c>
      <c r="H219" s="1" t="s">
        <v>14</v>
      </c>
      <c r="I219" s="1" t="s">
        <v>21</v>
      </c>
    </row>
    <row r="220" ht="15.75" customHeight="1">
      <c r="A220" s="1" t="s">
        <v>1027</v>
      </c>
      <c r="B220" s="1" t="s">
        <v>1028</v>
      </c>
      <c r="C220" s="1">
        <v>2017.0</v>
      </c>
      <c r="D220" s="1" t="s">
        <v>1029</v>
      </c>
      <c r="E220" s="1" t="s">
        <v>1030</v>
      </c>
      <c r="F220" s="1" t="s">
        <v>1031</v>
      </c>
      <c r="G220" s="1">
        <v>4.0</v>
      </c>
      <c r="H220" s="1" t="s">
        <v>14</v>
      </c>
      <c r="I220" s="1" t="s">
        <v>15</v>
      </c>
    </row>
    <row r="221" ht="15.75" customHeight="1">
      <c r="A221" s="1" t="s">
        <v>1032</v>
      </c>
      <c r="B221" s="1" t="s">
        <v>1033</v>
      </c>
      <c r="C221" s="1">
        <v>2016.0</v>
      </c>
      <c r="D221" s="1" t="s">
        <v>1034</v>
      </c>
      <c r="F221" s="1" t="s">
        <v>1035</v>
      </c>
      <c r="G221" s="1">
        <v>0.0</v>
      </c>
      <c r="H221" s="1" t="s">
        <v>14</v>
      </c>
      <c r="I221" s="1" t="s">
        <v>15</v>
      </c>
    </row>
    <row r="222" ht="15.75" customHeight="1">
      <c r="A222" s="1" t="s">
        <v>1036</v>
      </c>
      <c r="B222" s="1" t="s">
        <v>1037</v>
      </c>
      <c r="C222" s="1">
        <v>2013.0</v>
      </c>
      <c r="D222" s="1" t="s">
        <v>78</v>
      </c>
      <c r="E222" s="1" t="s">
        <v>1038</v>
      </c>
      <c r="F222" s="1" t="s">
        <v>1039</v>
      </c>
      <c r="G222" s="1">
        <v>37.0</v>
      </c>
      <c r="H222" s="1" t="s">
        <v>14</v>
      </c>
      <c r="I222" s="1" t="s">
        <v>15</v>
      </c>
    </row>
    <row r="223" ht="15.75" customHeight="1">
      <c r="A223" s="1" t="s">
        <v>1040</v>
      </c>
      <c r="B223" s="1" t="s">
        <v>1041</v>
      </c>
      <c r="C223" s="1">
        <v>2013.0</v>
      </c>
      <c r="D223" s="1" t="s">
        <v>1042</v>
      </c>
      <c r="E223" s="1" t="s">
        <v>1043</v>
      </c>
      <c r="F223" s="1" t="s">
        <v>1044</v>
      </c>
      <c r="G223" s="1">
        <v>4.0</v>
      </c>
      <c r="H223" s="1" t="s">
        <v>14</v>
      </c>
      <c r="I223" s="1" t="s">
        <v>21</v>
      </c>
    </row>
    <row r="224" ht="15.75" customHeight="1">
      <c r="A224" s="1" t="s">
        <v>1045</v>
      </c>
      <c r="B224" s="1" t="s">
        <v>1046</v>
      </c>
      <c r="C224" s="1">
        <v>2013.0</v>
      </c>
      <c r="D224" s="1" t="s">
        <v>1047</v>
      </c>
      <c r="E224" s="1" t="s">
        <v>1048</v>
      </c>
      <c r="F224" s="1" t="s">
        <v>1049</v>
      </c>
      <c r="G224" s="1">
        <v>36.0</v>
      </c>
      <c r="H224" s="1" t="s">
        <v>14</v>
      </c>
      <c r="I224" s="1" t="s">
        <v>15</v>
      </c>
    </row>
    <row r="225" ht="15.75" customHeight="1">
      <c r="A225" s="1" t="s">
        <v>1050</v>
      </c>
      <c r="B225" s="1" t="s">
        <v>1051</v>
      </c>
      <c r="C225" s="1">
        <v>2014.0</v>
      </c>
      <c r="D225" s="1" t="s">
        <v>1052</v>
      </c>
      <c r="E225" s="1" t="s">
        <v>1053</v>
      </c>
      <c r="F225" s="1" t="s">
        <v>1054</v>
      </c>
      <c r="G225" s="1">
        <v>10.0</v>
      </c>
      <c r="H225" s="1" t="s">
        <v>14</v>
      </c>
      <c r="I225" s="1" t="s">
        <v>15</v>
      </c>
    </row>
    <row r="226" ht="15.75" customHeight="1">
      <c r="A226" s="1" t="s">
        <v>1055</v>
      </c>
      <c r="B226" s="1" t="s">
        <v>1056</v>
      </c>
      <c r="C226" s="1">
        <v>2015.0</v>
      </c>
      <c r="D226" s="1" t="s">
        <v>936</v>
      </c>
      <c r="F226" s="1" t="s">
        <v>1057</v>
      </c>
      <c r="G226" s="1">
        <v>0.0</v>
      </c>
      <c r="H226" s="1" t="s">
        <v>14</v>
      </c>
      <c r="I226" s="1" t="s">
        <v>15</v>
      </c>
    </row>
    <row r="227" ht="15.75" customHeight="1">
      <c r="A227" s="1" t="s">
        <v>1058</v>
      </c>
      <c r="B227" s="1" t="s">
        <v>1059</v>
      </c>
      <c r="C227" s="1">
        <v>2016.0</v>
      </c>
      <c r="D227" s="1" t="s">
        <v>63</v>
      </c>
      <c r="E227" s="1" t="s">
        <v>1060</v>
      </c>
      <c r="F227" s="1" t="s">
        <v>1061</v>
      </c>
      <c r="G227" s="1">
        <v>3.0</v>
      </c>
      <c r="H227" s="1" t="s">
        <v>14</v>
      </c>
      <c r="I227" s="1" t="s">
        <v>15</v>
      </c>
    </row>
    <row r="228" ht="15.75" customHeight="1">
      <c r="A228" s="1" t="s">
        <v>1062</v>
      </c>
      <c r="B228" s="1" t="s">
        <v>1063</v>
      </c>
      <c r="C228" s="1">
        <v>2013.0</v>
      </c>
      <c r="D228" s="1" t="s">
        <v>1064</v>
      </c>
      <c r="E228" s="1" t="s">
        <v>1065</v>
      </c>
      <c r="F228" s="1" t="s">
        <v>1066</v>
      </c>
      <c r="G228" s="1">
        <v>7.0</v>
      </c>
      <c r="H228" s="1" t="s">
        <v>14</v>
      </c>
      <c r="I228" s="1" t="s">
        <v>15</v>
      </c>
    </row>
    <row r="229" ht="15.75" customHeight="1">
      <c r="A229" s="1" t="s">
        <v>1067</v>
      </c>
      <c r="B229" s="1" t="s">
        <v>1068</v>
      </c>
      <c r="C229" s="1">
        <v>2018.0</v>
      </c>
      <c r="D229" s="1" t="s">
        <v>1069</v>
      </c>
      <c r="E229" s="1" t="s">
        <v>1070</v>
      </c>
      <c r="F229" s="1" t="s">
        <v>1071</v>
      </c>
      <c r="G229" s="1">
        <v>0.0</v>
      </c>
      <c r="H229" s="1" t="s">
        <v>14</v>
      </c>
      <c r="I229" s="1" t="s">
        <v>15</v>
      </c>
    </row>
    <row r="230" ht="15.75" customHeight="1">
      <c r="A230" s="1" t="s">
        <v>1072</v>
      </c>
      <c r="B230" s="1" t="s">
        <v>1073</v>
      </c>
      <c r="C230" s="1">
        <v>2015.0</v>
      </c>
      <c r="D230" s="1" t="s">
        <v>1074</v>
      </c>
      <c r="E230" s="1" t="s">
        <v>1075</v>
      </c>
      <c r="F230" s="1" t="s">
        <v>1076</v>
      </c>
      <c r="G230" s="1">
        <v>19.0</v>
      </c>
      <c r="H230" s="1" t="s">
        <v>14</v>
      </c>
      <c r="I230" s="1" t="s">
        <v>15</v>
      </c>
    </row>
    <row r="231" ht="15.75" customHeight="1">
      <c r="A231" s="1" t="s">
        <v>1077</v>
      </c>
      <c r="B231" s="1" t="s">
        <v>1078</v>
      </c>
      <c r="C231" s="1">
        <v>2016.0</v>
      </c>
      <c r="D231" s="1" t="s">
        <v>1079</v>
      </c>
      <c r="E231" s="1" t="s">
        <v>1080</v>
      </c>
      <c r="F231" s="1" t="s">
        <v>1081</v>
      </c>
      <c r="G231" s="1">
        <v>4.0</v>
      </c>
      <c r="H231" s="1" t="s">
        <v>14</v>
      </c>
      <c r="I231" s="1" t="s">
        <v>15</v>
      </c>
    </row>
    <row r="232" ht="15.75" customHeight="1">
      <c r="A232" s="1" t="s">
        <v>1082</v>
      </c>
      <c r="B232" s="1" t="s">
        <v>1083</v>
      </c>
      <c r="C232" s="1">
        <v>2015.0</v>
      </c>
      <c r="D232" s="1" t="s">
        <v>1084</v>
      </c>
      <c r="E232" s="1" t="s">
        <v>1085</v>
      </c>
      <c r="F232" s="1" t="s">
        <v>1086</v>
      </c>
      <c r="G232" s="1">
        <v>3.0</v>
      </c>
      <c r="H232" s="1" t="s">
        <v>14</v>
      </c>
      <c r="I232" s="1" t="s">
        <v>15</v>
      </c>
    </row>
    <row r="233" ht="15.75" customHeight="1">
      <c r="A233" s="1" t="s">
        <v>1087</v>
      </c>
      <c r="B233" s="1" t="s">
        <v>1023</v>
      </c>
      <c r="C233" s="1">
        <v>2014.0</v>
      </c>
      <c r="D233" s="1" t="s">
        <v>63</v>
      </c>
      <c r="E233" s="1" t="s">
        <v>1088</v>
      </c>
      <c r="F233" s="1" t="s">
        <v>1089</v>
      </c>
      <c r="G233" s="1">
        <v>14.0</v>
      </c>
      <c r="H233" s="1" t="s">
        <v>14</v>
      </c>
      <c r="I233" s="1" t="s">
        <v>15</v>
      </c>
    </row>
    <row r="234" ht="15.75" customHeight="1">
      <c r="A234" s="1" t="s">
        <v>1090</v>
      </c>
      <c r="B234" s="1" t="s">
        <v>1091</v>
      </c>
      <c r="C234" s="1">
        <v>2017.0</v>
      </c>
      <c r="D234" s="1" t="s">
        <v>1092</v>
      </c>
      <c r="E234" s="1" t="s">
        <v>1093</v>
      </c>
      <c r="F234" s="1" t="s">
        <v>1094</v>
      </c>
      <c r="G234" s="1">
        <v>5.0</v>
      </c>
      <c r="H234" s="1" t="s">
        <v>14</v>
      </c>
      <c r="I234" s="1" t="s">
        <v>21</v>
      </c>
    </row>
    <row r="235" ht="15.75" customHeight="1">
      <c r="A235" s="1" t="s">
        <v>1095</v>
      </c>
      <c r="B235" s="1" t="s">
        <v>1096</v>
      </c>
      <c r="C235" s="1">
        <v>2016.0</v>
      </c>
      <c r="D235" s="1" t="s">
        <v>1097</v>
      </c>
      <c r="E235" s="1" t="s">
        <v>1098</v>
      </c>
      <c r="F235" s="1" t="s">
        <v>1099</v>
      </c>
      <c r="G235" s="1">
        <v>0.0</v>
      </c>
      <c r="H235" s="1" t="s">
        <v>14</v>
      </c>
      <c r="I235" s="1" t="s">
        <v>15</v>
      </c>
    </row>
    <row r="236" ht="15.75" customHeight="1">
      <c r="A236" s="1" t="s">
        <v>1100</v>
      </c>
      <c r="B236" s="1" t="s">
        <v>1101</v>
      </c>
      <c r="C236" s="1">
        <v>2017.0</v>
      </c>
      <c r="D236" s="1" t="s">
        <v>1102</v>
      </c>
      <c r="E236" s="1" t="s">
        <v>1103</v>
      </c>
      <c r="F236" s="1" t="s">
        <v>1104</v>
      </c>
      <c r="G236" s="1">
        <v>6.0</v>
      </c>
      <c r="H236" s="1" t="s">
        <v>14</v>
      </c>
      <c r="I236" s="1" t="s">
        <v>15</v>
      </c>
    </row>
    <row r="237" ht="15.75" customHeight="1">
      <c r="A237" s="1" t="s">
        <v>1105</v>
      </c>
      <c r="B237" s="1" t="s">
        <v>1106</v>
      </c>
      <c r="C237" s="1">
        <v>2015.0</v>
      </c>
      <c r="D237" s="1" t="s">
        <v>63</v>
      </c>
      <c r="E237" s="1" t="s">
        <v>1107</v>
      </c>
      <c r="F237" s="1" t="s">
        <v>1108</v>
      </c>
      <c r="G237" s="1">
        <v>22.0</v>
      </c>
      <c r="H237" s="1" t="s">
        <v>14</v>
      </c>
      <c r="I237" s="1" t="s">
        <v>15</v>
      </c>
    </row>
    <row r="238" ht="15.75" customHeight="1">
      <c r="A238" s="1" t="s">
        <v>1109</v>
      </c>
      <c r="B238" s="1" t="s">
        <v>1110</v>
      </c>
      <c r="C238" s="1">
        <v>2016.0</v>
      </c>
      <c r="D238" s="1" t="s">
        <v>1111</v>
      </c>
      <c r="E238" s="1" t="s">
        <v>1112</v>
      </c>
      <c r="F238" s="1" t="s">
        <v>1113</v>
      </c>
      <c r="G238" s="1">
        <v>3.0</v>
      </c>
      <c r="H238" s="1" t="s">
        <v>14</v>
      </c>
      <c r="I238" s="1" t="s">
        <v>15</v>
      </c>
    </row>
    <row r="239" ht="15.75" customHeight="1">
      <c r="A239" s="1" t="s">
        <v>1114</v>
      </c>
      <c r="B239" s="1" t="s">
        <v>1115</v>
      </c>
      <c r="C239" s="1">
        <v>2016.0</v>
      </c>
      <c r="D239" s="1" t="s">
        <v>1116</v>
      </c>
      <c r="E239" s="1" t="s">
        <v>1117</v>
      </c>
      <c r="F239" s="1" t="s">
        <v>1118</v>
      </c>
      <c r="G239" s="1">
        <v>0.0</v>
      </c>
      <c r="H239" s="1" t="s">
        <v>14</v>
      </c>
      <c r="I239" s="1" t="s">
        <v>15</v>
      </c>
    </row>
    <row r="240" ht="15.75" customHeight="1">
      <c r="A240" s="1" t="s">
        <v>1119</v>
      </c>
      <c r="B240" s="1" t="s">
        <v>1120</v>
      </c>
      <c r="C240" s="1">
        <v>2015.0</v>
      </c>
      <c r="D240" s="1" t="s">
        <v>1121</v>
      </c>
      <c r="E240" s="1" t="s">
        <v>1122</v>
      </c>
      <c r="F240" s="1" t="s">
        <v>1123</v>
      </c>
      <c r="G240" s="1">
        <v>36.0</v>
      </c>
      <c r="H240" s="1" t="s">
        <v>14</v>
      </c>
      <c r="I240" s="1" t="s">
        <v>15</v>
      </c>
    </row>
    <row r="241" ht="15.75" customHeight="1">
      <c r="A241" s="1" t="s">
        <v>1124</v>
      </c>
      <c r="B241" s="1" t="s">
        <v>1125</v>
      </c>
      <c r="C241" s="1">
        <v>2013.0</v>
      </c>
      <c r="D241" s="1" t="s">
        <v>1126</v>
      </c>
      <c r="F241" s="1" t="s">
        <v>1127</v>
      </c>
      <c r="G241" s="1">
        <v>1.0</v>
      </c>
      <c r="H241" s="1" t="s">
        <v>14</v>
      </c>
      <c r="I241" s="1" t="s">
        <v>15</v>
      </c>
    </row>
    <row r="242" ht="15.75" customHeight="1">
      <c r="A242" s="1" t="s">
        <v>1128</v>
      </c>
      <c r="B242" s="1" t="s">
        <v>1129</v>
      </c>
      <c r="C242" s="1">
        <v>2014.0</v>
      </c>
      <c r="D242" s="1" t="s">
        <v>1130</v>
      </c>
      <c r="F242" s="1" t="s">
        <v>1131</v>
      </c>
      <c r="G242" s="1">
        <v>0.0</v>
      </c>
      <c r="H242" s="1" t="s">
        <v>14</v>
      </c>
      <c r="I242" s="1" t="s">
        <v>15</v>
      </c>
    </row>
    <row r="243" ht="15.75" customHeight="1">
      <c r="A243" s="1" t="s">
        <v>1132</v>
      </c>
      <c r="B243" s="1" t="s">
        <v>1133</v>
      </c>
      <c r="C243" s="1">
        <v>2013.0</v>
      </c>
      <c r="D243" s="1" t="s">
        <v>1134</v>
      </c>
      <c r="E243" s="1" t="s">
        <v>1135</v>
      </c>
      <c r="F243" s="1" t="s">
        <v>1136</v>
      </c>
      <c r="G243" s="1">
        <v>9.0</v>
      </c>
      <c r="H243" s="1" t="s">
        <v>14</v>
      </c>
      <c r="I243" s="1" t="s">
        <v>15</v>
      </c>
    </row>
    <row r="244" ht="15.75" customHeight="1">
      <c r="A244" s="1" t="s">
        <v>1137</v>
      </c>
      <c r="B244" s="1" t="s">
        <v>1138</v>
      </c>
      <c r="C244" s="1">
        <v>2017.0</v>
      </c>
      <c r="D244" s="1" t="s">
        <v>1139</v>
      </c>
      <c r="E244" s="1" t="s">
        <v>1140</v>
      </c>
      <c r="F244" s="1" t="s">
        <v>1141</v>
      </c>
      <c r="G244" s="1">
        <v>1.0</v>
      </c>
      <c r="H244" s="1" t="s">
        <v>14</v>
      </c>
      <c r="I244" s="1" t="s">
        <v>15</v>
      </c>
    </row>
    <row r="245" ht="15.75" customHeight="1">
      <c r="A245" s="1" t="s">
        <v>1142</v>
      </c>
      <c r="B245" s="1" t="s">
        <v>1143</v>
      </c>
      <c r="C245" s="1">
        <v>2016.0</v>
      </c>
      <c r="D245" s="1" t="s">
        <v>129</v>
      </c>
      <c r="E245" s="1" t="s">
        <v>1144</v>
      </c>
      <c r="F245" s="1" t="s">
        <v>1145</v>
      </c>
      <c r="G245" s="1">
        <v>4.0</v>
      </c>
      <c r="H245" s="1" t="s">
        <v>14</v>
      </c>
      <c r="I245" s="1" t="s">
        <v>21</v>
      </c>
    </row>
    <row r="246" ht="15.75" customHeight="1">
      <c r="A246" s="1" t="s">
        <v>1146</v>
      </c>
      <c r="B246" s="1" t="s">
        <v>1147</v>
      </c>
      <c r="C246" s="1">
        <v>2015.0</v>
      </c>
      <c r="D246" s="1" t="s">
        <v>1148</v>
      </c>
      <c r="E246" s="1" t="s">
        <v>1149</v>
      </c>
      <c r="F246" s="1" t="s">
        <v>1150</v>
      </c>
      <c r="G246" s="1">
        <v>13.0</v>
      </c>
      <c r="H246" s="1" t="s">
        <v>14</v>
      </c>
      <c r="I246" s="1" t="s">
        <v>15</v>
      </c>
    </row>
    <row r="247" ht="15.75" customHeight="1">
      <c r="A247" s="1" t="s">
        <v>1151</v>
      </c>
      <c r="B247" s="1" t="s">
        <v>1152</v>
      </c>
      <c r="C247" s="1">
        <v>2016.0</v>
      </c>
      <c r="D247" s="1" t="s">
        <v>1153</v>
      </c>
      <c r="E247" s="1" t="s">
        <v>1154</v>
      </c>
      <c r="F247" s="1" t="s">
        <v>1155</v>
      </c>
      <c r="G247" s="1">
        <v>17.0</v>
      </c>
      <c r="H247" s="1" t="s">
        <v>14</v>
      </c>
      <c r="I247" s="1" t="s">
        <v>15</v>
      </c>
    </row>
    <row r="248" ht="15.75" customHeight="1">
      <c r="A248" s="1" t="s">
        <v>1156</v>
      </c>
      <c r="B248" s="1" t="s">
        <v>1157</v>
      </c>
      <c r="C248" s="1">
        <v>2014.0</v>
      </c>
      <c r="D248" s="1" t="s">
        <v>550</v>
      </c>
      <c r="E248" s="1" t="s">
        <v>1158</v>
      </c>
      <c r="F248" s="1" t="s">
        <v>1159</v>
      </c>
      <c r="G248" s="1">
        <v>1.0</v>
      </c>
      <c r="H248" s="1" t="s">
        <v>14</v>
      </c>
      <c r="I248" s="1" t="s">
        <v>15</v>
      </c>
    </row>
    <row r="249" ht="15.75" customHeight="1">
      <c r="A249" s="1" t="s">
        <v>1160</v>
      </c>
      <c r="B249" s="1" t="s">
        <v>1161</v>
      </c>
      <c r="C249" s="1">
        <v>2016.0</v>
      </c>
      <c r="D249" s="1" t="s">
        <v>1162</v>
      </c>
      <c r="E249" s="1" t="s">
        <v>1163</v>
      </c>
      <c r="F249" s="1" t="s">
        <v>1164</v>
      </c>
      <c r="G249" s="1">
        <v>17.0</v>
      </c>
      <c r="H249" s="1" t="s">
        <v>14</v>
      </c>
      <c r="I249" s="1" t="s">
        <v>21</v>
      </c>
    </row>
    <row r="250" ht="15.75" customHeight="1">
      <c r="A250" s="1" t="s">
        <v>1165</v>
      </c>
      <c r="B250" s="1" t="s">
        <v>1166</v>
      </c>
      <c r="C250" s="1">
        <v>2017.0</v>
      </c>
      <c r="D250" s="1" t="s">
        <v>1167</v>
      </c>
      <c r="E250" s="1" t="s">
        <v>1168</v>
      </c>
      <c r="F250" s="1" t="s">
        <v>1169</v>
      </c>
      <c r="G250" s="1">
        <v>1.0</v>
      </c>
      <c r="H250" s="1" t="s">
        <v>14</v>
      </c>
      <c r="I250" s="1" t="s">
        <v>21</v>
      </c>
    </row>
    <row r="251" ht="15.75" customHeight="1">
      <c r="A251" s="1" t="s">
        <v>1170</v>
      </c>
      <c r="B251" s="1" t="s">
        <v>1171</v>
      </c>
      <c r="C251" s="1">
        <v>2015.0</v>
      </c>
      <c r="D251" s="1" t="s">
        <v>1172</v>
      </c>
      <c r="E251" s="1" t="s">
        <v>1173</v>
      </c>
      <c r="F251" s="1" t="s">
        <v>1174</v>
      </c>
      <c r="G251" s="1">
        <v>0.0</v>
      </c>
      <c r="H251" s="1" t="s">
        <v>14</v>
      </c>
      <c r="I251" s="1" t="s">
        <v>21</v>
      </c>
    </row>
    <row r="252" ht="15.75" customHeight="1">
      <c r="A252" s="1" t="s">
        <v>1175</v>
      </c>
      <c r="B252" s="1" t="s">
        <v>1176</v>
      </c>
      <c r="C252" s="1">
        <v>2014.0</v>
      </c>
      <c r="D252" s="1" t="s">
        <v>216</v>
      </c>
      <c r="E252" s="1" t="s">
        <v>1177</v>
      </c>
      <c r="F252" s="1" t="s">
        <v>1178</v>
      </c>
      <c r="G252" s="1">
        <v>35.0</v>
      </c>
      <c r="H252" s="1" t="s">
        <v>14</v>
      </c>
      <c r="I252" s="1" t="s">
        <v>21</v>
      </c>
    </row>
    <row r="253" ht="15.75" customHeight="1">
      <c r="A253" s="1" t="s">
        <v>903</v>
      </c>
      <c r="B253" s="1" t="s">
        <v>904</v>
      </c>
      <c r="C253" s="1">
        <v>2017.0</v>
      </c>
      <c r="D253" s="1" t="s">
        <v>1179</v>
      </c>
      <c r="E253" s="1" t="s">
        <v>1180</v>
      </c>
      <c r="F253" s="1" t="s">
        <v>1181</v>
      </c>
      <c r="G253" s="1">
        <v>0.0</v>
      </c>
      <c r="H253" s="1" t="s">
        <v>14</v>
      </c>
      <c r="I253" s="1" t="s">
        <v>15</v>
      </c>
    </row>
    <row r="254" ht="15.75" customHeight="1">
      <c r="A254" s="1" t="s">
        <v>1182</v>
      </c>
      <c r="B254" s="1" t="s">
        <v>1183</v>
      </c>
      <c r="C254" s="1">
        <v>2017.0</v>
      </c>
      <c r="D254" s="1" t="s">
        <v>1184</v>
      </c>
      <c r="E254" s="1" t="s">
        <v>1185</v>
      </c>
      <c r="F254" s="1" t="s">
        <v>1186</v>
      </c>
      <c r="G254" s="1">
        <v>9.0</v>
      </c>
      <c r="H254" s="1" t="s">
        <v>14</v>
      </c>
      <c r="I254" s="1" t="s">
        <v>15</v>
      </c>
    </row>
    <row r="255" ht="15.75" customHeight="1">
      <c r="A255" s="1" t="s">
        <v>1187</v>
      </c>
      <c r="B255" s="1" t="s">
        <v>1188</v>
      </c>
      <c r="C255" s="1">
        <v>2015.0</v>
      </c>
      <c r="D255" s="1" t="s">
        <v>1189</v>
      </c>
      <c r="E255" s="1" t="s">
        <v>1190</v>
      </c>
      <c r="F255" s="1" t="s">
        <v>1191</v>
      </c>
      <c r="G255" s="1">
        <v>3.0</v>
      </c>
      <c r="H255" s="1" t="s">
        <v>14</v>
      </c>
      <c r="I255" s="1" t="s">
        <v>15</v>
      </c>
    </row>
    <row r="256" ht="15.75" customHeight="1">
      <c r="A256" s="1" t="s">
        <v>1192</v>
      </c>
      <c r="B256" s="1" t="s">
        <v>1193</v>
      </c>
      <c r="C256" s="1">
        <v>2017.0</v>
      </c>
      <c r="D256" s="1" t="s">
        <v>1194</v>
      </c>
      <c r="E256" s="1" t="s">
        <v>1195</v>
      </c>
      <c r="F256" s="1" t="s">
        <v>1196</v>
      </c>
      <c r="G256" s="1">
        <v>25.0</v>
      </c>
      <c r="H256" s="1" t="s">
        <v>14</v>
      </c>
      <c r="I256" s="1" t="s">
        <v>21</v>
      </c>
    </row>
    <row r="257" ht="15.75" customHeight="1">
      <c r="A257" s="1" t="s">
        <v>1197</v>
      </c>
      <c r="B257" s="1" t="s">
        <v>1198</v>
      </c>
      <c r="C257" s="1">
        <v>2017.0</v>
      </c>
      <c r="D257" s="1" t="s">
        <v>1199</v>
      </c>
      <c r="E257" s="1" t="s">
        <v>1200</v>
      </c>
      <c r="F257" s="1" t="s">
        <v>1201</v>
      </c>
      <c r="G257" s="1">
        <v>164.0</v>
      </c>
      <c r="H257" s="1" t="s">
        <v>14</v>
      </c>
      <c r="I257" s="1" t="s">
        <v>21</v>
      </c>
    </row>
    <row r="258" ht="15.75" customHeight="1">
      <c r="A258" s="1" t="s">
        <v>1202</v>
      </c>
      <c r="B258" s="1" t="s">
        <v>1203</v>
      </c>
      <c r="C258" s="1">
        <v>2016.0</v>
      </c>
      <c r="D258" s="1" t="s">
        <v>320</v>
      </c>
      <c r="E258" s="1" t="s">
        <v>1204</v>
      </c>
      <c r="F258" s="1" t="s">
        <v>1205</v>
      </c>
      <c r="G258" s="1">
        <v>19.0</v>
      </c>
      <c r="H258" s="1" t="s">
        <v>14</v>
      </c>
      <c r="I258" s="1" t="s">
        <v>15</v>
      </c>
    </row>
    <row r="259" ht="15.75" customHeight="1">
      <c r="A259" s="1" t="s">
        <v>1206</v>
      </c>
      <c r="B259" s="1" t="s">
        <v>1207</v>
      </c>
      <c r="C259" s="1">
        <v>2014.0</v>
      </c>
      <c r="D259" s="1" t="s">
        <v>1208</v>
      </c>
      <c r="E259" s="1" t="s">
        <v>1209</v>
      </c>
      <c r="F259" s="1" t="s">
        <v>1210</v>
      </c>
      <c r="G259" s="1">
        <v>4.0</v>
      </c>
      <c r="H259" s="1" t="s">
        <v>14</v>
      </c>
      <c r="I259" s="1" t="s">
        <v>15</v>
      </c>
    </row>
    <row r="260" ht="15.75" customHeight="1">
      <c r="A260" s="1" t="s">
        <v>1072</v>
      </c>
      <c r="B260" s="1" t="s">
        <v>1073</v>
      </c>
      <c r="C260" s="1">
        <v>2015.0</v>
      </c>
      <c r="D260" s="1" t="s">
        <v>1211</v>
      </c>
      <c r="E260" s="1" t="s">
        <v>1075</v>
      </c>
      <c r="F260" s="1" t="s">
        <v>1212</v>
      </c>
      <c r="G260" s="1">
        <v>0.0</v>
      </c>
      <c r="H260" s="1" t="s">
        <v>14</v>
      </c>
      <c r="I260" s="1" t="s">
        <v>15</v>
      </c>
    </row>
    <row r="261" ht="15.75" customHeight="1">
      <c r="A261" s="1" t="s">
        <v>1213</v>
      </c>
      <c r="B261" s="1" t="s">
        <v>1214</v>
      </c>
      <c r="C261" s="1">
        <v>2014.0</v>
      </c>
      <c r="D261" s="1" t="s">
        <v>1215</v>
      </c>
      <c r="F261" s="1" t="s">
        <v>1216</v>
      </c>
      <c r="G261" s="1">
        <v>0.0</v>
      </c>
      <c r="H261" s="1" t="s">
        <v>14</v>
      </c>
      <c r="I261" s="1" t="s">
        <v>15</v>
      </c>
    </row>
    <row r="262" ht="15.75" customHeight="1">
      <c r="A262" s="1" t="s">
        <v>1217</v>
      </c>
      <c r="B262" s="1" t="s">
        <v>1218</v>
      </c>
      <c r="C262" s="1">
        <v>2015.0</v>
      </c>
      <c r="D262" s="1" t="s">
        <v>1219</v>
      </c>
      <c r="E262" s="1" t="s">
        <v>1220</v>
      </c>
      <c r="F262" s="1" t="s">
        <v>1221</v>
      </c>
      <c r="G262" s="1">
        <v>2.0</v>
      </c>
      <c r="H262" s="1" t="s">
        <v>14</v>
      </c>
      <c r="I262" s="1" t="s">
        <v>15</v>
      </c>
    </row>
    <row r="263" ht="15.75" customHeight="1">
      <c r="A263" s="1" t="s">
        <v>1222</v>
      </c>
      <c r="B263" s="1" t="s">
        <v>1223</v>
      </c>
      <c r="C263" s="1">
        <v>2016.0</v>
      </c>
      <c r="D263" s="1" t="s">
        <v>1224</v>
      </c>
      <c r="E263" s="1" t="s">
        <v>1225</v>
      </c>
      <c r="F263" s="1" t="s">
        <v>1226</v>
      </c>
      <c r="G263" s="1">
        <v>14.0</v>
      </c>
      <c r="H263" s="1" t="s">
        <v>14</v>
      </c>
      <c r="I263" s="1" t="s">
        <v>15</v>
      </c>
    </row>
    <row r="264" ht="15.75" customHeight="1">
      <c r="A264" s="1" t="s">
        <v>1227</v>
      </c>
      <c r="B264" s="1" t="s">
        <v>1228</v>
      </c>
      <c r="C264" s="1">
        <v>2018.0</v>
      </c>
      <c r="D264" s="1" t="s">
        <v>738</v>
      </c>
      <c r="E264" s="1" t="s">
        <v>1229</v>
      </c>
      <c r="F264" s="1" t="s">
        <v>1230</v>
      </c>
      <c r="G264" s="1">
        <v>30.0</v>
      </c>
      <c r="H264" s="1" t="s">
        <v>14</v>
      </c>
      <c r="I264" s="1" t="s">
        <v>21</v>
      </c>
    </row>
    <row r="265" ht="15.75" customHeight="1">
      <c r="A265" s="1" t="s">
        <v>1231</v>
      </c>
      <c r="B265" s="1" t="s">
        <v>1232</v>
      </c>
      <c r="C265" s="1">
        <v>2016.0</v>
      </c>
      <c r="D265" s="1" t="s">
        <v>1233</v>
      </c>
      <c r="F265" s="1" t="s">
        <v>1234</v>
      </c>
      <c r="G265" s="1">
        <v>0.0</v>
      </c>
      <c r="H265" s="1" t="s">
        <v>14</v>
      </c>
      <c r="I265" s="1" t="s">
        <v>15</v>
      </c>
    </row>
    <row r="266" ht="15.75" customHeight="1">
      <c r="A266" s="1" t="s">
        <v>1235</v>
      </c>
      <c r="B266" s="1" t="s">
        <v>1236</v>
      </c>
      <c r="C266" s="1">
        <v>2017.0</v>
      </c>
      <c r="D266" s="1" t="s">
        <v>1237</v>
      </c>
      <c r="E266" s="1" t="s">
        <v>1238</v>
      </c>
      <c r="F266" s="1" t="s">
        <v>1239</v>
      </c>
      <c r="G266" s="1">
        <v>117.0</v>
      </c>
      <c r="H266" s="1" t="s">
        <v>14</v>
      </c>
      <c r="I266" s="1" t="s">
        <v>21</v>
      </c>
    </row>
    <row r="267" ht="15.75" customHeight="1">
      <c r="A267" s="1" t="s">
        <v>1240</v>
      </c>
      <c r="B267" s="1" t="s">
        <v>1241</v>
      </c>
      <c r="C267" s="1">
        <v>2015.0</v>
      </c>
      <c r="D267" s="1" t="s">
        <v>320</v>
      </c>
      <c r="E267" s="1" t="s">
        <v>1242</v>
      </c>
      <c r="F267" s="1" t="s">
        <v>1243</v>
      </c>
      <c r="G267" s="1">
        <v>52.0</v>
      </c>
      <c r="H267" s="1" t="s">
        <v>14</v>
      </c>
      <c r="I267" s="1" t="s">
        <v>15</v>
      </c>
    </row>
    <row r="268" ht="15.75" customHeight="1">
      <c r="A268" s="1" t="s">
        <v>1244</v>
      </c>
      <c r="B268" s="1" t="s">
        <v>1245</v>
      </c>
      <c r="C268" s="1">
        <v>2015.0</v>
      </c>
      <c r="D268" s="1" t="s">
        <v>1246</v>
      </c>
      <c r="F268" s="1" t="s">
        <v>1247</v>
      </c>
      <c r="G268" s="1">
        <v>1.0</v>
      </c>
      <c r="H268" s="1" t="s">
        <v>14</v>
      </c>
      <c r="I268" s="1" t="s">
        <v>15</v>
      </c>
    </row>
    <row r="269" ht="15.75" customHeight="1">
      <c r="A269" s="1" t="s">
        <v>1248</v>
      </c>
      <c r="B269" s="1" t="s">
        <v>1249</v>
      </c>
      <c r="C269" s="1">
        <v>2016.0</v>
      </c>
      <c r="D269" s="1" t="s">
        <v>18</v>
      </c>
      <c r="E269" s="1" t="s">
        <v>1250</v>
      </c>
      <c r="F269" s="1" t="s">
        <v>1251</v>
      </c>
      <c r="G269" s="1">
        <v>31.0</v>
      </c>
      <c r="H269" s="1" t="s">
        <v>14</v>
      </c>
      <c r="I269" s="1" t="s">
        <v>21</v>
      </c>
    </row>
    <row r="270" ht="15.75" customHeight="1">
      <c r="A270" s="1" t="s">
        <v>1252</v>
      </c>
      <c r="B270" s="1" t="s">
        <v>1253</v>
      </c>
      <c r="C270" s="1">
        <v>2016.0</v>
      </c>
      <c r="D270" s="1" t="s">
        <v>1254</v>
      </c>
      <c r="E270" s="1" t="s">
        <v>1255</v>
      </c>
      <c r="F270" s="1" t="s">
        <v>1256</v>
      </c>
      <c r="G270" s="1">
        <v>49.0</v>
      </c>
      <c r="H270" s="1" t="s">
        <v>14</v>
      </c>
      <c r="I270" s="1" t="s">
        <v>21</v>
      </c>
    </row>
    <row r="271" ht="15.75" customHeight="1">
      <c r="A271" s="1" t="s">
        <v>1257</v>
      </c>
      <c r="B271" s="1" t="s">
        <v>1258</v>
      </c>
      <c r="C271" s="1">
        <v>2017.0</v>
      </c>
      <c r="D271" s="1" t="s">
        <v>1259</v>
      </c>
      <c r="E271" s="1" t="s">
        <v>1260</v>
      </c>
      <c r="F271" s="1" t="s">
        <v>1261</v>
      </c>
      <c r="G271" s="1">
        <v>22.0</v>
      </c>
      <c r="H271" s="1" t="s">
        <v>14</v>
      </c>
      <c r="I271" s="1" t="s">
        <v>21</v>
      </c>
    </row>
    <row r="272" ht="15.75" customHeight="1">
      <c r="A272" s="1" t="s">
        <v>1262</v>
      </c>
      <c r="B272" s="1" t="s">
        <v>1263</v>
      </c>
      <c r="C272" s="1">
        <v>2013.0</v>
      </c>
      <c r="D272" s="1" t="s">
        <v>1264</v>
      </c>
      <c r="E272" s="1" t="s">
        <v>1265</v>
      </c>
      <c r="F272" s="1" t="s">
        <v>1266</v>
      </c>
      <c r="G272" s="1">
        <v>8.0</v>
      </c>
      <c r="H272" s="1" t="s">
        <v>14</v>
      </c>
      <c r="I272" s="1" t="s">
        <v>15</v>
      </c>
    </row>
    <row r="273" ht="15.75" customHeight="1">
      <c r="A273" s="1" t="s">
        <v>1267</v>
      </c>
      <c r="B273" s="1" t="s">
        <v>1268</v>
      </c>
      <c r="C273" s="1">
        <v>2017.0</v>
      </c>
      <c r="D273" s="1" t="s">
        <v>1269</v>
      </c>
      <c r="E273" s="1" t="s">
        <v>1270</v>
      </c>
      <c r="F273" s="1" t="s">
        <v>1271</v>
      </c>
      <c r="G273" s="1">
        <v>14.0</v>
      </c>
      <c r="H273" s="1" t="s">
        <v>14</v>
      </c>
      <c r="I273" s="1" t="s">
        <v>15</v>
      </c>
    </row>
    <row r="274" ht="15.75" customHeight="1">
      <c r="A274" s="1" t="s">
        <v>1272</v>
      </c>
      <c r="B274" s="1" t="s">
        <v>1273</v>
      </c>
      <c r="C274" s="1">
        <v>2017.0</v>
      </c>
      <c r="D274" s="1" t="s">
        <v>1274</v>
      </c>
      <c r="E274" s="1" t="s">
        <v>1275</v>
      </c>
      <c r="F274" s="1" t="s">
        <v>1276</v>
      </c>
      <c r="G274" s="1">
        <v>8.0</v>
      </c>
      <c r="H274" s="1" t="s">
        <v>14</v>
      </c>
      <c r="I274" s="1" t="s">
        <v>15</v>
      </c>
    </row>
    <row r="275" ht="15.75" customHeight="1">
      <c r="A275" s="1" t="s">
        <v>1277</v>
      </c>
      <c r="B275" s="1" t="s">
        <v>1278</v>
      </c>
      <c r="C275" s="1">
        <v>2016.0</v>
      </c>
      <c r="D275" s="1" t="s">
        <v>1279</v>
      </c>
      <c r="E275" s="1" t="s">
        <v>1280</v>
      </c>
      <c r="F275" s="1" t="s">
        <v>1281</v>
      </c>
      <c r="G275" s="1">
        <v>10.0</v>
      </c>
      <c r="H275" s="1" t="s">
        <v>14</v>
      </c>
      <c r="I275" s="1" t="s">
        <v>21</v>
      </c>
    </row>
    <row r="276" ht="15.75" customHeight="1">
      <c r="A276" s="1" t="s">
        <v>1282</v>
      </c>
      <c r="B276" s="1" t="s">
        <v>1283</v>
      </c>
      <c r="C276" s="1">
        <v>2017.0</v>
      </c>
      <c r="D276" s="1" t="s">
        <v>1284</v>
      </c>
      <c r="E276" s="1" t="s">
        <v>1285</v>
      </c>
      <c r="F276" s="1" t="s">
        <v>1286</v>
      </c>
      <c r="G276" s="1">
        <v>9.0</v>
      </c>
      <c r="H276" s="1" t="s">
        <v>14</v>
      </c>
      <c r="I276" s="1" t="s">
        <v>15</v>
      </c>
    </row>
    <row r="277" ht="15.75" customHeight="1">
      <c r="A277" s="1" t="s">
        <v>1287</v>
      </c>
      <c r="B277" s="1" t="s">
        <v>1288</v>
      </c>
      <c r="C277" s="1">
        <v>2017.0</v>
      </c>
      <c r="D277" s="1" t="s">
        <v>1289</v>
      </c>
      <c r="E277" s="1" t="s">
        <v>1290</v>
      </c>
      <c r="F277" s="1" t="s">
        <v>1291</v>
      </c>
      <c r="G277" s="1">
        <v>16.0</v>
      </c>
      <c r="H277" s="1" t="s">
        <v>14</v>
      </c>
      <c r="I277" s="1" t="s">
        <v>15</v>
      </c>
    </row>
    <row r="278" ht="15.75" customHeight="1">
      <c r="A278" s="1" t="s">
        <v>1292</v>
      </c>
      <c r="B278" s="1" t="s">
        <v>1293</v>
      </c>
      <c r="C278" s="1">
        <v>2017.0</v>
      </c>
      <c r="D278" s="1" t="s">
        <v>1294</v>
      </c>
      <c r="E278" s="1" t="s">
        <v>1295</v>
      </c>
      <c r="F278" s="1" t="s">
        <v>1296</v>
      </c>
      <c r="G278" s="1">
        <v>219.0</v>
      </c>
      <c r="H278" s="1" t="s">
        <v>14</v>
      </c>
      <c r="I278" s="1" t="s">
        <v>15</v>
      </c>
    </row>
    <row r="279" ht="15.75" customHeight="1">
      <c r="A279" s="1" t="s">
        <v>1297</v>
      </c>
      <c r="B279" s="1" t="s">
        <v>1298</v>
      </c>
      <c r="C279" s="1">
        <v>2013.0</v>
      </c>
      <c r="D279" s="1" t="s">
        <v>63</v>
      </c>
      <c r="E279" s="1" t="s">
        <v>1299</v>
      </c>
      <c r="F279" s="1" t="s">
        <v>1300</v>
      </c>
      <c r="G279" s="1">
        <v>33.0</v>
      </c>
      <c r="H279" s="1" t="s">
        <v>14</v>
      </c>
      <c r="I279" s="1" t="s">
        <v>15</v>
      </c>
    </row>
    <row r="280" ht="15.75" customHeight="1">
      <c r="A280" s="1" t="s">
        <v>1301</v>
      </c>
      <c r="B280" s="1" t="s">
        <v>1101</v>
      </c>
      <c r="C280" s="1">
        <v>2015.0</v>
      </c>
      <c r="D280" s="1" t="s">
        <v>1302</v>
      </c>
      <c r="E280" s="1" t="s">
        <v>1303</v>
      </c>
      <c r="F280" s="1" t="s">
        <v>1304</v>
      </c>
      <c r="G280" s="1">
        <v>12.0</v>
      </c>
      <c r="H280" s="1" t="s">
        <v>14</v>
      </c>
      <c r="I280" s="1" t="s">
        <v>15</v>
      </c>
    </row>
    <row r="281" ht="15.75" customHeight="1">
      <c r="A281" s="1" t="s">
        <v>1305</v>
      </c>
      <c r="B281" s="1" t="s">
        <v>1306</v>
      </c>
      <c r="C281" s="1">
        <v>2015.0</v>
      </c>
      <c r="D281" s="1" t="s">
        <v>18</v>
      </c>
      <c r="E281" s="1" t="s">
        <v>1307</v>
      </c>
      <c r="F281" s="1" t="s">
        <v>1308</v>
      </c>
      <c r="G281" s="1">
        <v>5.0</v>
      </c>
      <c r="H281" s="1" t="s">
        <v>14</v>
      </c>
      <c r="I281" s="1" t="s">
        <v>21</v>
      </c>
    </row>
    <row r="282" ht="15.75" customHeight="1">
      <c r="A282" s="1" t="s">
        <v>1309</v>
      </c>
      <c r="B282" s="1" t="s">
        <v>1310</v>
      </c>
      <c r="C282" s="1">
        <v>2014.0</v>
      </c>
      <c r="D282" s="1" t="s">
        <v>1311</v>
      </c>
      <c r="E282" s="1" t="s">
        <v>1312</v>
      </c>
      <c r="F282" s="1" t="s">
        <v>1313</v>
      </c>
      <c r="G282" s="1">
        <v>5.0</v>
      </c>
      <c r="H282" s="1" t="s">
        <v>14</v>
      </c>
      <c r="I282" s="1" t="s">
        <v>21</v>
      </c>
    </row>
    <row r="283" ht="15.75" customHeight="1">
      <c r="A283" s="1" t="s">
        <v>1314</v>
      </c>
      <c r="B283" s="1" t="s">
        <v>1315</v>
      </c>
      <c r="C283" s="1">
        <v>2016.0</v>
      </c>
      <c r="D283" s="1" t="s">
        <v>1316</v>
      </c>
      <c r="F283" s="1" t="s">
        <v>1317</v>
      </c>
      <c r="G283" s="1">
        <v>32.0</v>
      </c>
      <c r="H283" s="1" t="s">
        <v>14</v>
      </c>
      <c r="I283" s="1" t="s">
        <v>15</v>
      </c>
    </row>
    <row r="284" ht="15.75" customHeight="1">
      <c r="A284" s="1" t="s">
        <v>1318</v>
      </c>
      <c r="B284" s="1" t="s">
        <v>1319</v>
      </c>
      <c r="C284" s="1">
        <v>2015.0</v>
      </c>
      <c r="D284" s="1" t="s">
        <v>78</v>
      </c>
      <c r="E284" s="1" t="s">
        <v>1320</v>
      </c>
      <c r="F284" s="1" t="s">
        <v>1321</v>
      </c>
      <c r="G284" s="1">
        <v>32.0</v>
      </c>
      <c r="H284" s="1" t="s">
        <v>14</v>
      </c>
      <c r="I284" s="1" t="s">
        <v>15</v>
      </c>
    </row>
    <row r="285" ht="15.75" customHeight="1">
      <c r="A285" s="1" t="s">
        <v>1322</v>
      </c>
      <c r="B285" s="1" t="s">
        <v>1323</v>
      </c>
      <c r="C285" s="1">
        <v>2016.0</v>
      </c>
      <c r="D285" s="1" t="s">
        <v>1324</v>
      </c>
      <c r="E285" s="1" t="s">
        <v>1325</v>
      </c>
      <c r="F285" s="1" t="s">
        <v>1326</v>
      </c>
      <c r="G285" s="1">
        <v>2.0</v>
      </c>
      <c r="H285" s="1" t="s">
        <v>14</v>
      </c>
      <c r="I285" s="1" t="s">
        <v>15</v>
      </c>
    </row>
    <row r="286" ht="15.75" customHeight="1">
      <c r="A286" s="1" t="s">
        <v>1327</v>
      </c>
      <c r="B286" s="1" t="s">
        <v>1328</v>
      </c>
      <c r="C286" s="1">
        <v>2015.0</v>
      </c>
      <c r="D286" s="1" t="s">
        <v>18</v>
      </c>
      <c r="E286" s="1" t="s">
        <v>1329</v>
      </c>
      <c r="F286" s="1" t="s">
        <v>1330</v>
      </c>
      <c r="G286" s="1">
        <v>7.0</v>
      </c>
      <c r="H286" s="1" t="s">
        <v>14</v>
      </c>
      <c r="I286" s="1" t="s">
        <v>21</v>
      </c>
    </row>
    <row r="287" ht="15.75" customHeight="1">
      <c r="A287" s="1" t="s">
        <v>1331</v>
      </c>
      <c r="B287" s="1" t="s">
        <v>1332</v>
      </c>
      <c r="C287" s="1">
        <v>2014.0</v>
      </c>
      <c r="D287" s="1" t="s">
        <v>578</v>
      </c>
      <c r="E287" s="1" t="s">
        <v>1333</v>
      </c>
      <c r="F287" s="1" t="s">
        <v>1334</v>
      </c>
      <c r="G287" s="1">
        <v>1.0</v>
      </c>
      <c r="H287" s="1" t="s">
        <v>14</v>
      </c>
      <c r="I287" s="1" t="s">
        <v>15</v>
      </c>
    </row>
    <row r="288" ht="15.75" customHeight="1">
      <c r="A288" s="1" t="s">
        <v>1335</v>
      </c>
      <c r="B288" s="1" t="s">
        <v>1336</v>
      </c>
      <c r="C288" s="1">
        <v>2016.0</v>
      </c>
      <c r="D288" s="1" t="s">
        <v>1337</v>
      </c>
      <c r="E288" s="1" t="s">
        <v>1338</v>
      </c>
      <c r="F288" s="1" t="s">
        <v>1339</v>
      </c>
      <c r="G288" s="1">
        <v>52.0</v>
      </c>
      <c r="H288" s="1" t="s">
        <v>14</v>
      </c>
      <c r="I288" s="1" t="s">
        <v>21</v>
      </c>
    </row>
    <row r="289" ht="15.75" customHeight="1">
      <c r="A289" s="1" t="s">
        <v>1340</v>
      </c>
      <c r="B289" s="1" t="s">
        <v>1341</v>
      </c>
      <c r="C289" s="1">
        <v>2016.0</v>
      </c>
      <c r="D289" s="1" t="s">
        <v>1342</v>
      </c>
      <c r="F289" s="1" t="s">
        <v>1343</v>
      </c>
      <c r="G289" s="1">
        <v>2.0</v>
      </c>
      <c r="H289" s="1" t="s">
        <v>14</v>
      </c>
      <c r="I289" s="1" t="s">
        <v>15</v>
      </c>
    </row>
    <row r="290" ht="15.75" customHeight="1">
      <c r="A290" s="1" t="s">
        <v>1344</v>
      </c>
      <c r="B290" s="1" t="s">
        <v>1345</v>
      </c>
      <c r="C290" s="1">
        <v>2014.0</v>
      </c>
      <c r="D290" s="1" t="s">
        <v>1346</v>
      </c>
      <c r="F290" s="1" t="s">
        <v>1347</v>
      </c>
      <c r="G290" s="1">
        <v>0.0</v>
      </c>
      <c r="H290" s="1" t="s">
        <v>14</v>
      </c>
      <c r="I290" s="1" t="s">
        <v>15</v>
      </c>
    </row>
    <row r="291" ht="15.75" customHeight="1">
      <c r="A291" s="1" t="s">
        <v>1348</v>
      </c>
      <c r="B291" s="1" t="s">
        <v>1349</v>
      </c>
      <c r="C291" s="1">
        <v>2015.0</v>
      </c>
      <c r="D291" s="1" t="s">
        <v>1350</v>
      </c>
      <c r="F291" s="1" t="s">
        <v>1351</v>
      </c>
      <c r="G291" s="1">
        <v>0.0</v>
      </c>
      <c r="H291" s="1" t="s">
        <v>14</v>
      </c>
      <c r="I291" s="1" t="s">
        <v>15</v>
      </c>
    </row>
    <row r="292" ht="15.75" customHeight="1">
      <c r="A292" s="1" t="s">
        <v>1352</v>
      </c>
      <c r="B292" s="1" t="s">
        <v>1353</v>
      </c>
      <c r="C292" s="1">
        <v>2013.0</v>
      </c>
      <c r="D292" s="1" t="s">
        <v>1354</v>
      </c>
      <c r="E292" s="1" t="s">
        <v>1355</v>
      </c>
      <c r="F292" s="1" t="s">
        <v>1356</v>
      </c>
      <c r="G292" s="1">
        <v>5.0</v>
      </c>
      <c r="H292" s="1" t="s">
        <v>14</v>
      </c>
      <c r="I292" s="1" t="s">
        <v>15</v>
      </c>
    </row>
    <row r="293" ht="15.75" customHeight="1">
      <c r="A293" s="1" t="s">
        <v>1357</v>
      </c>
      <c r="B293" s="1" t="s">
        <v>1358</v>
      </c>
      <c r="C293" s="1">
        <v>2015.0</v>
      </c>
      <c r="D293" s="1" t="s">
        <v>1311</v>
      </c>
      <c r="E293" s="1" t="s">
        <v>1359</v>
      </c>
      <c r="F293" s="1" t="s">
        <v>1360</v>
      </c>
      <c r="G293" s="1">
        <v>18.0</v>
      </c>
      <c r="H293" s="1" t="s">
        <v>14</v>
      </c>
      <c r="I293" s="1" t="s">
        <v>21</v>
      </c>
    </row>
    <row r="294" ht="15.75" customHeight="1">
      <c r="A294" s="1" t="s">
        <v>1361</v>
      </c>
      <c r="B294" s="1" t="s">
        <v>1362</v>
      </c>
      <c r="C294" s="1">
        <v>2017.0</v>
      </c>
      <c r="D294" s="1" t="s">
        <v>1363</v>
      </c>
      <c r="E294" s="1" t="s">
        <v>1364</v>
      </c>
      <c r="F294" s="1" t="s">
        <v>1365</v>
      </c>
      <c r="G294" s="1">
        <v>3.0</v>
      </c>
      <c r="H294" s="1" t="s">
        <v>14</v>
      </c>
      <c r="I294" s="1" t="s">
        <v>21</v>
      </c>
    </row>
    <row r="295" ht="15.75" customHeight="1">
      <c r="A295" s="1" t="s">
        <v>1366</v>
      </c>
      <c r="B295" s="1" t="s">
        <v>1367</v>
      </c>
      <c r="C295" s="1">
        <v>2016.0</v>
      </c>
      <c r="D295" s="1" t="s">
        <v>1368</v>
      </c>
      <c r="E295" s="1" t="s">
        <v>1369</v>
      </c>
      <c r="F295" s="1" t="s">
        <v>1370</v>
      </c>
      <c r="G295" s="1">
        <v>1.0</v>
      </c>
      <c r="H295" s="1" t="s">
        <v>14</v>
      </c>
      <c r="I295" s="1" t="s">
        <v>21</v>
      </c>
    </row>
    <row r="296" ht="15.75" customHeight="1">
      <c r="A296" s="1" t="s">
        <v>1371</v>
      </c>
      <c r="B296" s="1" t="s">
        <v>1372</v>
      </c>
      <c r="C296" s="1">
        <v>2013.0</v>
      </c>
      <c r="D296" s="1" t="s">
        <v>1373</v>
      </c>
      <c r="E296" s="1" t="s">
        <v>1374</v>
      </c>
      <c r="F296" s="1" t="s">
        <v>1375</v>
      </c>
      <c r="G296" s="1">
        <v>4.0</v>
      </c>
      <c r="H296" s="1" t="s">
        <v>14</v>
      </c>
      <c r="I296" s="1" t="s">
        <v>15</v>
      </c>
    </row>
    <row r="297" ht="15.75" customHeight="1">
      <c r="A297" s="1" t="s">
        <v>1376</v>
      </c>
      <c r="B297" s="1" t="s">
        <v>1377</v>
      </c>
      <c r="C297" s="1">
        <v>2013.0</v>
      </c>
      <c r="D297" s="1" t="s">
        <v>1378</v>
      </c>
      <c r="E297" s="1" t="s">
        <v>1379</v>
      </c>
      <c r="F297" s="1" t="s">
        <v>1380</v>
      </c>
      <c r="G297" s="1">
        <v>1.0</v>
      </c>
      <c r="H297" s="1" t="s">
        <v>14</v>
      </c>
      <c r="I297" s="1" t="s">
        <v>15</v>
      </c>
    </row>
    <row r="298" ht="15.75" customHeight="1">
      <c r="A298" s="1" t="s">
        <v>1381</v>
      </c>
      <c r="B298" s="1" t="s">
        <v>944</v>
      </c>
      <c r="C298" s="1">
        <v>2016.0</v>
      </c>
      <c r="D298" s="1" t="s">
        <v>1382</v>
      </c>
      <c r="E298" s="1" t="s">
        <v>1383</v>
      </c>
      <c r="F298" s="1" t="s">
        <v>1384</v>
      </c>
      <c r="G298" s="1">
        <v>26.0</v>
      </c>
      <c r="H298" s="1" t="s">
        <v>14</v>
      </c>
      <c r="I298" s="1" t="s">
        <v>21</v>
      </c>
    </row>
    <row r="299" ht="15.75" customHeight="1">
      <c r="A299" s="1" t="s">
        <v>1385</v>
      </c>
      <c r="B299" s="1" t="s">
        <v>1386</v>
      </c>
      <c r="C299" s="1">
        <v>2014.0</v>
      </c>
      <c r="D299" s="1" t="s">
        <v>1387</v>
      </c>
      <c r="E299" s="1" t="s">
        <v>1388</v>
      </c>
      <c r="F299" s="1" t="s">
        <v>1389</v>
      </c>
      <c r="G299" s="1">
        <v>5.0</v>
      </c>
      <c r="H299" s="1" t="s">
        <v>14</v>
      </c>
      <c r="I299" s="1" t="s">
        <v>15</v>
      </c>
    </row>
    <row r="300" ht="15.75" customHeight="1">
      <c r="A300" s="1" t="s">
        <v>1390</v>
      </c>
      <c r="B300" s="1" t="s">
        <v>1391</v>
      </c>
      <c r="C300" s="1">
        <v>2016.0</v>
      </c>
      <c r="D300" s="1" t="s">
        <v>1392</v>
      </c>
      <c r="E300" s="1" t="s">
        <v>1393</v>
      </c>
      <c r="F300" s="1" t="s">
        <v>1394</v>
      </c>
      <c r="G300" s="1">
        <v>8.0</v>
      </c>
      <c r="H300" s="1" t="s">
        <v>14</v>
      </c>
      <c r="I300" s="1" t="s">
        <v>15</v>
      </c>
    </row>
    <row r="301" ht="15.75" customHeight="1">
      <c r="A301" s="1" t="s">
        <v>1395</v>
      </c>
      <c r="B301" s="1" t="s">
        <v>1396</v>
      </c>
      <c r="C301" s="1">
        <v>2013.0</v>
      </c>
      <c r="D301" s="1" t="s">
        <v>1042</v>
      </c>
      <c r="E301" s="1" t="s">
        <v>1397</v>
      </c>
      <c r="F301" s="1" t="s">
        <v>1398</v>
      </c>
      <c r="G301" s="1">
        <v>0.0</v>
      </c>
      <c r="H301" s="1" t="s">
        <v>14</v>
      </c>
      <c r="I301" s="1" t="s">
        <v>21</v>
      </c>
    </row>
    <row r="302" ht="15.75" customHeight="1">
      <c r="A302" s="1" t="s">
        <v>1399</v>
      </c>
      <c r="B302" s="1" t="s">
        <v>1400</v>
      </c>
      <c r="C302" s="1">
        <v>2008.0</v>
      </c>
      <c r="D302" s="1" t="s">
        <v>1401</v>
      </c>
      <c r="E302" s="1" t="s">
        <v>1402</v>
      </c>
      <c r="F302" s="1" t="s">
        <v>1403</v>
      </c>
      <c r="G302" s="1">
        <v>1.0</v>
      </c>
      <c r="H302" s="1" t="s">
        <v>14</v>
      </c>
      <c r="I302" s="1" t="s">
        <v>15</v>
      </c>
    </row>
    <row r="303" ht="15.75" customHeight="1">
      <c r="A303" s="1" t="s">
        <v>1404</v>
      </c>
      <c r="B303" s="1" t="s">
        <v>1405</v>
      </c>
      <c r="C303" s="1">
        <v>2002.0</v>
      </c>
      <c r="D303" s="1" t="s">
        <v>153</v>
      </c>
      <c r="E303" s="1" t="s">
        <v>1406</v>
      </c>
      <c r="F303" s="1" t="s">
        <v>1407</v>
      </c>
      <c r="G303" s="1">
        <v>3.0</v>
      </c>
      <c r="H303" s="1" t="s">
        <v>14</v>
      </c>
      <c r="I303" s="1" t="s">
        <v>15</v>
      </c>
    </row>
    <row r="304" ht="15.75" customHeight="1">
      <c r="A304" s="1" t="s">
        <v>1408</v>
      </c>
      <c r="B304" s="1" t="s">
        <v>1409</v>
      </c>
      <c r="C304" s="1">
        <v>2005.0</v>
      </c>
      <c r="D304" s="1" t="s">
        <v>1410</v>
      </c>
      <c r="E304" s="1" t="s">
        <v>1411</v>
      </c>
      <c r="F304" s="1" t="s">
        <v>1412</v>
      </c>
      <c r="G304" s="1">
        <v>2.0</v>
      </c>
      <c r="H304" s="1" t="s">
        <v>14</v>
      </c>
      <c r="I304" s="1" t="s">
        <v>21</v>
      </c>
    </row>
    <row r="305" ht="15.75" customHeight="1">
      <c r="A305" s="1" t="s">
        <v>1413</v>
      </c>
      <c r="B305" s="1" t="s">
        <v>1414</v>
      </c>
      <c r="C305" s="1">
        <v>2009.0</v>
      </c>
      <c r="D305" s="1" t="s">
        <v>63</v>
      </c>
      <c r="E305" s="1" t="s">
        <v>1415</v>
      </c>
      <c r="F305" s="1" t="s">
        <v>1416</v>
      </c>
      <c r="G305" s="1">
        <v>15.0</v>
      </c>
      <c r="H305" s="1" t="s">
        <v>14</v>
      </c>
      <c r="I305" s="1" t="s">
        <v>15</v>
      </c>
    </row>
    <row r="306" ht="15.75" customHeight="1">
      <c r="A306" s="1" t="s">
        <v>1417</v>
      </c>
      <c r="B306" s="1" t="s">
        <v>1418</v>
      </c>
      <c r="C306" s="1">
        <v>2012.0</v>
      </c>
      <c r="D306" s="1" t="s">
        <v>1419</v>
      </c>
      <c r="E306" s="1" t="s">
        <v>1420</v>
      </c>
      <c r="F306" s="1" t="s">
        <v>1421</v>
      </c>
      <c r="G306" s="1">
        <v>55.0</v>
      </c>
      <c r="H306" s="1" t="s">
        <v>14</v>
      </c>
      <c r="I306" s="1" t="s">
        <v>15</v>
      </c>
    </row>
    <row r="307" ht="15.75" customHeight="1">
      <c r="A307" s="1" t="s">
        <v>1422</v>
      </c>
      <c r="B307" s="1" t="s">
        <v>1423</v>
      </c>
      <c r="C307" s="1">
        <v>2007.0</v>
      </c>
      <c r="D307" s="1" t="s">
        <v>1424</v>
      </c>
      <c r="F307" s="1" t="s">
        <v>1425</v>
      </c>
      <c r="G307" s="1">
        <v>3.0</v>
      </c>
      <c r="H307" s="1" t="s">
        <v>14</v>
      </c>
      <c r="I307" s="1" t="s">
        <v>15</v>
      </c>
    </row>
    <row r="308" ht="15.75" customHeight="1">
      <c r="A308" s="1" t="s">
        <v>1426</v>
      </c>
      <c r="B308" s="1" t="s">
        <v>1427</v>
      </c>
      <c r="C308" s="1">
        <v>2007.0</v>
      </c>
      <c r="D308" s="1" t="s">
        <v>63</v>
      </c>
      <c r="E308" s="1" t="s">
        <v>1428</v>
      </c>
      <c r="F308" s="1" t="s">
        <v>1429</v>
      </c>
      <c r="G308" s="1">
        <v>41.0</v>
      </c>
      <c r="H308" s="1" t="s">
        <v>14</v>
      </c>
      <c r="I308" s="1" t="s">
        <v>15</v>
      </c>
    </row>
    <row r="309" ht="15.75" customHeight="1">
      <c r="A309" s="1" t="s">
        <v>1430</v>
      </c>
      <c r="B309" s="1" t="s">
        <v>1431</v>
      </c>
      <c r="C309" s="1">
        <v>2006.0</v>
      </c>
      <c r="D309" s="1" t="s">
        <v>1432</v>
      </c>
      <c r="E309" s="1" t="s">
        <v>1433</v>
      </c>
      <c r="F309" s="1" t="s">
        <v>1434</v>
      </c>
      <c r="G309" s="1">
        <v>12.0</v>
      </c>
      <c r="H309" s="1" t="s">
        <v>14</v>
      </c>
      <c r="I309" s="1" t="s">
        <v>15</v>
      </c>
    </row>
    <row r="310" ht="15.75" customHeight="1">
      <c r="A310" s="1" t="s">
        <v>1435</v>
      </c>
      <c r="B310" s="1" t="s">
        <v>1436</v>
      </c>
      <c r="C310" s="1">
        <v>2012.0</v>
      </c>
      <c r="D310" s="1" t="s">
        <v>1437</v>
      </c>
      <c r="E310" s="1" t="s">
        <v>1438</v>
      </c>
      <c r="F310" s="1" t="s">
        <v>1439</v>
      </c>
      <c r="G310" s="1">
        <v>0.0</v>
      </c>
      <c r="H310" s="1" t="s">
        <v>14</v>
      </c>
      <c r="I310" s="1" t="s">
        <v>15</v>
      </c>
    </row>
    <row r="311" ht="15.75" customHeight="1">
      <c r="A311" s="1" t="s">
        <v>1440</v>
      </c>
      <c r="B311" s="1" t="s">
        <v>1441</v>
      </c>
      <c r="C311" s="1">
        <v>2011.0</v>
      </c>
      <c r="D311" s="1" t="s">
        <v>1442</v>
      </c>
      <c r="E311" s="1" t="s">
        <v>1443</v>
      </c>
      <c r="F311" s="1" t="s">
        <v>1444</v>
      </c>
      <c r="G311" s="1">
        <v>13.0</v>
      </c>
      <c r="H311" s="1" t="s">
        <v>14</v>
      </c>
      <c r="I311" s="1" t="s">
        <v>15</v>
      </c>
    </row>
    <row r="312" ht="15.75" customHeight="1">
      <c r="A312" s="1" t="s">
        <v>1445</v>
      </c>
      <c r="B312" s="1" t="s">
        <v>1446</v>
      </c>
      <c r="C312" s="1">
        <v>2011.0</v>
      </c>
      <c r="D312" s="1" t="s">
        <v>1447</v>
      </c>
      <c r="E312" s="1" t="s">
        <v>1448</v>
      </c>
      <c r="F312" s="1" t="s">
        <v>1449</v>
      </c>
      <c r="G312" s="1">
        <v>3.0</v>
      </c>
      <c r="H312" s="1" t="s">
        <v>14</v>
      </c>
      <c r="I312" s="1" t="s">
        <v>21</v>
      </c>
    </row>
    <row r="313" ht="15.75" customHeight="1">
      <c r="A313" s="1" t="s">
        <v>1450</v>
      </c>
      <c r="B313" s="1" t="s">
        <v>1451</v>
      </c>
      <c r="C313" s="1">
        <v>2012.0</v>
      </c>
      <c r="D313" s="1" t="s">
        <v>1452</v>
      </c>
      <c r="E313" s="1" t="s">
        <v>1453</v>
      </c>
      <c r="F313" s="1" t="s">
        <v>1454</v>
      </c>
      <c r="G313" s="1">
        <v>2.0</v>
      </c>
      <c r="H313" s="1" t="s">
        <v>14</v>
      </c>
      <c r="I313" s="1" t="s">
        <v>15</v>
      </c>
    </row>
    <row r="314" ht="15.75" customHeight="1">
      <c r="A314" s="1" t="s">
        <v>1455</v>
      </c>
      <c r="B314" s="1" t="s">
        <v>1456</v>
      </c>
      <c r="C314" s="1">
        <v>2009.0</v>
      </c>
      <c r="D314" s="1" t="s">
        <v>1457</v>
      </c>
      <c r="F314" s="1" t="s">
        <v>1458</v>
      </c>
      <c r="G314" s="1">
        <v>3.0</v>
      </c>
      <c r="H314" s="1" t="s">
        <v>14</v>
      </c>
      <c r="I314" s="1" t="s">
        <v>15</v>
      </c>
    </row>
    <row r="315" ht="15.75" customHeight="1">
      <c r="A315" s="1" t="s">
        <v>1459</v>
      </c>
      <c r="B315" s="1" t="s">
        <v>1460</v>
      </c>
      <c r="C315" s="1">
        <v>2010.0</v>
      </c>
      <c r="D315" s="1" t="s">
        <v>1461</v>
      </c>
      <c r="E315" s="1" t="s">
        <v>1462</v>
      </c>
      <c r="F315" s="1" t="s">
        <v>1463</v>
      </c>
      <c r="G315" s="1">
        <v>0.0</v>
      </c>
      <c r="H315" s="1" t="s">
        <v>14</v>
      </c>
      <c r="I315" s="1" t="s">
        <v>15</v>
      </c>
    </row>
    <row r="316" ht="15.75" customHeight="1">
      <c r="A316" s="1" t="s">
        <v>1464</v>
      </c>
      <c r="B316" s="1" t="s">
        <v>1465</v>
      </c>
      <c r="C316" s="1">
        <v>2006.0</v>
      </c>
      <c r="D316" s="1" t="s">
        <v>1466</v>
      </c>
      <c r="E316" s="1" t="s">
        <v>1467</v>
      </c>
      <c r="F316" s="1" t="s">
        <v>1468</v>
      </c>
      <c r="G316" s="1">
        <v>222.0</v>
      </c>
      <c r="H316" s="1" t="s">
        <v>14</v>
      </c>
      <c r="I316" s="1" t="s">
        <v>21</v>
      </c>
    </row>
    <row r="317" ht="15.75" customHeight="1">
      <c r="A317" s="1" t="s">
        <v>1469</v>
      </c>
      <c r="B317" s="1" t="s">
        <v>1470</v>
      </c>
      <c r="C317" s="1">
        <v>2013.0</v>
      </c>
      <c r="D317" s="1" t="s">
        <v>1471</v>
      </c>
      <c r="E317" s="1" t="s">
        <v>1472</v>
      </c>
      <c r="F317" s="1" t="s">
        <v>1473</v>
      </c>
      <c r="G317" s="1">
        <v>0.0</v>
      </c>
      <c r="H317" s="1" t="s">
        <v>14</v>
      </c>
      <c r="I317" s="1" t="s">
        <v>15</v>
      </c>
    </row>
    <row r="318" ht="15.75" customHeight="1">
      <c r="A318" s="1" t="s">
        <v>1474</v>
      </c>
      <c r="B318" s="1" t="s">
        <v>1475</v>
      </c>
      <c r="C318" s="1">
        <v>2011.0</v>
      </c>
      <c r="D318" s="1" t="s">
        <v>1476</v>
      </c>
      <c r="E318" s="1" t="s">
        <v>1477</v>
      </c>
      <c r="F318" s="1" t="s">
        <v>1478</v>
      </c>
      <c r="G318" s="1">
        <v>170.0</v>
      </c>
      <c r="H318" s="1" t="s">
        <v>14</v>
      </c>
      <c r="I318" s="1" t="s">
        <v>15</v>
      </c>
    </row>
    <row r="319" ht="15.75" customHeight="1">
      <c r="A319" s="1" t="s">
        <v>1479</v>
      </c>
      <c r="B319" s="1" t="s">
        <v>1480</v>
      </c>
      <c r="C319" s="1">
        <v>2006.0</v>
      </c>
      <c r="D319" s="1" t="s">
        <v>1481</v>
      </c>
      <c r="E319" s="1" t="s">
        <v>1482</v>
      </c>
      <c r="F319" s="1" t="s">
        <v>1483</v>
      </c>
      <c r="G319" s="1">
        <v>104.0</v>
      </c>
      <c r="H319" s="1" t="s">
        <v>14</v>
      </c>
      <c r="I319" s="1" t="s">
        <v>15</v>
      </c>
    </row>
    <row r="320" ht="15.75" customHeight="1">
      <c r="A320" s="1" t="s">
        <v>1484</v>
      </c>
      <c r="B320" s="1" t="s">
        <v>1485</v>
      </c>
      <c r="C320" s="1">
        <v>2003.0</v>
      </c>
      <c r="D320" s="1" t="s">
        <v>1486</v>
      </c>
      <c r="E320" s="1" t="s">
        <v>1487</v>
      </c>
      <c r="F320" s="1" t="s">
        <v>1488</v>
      </c>
      <c r="G320" s="1">
        <v>24.0</v>
      </c>
      <c r="H320" s="1" t="s">
        <v>14</v>
      </c>
      <c r="I320" s="1" t="s">
        <v>15</v>
      </c>
    </row>
    <row r="321" ht="15.75" customHeight="1">
      <c r="A321" s="1" t="s">
        <v>1489</v>
      </c>
      <c r="B321" s="1" t="s">
        <v>1490</v>
      </c>
      <c r="C321" s="1">
        <v>2009.0</v>
      </c>
      <c r="D321" s="1" t="s">
        <v>1491</v>
      </c>
      <c r="F321" s="1" t="s">
        <v>1492</v>
      </c>
      <c r="G321" s="1">
        <v>3.0</v>
      </c>
      <c r="H321" s="1" t="s">
        <v>14</v>
      </c>
      <c r="I321" s="1" t="s">
        <v>15</v>
      </c>
    </row>
    <row r="322" ht="15.75" customHeight="1">
      <c r="A322" s="1" t="s">
        <v>1493</v>
      </c>
      <c r="B322" s="1" t="s">
        <v>1494</v>
      </c>
      <c r="C322" s="1">
        <v>2004.0</v>
      </c>
      <c r="D322" s="1" t="s">
        <v>1495</v>
      </c>
      <c r="E322" s="1" t="s">
        <v>1496</v>
      </c>
      <c r="F322" s="1" t="s">
        <v>1497</v>
      </c>
      <c r="G322" s="1">
        <v>88.0</v>
      </c>
      <c r="H322" s="1" t="s">
        <v>14</v>
      </c>
      <c r="I322" s="1" t="s">
        <v>21</v>
      </c>
    </row>
    <row r="323" ht="15.75" customHeight="1">
      <c r="A323" s="1" t="s">
        <v>1498</v>
      </c>
      <c r="B323" s="1" t="s">
        <v>1499</v>
      </c>
      <c r="C323" s="1">
        <v>2009.0</v>
      </c>
      <c r="D323" s="1" t="s">
        <v>1500</v>
      </c>
      <c r="E323" s="1" t="s">
        <v>1501</v>
      </c>
      <c r="F323" s="1" t="s">
        <v>1502</v>
      </c>
      <c r="G323" s="1">
        <v>2.0</v>
      </c>
      <c r="H323" s="1" t="s">
        <v>14</v>
      </c>
      <c r="I323" s="1" t="s">
        <v>21</v>
      </c>
    </row>
    <row r="324" ht="15.75" customHeight="1">
      <c r="A324" s="1" t="s">
        <v>1503</v>
      </c>
      <c r="B324" s="1" t="s">
        <v>1504</v>
      </c>
      <c r="C324" s="1">
        <v>2007.0</v>
      </c>
      <c r="D324" s="1" t="s">
        <v>509</v>
      </c>
      <c r="F324" s="1" t="s">
        <v>1505</v>
      </c>
      <c r="G324" s="1">
        <v>0.0</v>
      </c>
      <c r="H324" s="1" t="s">
        <v>14</v>
      </c>
      <c r="I324" s="1" t="s">
        <v>21</v>
      </c>
    </row>
    <row r="325" ht="15.75" customHeight="1">
      <c r="A325" s="1" t="s">
        <v>1506</v>
      </c>
      <c r="B325" s="1" t="s">
        <v>1507</v>
      </c>
      <c r="C325" s="1">
        <v>2012.0</v>
      </c>
      <c r="D325" s="1" t="s">
        <v>1508</v>
      </c>
      <c r="E325" s="1" t="s">
        <v>1509</v>
      </c>
      <c r="F325" s="1" t="s">
        <v>1510</v>
      </c>
      <c r="G325" s="1">
        <v>24.0</v>
      </c>
      <c r="H325" s="1" t="s">
        <v>14</v>
      </c>
      <c r="I325" s="1" t="s">
        <v>15</v>
      </c>
    </row>
    <row r="326" ht="15.75" customHeight="1">
      <c r="A326" s="1" t="s">
        <v>1511</v>
      </c>
      <c r="B326" s="1" t="s">
        <v>1512</v>
      </c>
      <c r="C326" s="1">
        <v>2008.0</v>
      </c>
      <c r="D326" s="1" t="s">
        <v>1513</v>
      </c>
      <c r="E326" s="1" t="s">
        <v>1514</v>
      </c>
      <c r="F326" s="1" t="s">
        <v>1515</v>
      </c>
      <c r="G326" s="1">
        <v>131.0</v>
      </c>
      <c r="H326" s="1" t="s">
        <v>14</v>
      </c>
      <c r="I326" s="1" t="s">
        <v>21</v>
      </c>
    </row>
    <row r="327" ht="15.75" customHeight="1">
      <c r="A327" s="1" t="s">
        <v>1516</v>
      </c>
      <c r="B327" s="1" t="s">
        <v>1517</v>
      </c>
      <c r="C327" s="1">
        <v>2001.0</v>
      </c>
      <c r="D327" s="1" t="s">
        <v>1518</v>
      </c>
      <c r="F327" s="1" t="s">
        <v>1519</v>
      </c>
      <c r="G327" s="1">
        <v>2.0</v>
      </c>
      <c r="H327" s="1" t="s">
        <v>14</v>
      </c>
      <c r="I327" s="1" t="s">
        <v>15</v>
      </c>
    </row>
    <row r="328" ht="15.75" customHeight="1">
      <c r="A328" s="1" t="s">
        <v>1520</v>
      </c>
      <c r="B328" s="1" t="s">
        <v>1521</v>
      </c>
      <c r="C328" s="1">
        <v>2000.0</v>
      </c>
      <c r="D328" s="1" t="s">
        <v>1522</v>
      </c>
      <c r="E328" s="1" t="s">
        <v>1523</v>
      </c>
      <c r="F328" s="1" t="s">
        <v>1524</v>
      </c>
      <c r="G328" s="1">
        <v>208.0</v>
      </c>
      <c r="H328" s="1" t="s">
        <v>14</v>
      </c>
      <c r="I328" s="1" t="s">
        <v>15</v>
      </c>
    </row>
    <row r="329" ht="15.75" customHeight="1">
      <c r="A329" s="1" t="s">
        <v>1525</v>
      </c>
      <c r="B329" s="1" t="s">
        <v>1526</v>
      </c>
      <c r="C329" s="1">
        <v>2007.0</v>
      </c>
      <c r="D329" s="1" t="s">
        <v>216</v>
      </c>
      <c r="E329" s="1" t="s">
        <v>1527</v>
      </c>
      <c r="F329" s="1" t="s">
        <v>1528</v>
      </c>
      <c r="G329" s="1">
        <v>35.0</v>
      </c>
      <c r="H329" s="1" t="s">
        <v>14</v>
      </c>
      <c r="I329" s="1" t="s">
        <v>21</v>
      </c>
    </row>
    <row r="330" ht="15.75" customHeight="1">
      <c r="A330" s="1" t="s">
        <v>1529</v>
      </c>
      <c r="B330" s="1" t="s">
        <v>1530</v>
      </c>
      <c r="C330" s="1">
        <v>2005.0</v>
      </c>
      <c r="D330" s="1" t="s">
        <v>1531</v>
      </c>
      <c r="E330" s="1" t="s">
        <v>1532</v>
      </c>
      <c r="F330" s="1" t="s">
        <v>1533</v>
      </c>
      <c r="G330" s="1">
        <v>224.0</v>
      </c>
      <c r="H330" s="1" t="s">
        <v>14</v>
      </c>
      <c r="I330" s="1" t="s">
        <v>15</v>
      </c>
    </row>
    <row r="331" ht="15.75" customHeight="1">
      <c r="A331" s="1" t="s">
        <v>1534</v>
      </c>
      <c r="B331" s="1" t="s">
        <v>1535</v>
      </c>
      <c r="C331" s="1">
        <v>2002.0</v>
      </c>
      <c r="D331" s="1" t="s">
        <v>1536</v>
      </c>
      <c r="E331" s="1" t="s">
        <v>1537</v>
      </c>
      <c r="F331" s="1" t="s">
        <v>1538</v>
      </c>
      <c r="G331" s="1">
        <v>0.0</v>
      </c>
      <c r="H331" s="1" t="s">
        <v>14</v>
      </c>
      <c r="I331" s="1" t="s">
        <v>15</v>
      </c>
    </row>
    <row r="332" ht="15.75" customHeight="1">
      <c r="A332" s="1" t="s">
        <v>1539</v>
      </c>
      <c r="B332" s="1" t="s">
        <v>1540</v>
      </c>
      <c r="C332" s="1">
        <v>2008.0</v>
      </c>
      <c r="D332" s="1" t="s">
        <v>1401</v>
      </c>
      <c r="E332" s="1" t="s">
        <v>1541</v>
      </c>
      <c r="F332" s="1" t="s">
        <v>1542</v>
      </c>
      <c r="G332" s="1">
        <v>0.0</v>
      </c>
      <c r="H332" s="1" t="s">
        <v>14</v>
      </c>
      <c r="I332" s="1" t="s">
        <v>15</v>
      </c>
    </row>
    <row r="333" ht="15.75" customHeight="1">
      <c r="A333" s="1" t="s">
        <v>1543</v>
      </c>
      <c r="B333" s="1" t="s">
        <v>1544</v>
      </c>
      <c r="C333" s="1">
        <v>2003.0</v>
      </c>
      <c r="D333" s="1" t="s">
        <v>1545</v>
      </c>
      <c r="E333" s="1" t="s">
        <v>1546</v>
      </c>
      <c r="F333" s="1" t="s">
        <v>1547</v>
      </c>
      <c r="G333" s="1">
        <v>20.0</v>
      </c>
      <c r="H333" s="1" t="s">
        <v>14</v>
      </c>
      <c r="I333" s="1" t="s">
        <v>21</v>
      </c>
    </row>
    <row r="334" ht="15.75" customHeight="1">
      <c r="A334" s="1" t="s">
        <v>1548</v>
      </c>
      <c r="B334" s="1" t="s">
        <v>1549</v>
      </c>
      <c r="C334" s="1">
        <v>2003.0</v>
      </c>
      <c r="D334" s="1" t="s">
        <v>1550</v>
      </c>
      <c r="E334" s="1" t="s">
        <v>1551</v>
      </c>
      <c r="F334" s="1" t="s">
        <v>1552</v>
      </c>
      <c r="G334" s="1">
        <v>371.0</v>
      </c>
      <c r="H334" s="1" t="s">
        <v>14</v>
      </c>
      <c r="I334" s="1" t="s">
        <v>15</v>
      </c>
    </row>
    <row r="335" ht="15.75" customHeight="1">
      <c r="A335" s="1" t="s">
        <v>1553</v>
      </c>
      <c r="B335" s="1" t="s">
        <v>1554</v>
      </c>
      <c r="C335" s="1">
        <v>2010.0</v>
      </c>
      <c r="D335" s="1" t="s">
        <v>63</v>
      </c>
      <c r="E335" s="1" t="s">
        <v>1555</v>
      </c>
      <c r="F335" s="1" t="s">
        <v>1556</v>
      </c>
      <c r="G335" s="1">
        <v>2.0</v>
      </c>
      <c r="H335" s="1" t="s">
        <v>14</v>
      </c>
      <c r="I335" s="1" t="s">
        <v>15</v>
      </c>
    </row>
    <row r="336" ht="15.75" customHeight="1">
      <c r="A336" s="1" t="s">
        <v>1557</v>
      </c>
      <c r="B336" s="1" t="s">
        <v>1558</v>
      </c>
      <c r="C336" s="1">
        <v>2004.0</v>
      </c>
      <c r="D336" s="1" t="s">
        <v>1559</v>
      </c>
      <c r="E336" s="1" t="s">
        <v>1560</v>
      </c>
      <c r="F336" s="1" t="s">
        <v>1561</v>
      </c>
      <c r="G336" s="1">
        <v>1.0</v>
      </c>
      <c r="H336" s="1" t="s">
        <v>14</v>
      </c>
      <c r="I336" s="1" t="s">
        <v>21</v>
      </c>
    </row>
    <row r="337" ht="15.75" customHeight="1">
      <c r="A337" s="1" t="s">
        <v>1562</v>
      </c>
      <c r="B337" s="1" t="s">
        <v>1563</v>
      </c>
      <c r="C337" s="1">
        <v>2001.0</v>
      </c>
      <c r="D337" s="1" t="s">
        <v>1564</v>
      </c>
      <c r="E337" s="1" t="s">
        <v>1565</v>
      </c>
      <c r="F337" s="1" t="s">
        <v>1566</v>
      </c>
      <c r="G337" s="1">
        <v>37.0</v>
      </c>
      <c r="H337" s="1" t="s">
        <v>14</v>
      </c>
      <c r="I337" s="1" t="s">
        <v>21</v>
      </c>
    </row>
    <row r="338" ht="15.75" customHeight="1">
      <c r="A338" s="1" t="s">
        <v>1567</v>
      </c>
      <c r="B338" s="1" t="s">
        <v>1568</v>
      </c>
      <c r="C338" s="1">
        <v>2008.0</v>
      </c>
      <c r="D338" s="1" t="s">
        <v>1569</v>
      </c>
      <c r="E338" s="1" t="s">
        <v>1570</v>
      </c>
      <c r="F338" s="1" t="s">
        <v>1571</v>
      </c>
      <c r="G338" s="1">
        <v>1.0</v>
      </c>
      <c r="H338" s="1" t="s">
        <v>14</v>
      </c>
      <c r="I338" s="1" t="s">
        <v>21</v>
      </c>
    </row>
    <row r="339" ht="15.75" customHeight="1">
      <c r="A339" s="1" t="s">
        <v>1572</v>
      </c>
      <c r="B339" s="1" t="s">
        <v>1573</v>
      </c>
      <c r="C339" s="1">
        <v>2012.0</v>
      </c>
      <c r="D339" s="1" t="s">
        <v>1574</v>
      </c>
      <c r="E339" s="1" t="s">
        <v>1575</v>
      </c>
      <c r="F339" s="1" t="s">
        <v>1576</v>
      </c>
      <c r="G339" s="1">
        <v>19.0</v>
      </c>
      <c r="H339" s="1" t="s">
        <v>14</v>
      </c>
      <c r="I339" s="1" t="s">
        <v>15</v>
      </c>
    </row>
    <row r="340" ht="15.75" customHeight="1">
      <c r="A340" s="1" t="s">
        <v>1577</v>
      </c>
      <c r="B340" s="1" t="s">
        <v>1578</v>
      </c>
      <c r="C340" s="1">
        <v>2011.0</v>
      </c>
      <c r="D340" s="1" t="s">
        <v>1014</v>
      </c>
      <c r="E340" s="1" t="s">
        <v>1579</v>
      </c>
      <c r="F340" s="1" t="s">
        <v>1580</v>
      </c>
      <c r="G340" s="1">
        <v>18.0</v>
      </c>
      <c r="H340" s="1" t="s">
        <v>14</v>
      </c>
      <c r="I340" s="1" t="s">
        <v>21</v>
      </c>
    </row>
    <row r="341" ht="15.75" customHeight="1">
      <c r="A341" s="1" t="s">
        <v>1581</v>
      </c>
      <c r="B341" s="1" t="s">
        <v>1582</v>
      </c>
      <c r="C341" s="1">
        <v>2009.0</v>
      </c>
      <c r="D341" s="1" t="s">
        <v>1583</v>
      </c>
      <c r="E341" s="1" t="s">
        <v>1584</v>
      </c>
      <c r="F341" s="1" t="s">
        <v>1585</v>
      </c>
      <c r="G341" s="1">
        <v>1.0</v>
      </c>
      <c r="H341" s="1" t="s">
        <v>14</v>
      </c>
      <c r="I341" s="1" t="s">
        <v>15</v>
      </c>
    </row>
    <row r="342" ht="15.75" customHeight="1">
      <c r="A342" s="1" t="s">
        <v>1586</v>
      </c>
      <c r="B342" s="1" t="s">
        <v>1587</v>
      </c>
      <c r="C342" s="1">
        <v>2011.0</v>
      </c>
      <c r="D342" s="1" t="s">
        <v>1588</v>
      </c>
      <c r="E342" s="1" t="s">
        <v>1589</v>
      </c>
      <c r="F342" s="1" t="s">
        <v>1590</v>
      </c>
      <c r="G342" s="1">
        <v>0.0</v>
      </c>
      <c r="H342" s="1" t="s">
        <v>14</v>
      </c>
      <c r="I342" s="1" t="s">
        <v>15</v>
      </c>
    </row>
    <row r="343" ht="15.75" customHeight="1">
      <c r="A343" s="1" t="s">
        <v>1591</v>
      </c>
      <c r="B343" s="1" t="s">
        <v>1592</v>
      </c>
      <c r="C343" s="1">
        <v>2009.0</v>
      </c>
      <c r="D343" s="1" t="s">
        <v>1593</v>
      </c>
      <c r="E343" s="1" t="s">
        <v>1594</v>
      </c>
      <c r="F343" s="1" t="s">
        <v>1595</v>
      </c>
      <c r="G343" s="1">
        <v>5.0</v>
      </c>
      <c r="H343" s="1" t="s">
        <v>14</v>
      </c>
      <c r="I343" s="1" t="s">
        <v>15</v>
      </c>
    </row>
    <row r="344" ht="15.75" customHeight="1">
      <c r="A344" s="1" t="s">
        <v>1596</v>
      </c>
      <c r="B344" s="1" t="s">
        <v>1597</v>
      </c>
      <c r="C344" s="1">
        <v>2007.0</v>
      </c>
      <c r="D344" s="1" t="s">
        <v>1598</v>
      </c>
      <c r="F344" s="1" t="s">
        <v>1599</v>
      </c>
      <c r="G344" s="1">
        <v>1.0</v>
      </c>
      <c r="H344" s="1" t="s">
        <v>14</v>
      </c>
      <c r="I344" s="1" t="s">
        <v>15</v>
      </c>
    </row>
    <row r="345" ht="15.75" customHeight="1">
      <c r="A345" s="1" t="s">
        <v>1600</v>
      </c>
      <c r="B345" s="1" t="s">
        <v>1601</v>
      </c>
      <c r="C345" s="1">
        <v>2006.0</v>
      </c>
      <c r="D345" s="1" t="s">
        <v>1602</v>
      </c>
      <c r="E345" s="1" t="s">
        <v>1603</v>
      </c>
      <c r="F345" s="1" t="s">
        <v>1604</v>
      </c>
      <c r="G345" s="1">
        <v>2.0</v>
      </c>
      <c r="H345" s="1" t="s">
        <v>14</v>
      </c>
      <c r="I345" s="1" t="s">
        <v>15</v>
      </c>
    </row>
    <row r="346" ht="15.75" customHeight="1">
      <c r="A346" s="1" t="s">
        <v>1605</v>
      </c>
      <c r="B346" s="1" t="s">
        <v>1606</v>
      </c>
      <c r="C346" s="1">
        <v>2009.0</v>
      </c>
      <c r="D346" s="1" t="s">
        <v>1607</v>
      </c>
      <c r="E346" s="1" t="s">
        <v>1608</v>
      </c>
      <c r="F346" s="1" t="s">
        <v>1609</v>
      </c>
      <c r="G346" s="1">
        <v>0.0</v>
      </c>
      <c r="H346" s="1" t="s">
        <v>14</v>
      </c>
      <c r="I346" s="1" t="s">
        <v>15</v>
      </c>
    </row>
    <row r="347" ht="15.75" customHeight="1">
      <c r="A347" s="1" t="s">
        <v>1610</v>
      </c>
      <c r="B347" s="1" t="s">
        <v>1611</v>
      </c>
      <c r="C347" s="1">
        <v>2005.0</v>
      </c>
      <c r="D347" s="1" t="s">
        <v>63</v>
      </c>
      <c r="E347" s="1" t="s">
        <v>1612</v>
      </c>
      <c r="F347" s="1" t="s">
        <v>1613</v>
      </c>
      <c r="G347" s="1">
        <v>21.0</v>
      </c>
      <c r="H347" s="1" t="s">
        <v>14</v>
      </c>
      <c r="I347" s="1" t="s">
        <v>15</v>
      </c>
    </row>
    <row r="348" ht="15.75" customHeight="1">
      <c r="A348" s="1" t="s">
        <v>1614</v>
      </c>
      <c r="B348" s="1" t="s">
        <v>1615</v>
      </c>
      <c r="C348" s="1">
        <v>2011.0</v>
      </c>
      <c r="D348" s="1" t="s">
        <v>211</v>
      </c>
      <c r="E348" s="1" t="s">
        <v>1616</v>
      </c>
      <c r="F348" s="1" t="s">
        <v>1617</v>
      </c>
      <c r="G348" s="1">
        <v>37.0</v>
      </c>
      <c r="H348" s="1" t="s">
        <v>14</v>
      </c>
      <c r="I348" s="1" t="s">
        <v>21</v>
      </c>
    </row>
    <row r="349" ht="15.75" customHeight="1">
      <c r="A349" s="1" t="s">
        <v>1618</v>
      </c>
      <c r="B349" s="1" t="s">
        <v>1619</v>
      </c>
      <c r="C349" s="1">
        <v>2012.0</v>
      </c>
      <c r="D349" s="1" t="s">
        <v>1466</v>
      </c>
      <c r="E349" s="1" t="s">
        <v>1620</v>
      </c>
      <c r="F349" s="1" t="s">
        <v>1621</v>
      </c>
      <c r="G349" s="1">
        <v>146.0</v>
      </c>
      <c r="H349" s="1" t="s">
        <v>14</v>
      </c>
      <c r="I349" s="1" t="s">
        <v>21</v>
      </c>
    </row>
    <row r="350" ht="15.75" customHeight="1">
      <c r="A350" s="1" t="s">
        <v>1622</v>
      </c>
      <c r="B350" s="1" t="s">
        <v>1623</v>
      </c>
      <c r="C350" s="1">
        <v>2009.0</v>
      </c>
      <c r="D350" s="1" t="s">
        <v>1624</v>
      </c>
      <c r="E350" s="1" t="s">
        <v>1625</v>
      </c>
      <c r="F350" s="1" t="s">
        <v>1626</v>
      </c>
      <c r="G350" s="1">
        <v>16.0</v>
      </c>
      <c r="H350" s="1" t="s">
        <v>14</v>
      </c>
      <c r="I350" s="1" t="s">
        <v>15</v>
      </c>
    </row>
    <row r="351" ht="15.75" customHeight="1">
      <c r="A351" s="1" t="s">
        <v>1627</v>
      </c>
      <c r="B351" s="1" t="s">
        <v>1628</v>
      </c>
      <c r="C351" s="1">
        <v>2010.0</v>
      </c>
      <c r="D351" s="1" t="s">
        <v>1629</v>
      </c>
      <c r="E351" s="1" t="s">
        <v>1630</v>
      </c>
      <c r="F351" s="1" t="s">
        <v>1631</v>
      </c>
      <c r="G351" s="1">
        <v>88.0</v>
      </c>
      <c r="H351" s="1" t="s">
        <v>14</v>
      </c>
      <c r="I351" s="1" t="s">
        <v>15</v>
      </c>
    </row>
    <row r="352" ht="15.75" customHeight="1">
      <c r="A352" s="1" t="s">
        <v>1632</v>
      </c>
      <c r="B352" s="1" t="s">
        <v>1633</v>
      </c>
      <c r="C352" s="1">
        <v>2007.0</v>
      </c>
      <c r="D352" s="1" t="s">
        <v>1634</v>
      </c>
      <c r="E352" s="1" t="s">
        <v>1635</v>
      </c>
      <c r="F352" s="1" t="s">
        <v>1636</v>
      </c>
      <c r="G352" s="1">
        <v>1.0</v>
      </c>
      <c r="H352" s="1" t="s">
        <v>14</v>
      </c>
      <c r="I352" s="1" t="s">
        <v>21</v>
      </c>
    </row>
    <row r="353" ht="15.75" customHeight="1">
      <c r="A353" s="1" t="s">
        <v>1637</v>
      </c>
      <c r="B353" s="1" t="s">
        <v>1530</v>
      </c>
      <c r="C353" s="1">
        <v>2005.0</v>
      </c>
      <c r="D353" s="1" t="s">
        <v>1211</v>
      </c>
      <c r="E353" s="1" t="s">
        <v>1638</v>
      </c>
      <c r="F353" s="1" t="s">
        <v>1639</v>
      </c>
      <c r="G353" s="1">
        <v>281.0</v>
      </c>
      <c r="H353" s="1" t="s">
        <v>14</v>
      </c>
      <c r="I353" s="1" t="s">
        <v>15</v>
      </c>
    </row>
    <row r="354" ht="15.75" customHeight="1">
      <c r="A354" s="1" t="s">
        <v>1640</v>
      </c>
      <c r="B354" s="1" t="s">
        <v>1641</v>
      </c>
      <c r="C354" s="1">
        <v>2010.0</v>
      </c>
      <c r="D354" s="1" t="s">
        <v>1642</v>
      </c>
      <c r="E354" s="1" t="s">
        <v>1643</v>
      </c>
      <c r="F354" s="1" t="s">
        <v>1644</v>
      </c>
      <c r="G354" s="1">
        <v>1.0</v>
      </c>
      <c r="H354" s="1" t="s">
        <v>14</v>
      </c>
      <c r="I354" s="1" t="s">
        <v>15</v>
      </c>
    </row>
    <row r="355" ht="15.75" customHeight="1">
      <c r="A355" s="1" t="s">
        <v>1645</v>
      </c>
      <c r="B355" s="1" t="s">
        <v>1646</v>
      </c>
      <c r="C355" s="1">
        <v>2010.0</v>
      </c>
      <c r="D355" s="1" t="s">
        <v>1647</v>
      </c>
      <c r="E355" s="1" t="s">
        <v>1648</v>
      </c>
      <c r="F355" s="1" t="s">
        <v>1649</v>
      </c>
      <c r="G355" s="1">
        <v>3.0</v>
      </c>
      <c r="H355" s="1" t="s">
        <v>14</v>
      </c>
      <c r="I355" s="1" t="s">
        <v>21</v>
      </c>
    </row>
    <row r="356" ht="15.75" customHeight="1">
      <c r="A356" s="1" t="s">
        <v>1650</v>
      </c>
      <c r="B356" s="1" t="s">
        <v>1651</v>
      </c>
      <c r="C356" s="1">
        <v>2010.0</v>
      </c>
      <c r="D356" s="1" t="s">
        <v>1652</v>
      </c>
      <c r="E356" s="1" t="s">
        <v>1653</v>
      </c>
      <c r="F356" s="1" t="s">
        <v>1654</v>
      </c>
      <c r="G356" s="1">
        <v>13.0</v>
      </c>
      <c r="H356" s="1" t="s">
        <v>14</v>
      </c>
      <c r="I356" s="1" t="s">
        <v>15</v>
      </c>
    </row>
    <row r="357" ht="15.75" customHeight="1">
      <c r="A357" s="1" t="s">
        <v>1655</v>
      </c>
      <c r="B357" s="1" t="s">
        <v>1656</v>
      </c>
      <c r="C357" s="1">
        <v>2011.0</v>
      </c>
      <c r="D357" s="1" t="s">
        <v>1657</v>
      </c>
      <c r="F357" s="1" t="s">
        <v>1658</v>
      </c>
      <c r="G357" s="1">
        <v>0.0</v>
      </c>
      <c r="H357" s="1" t="s">
        <v>14</v>
      </c>
      <c r="I357" s="1" t="s">
        <v>15</v>
      </c>
    </row>
    <row r="358" ht="15.75" customHeight="1">
      <c r="A358" s="1" t="s">
        <v>1659</v>
      </c>
      <c r="B358" s="1" t="s">
        <v>1660</v>
      </c>
      <c r="C358" s="1">
        <v>2000.0</v>
      </c>
      <c r="D358" s="1" t="s">
        <v>1661</v>
      </c>
      <c r="E358" s="1" t="s">
        <v>1662</v>
      </c>
      <c r="F358" s="1" t="s">
        <v>1663</v>
      </c>
      <c r="G358" s="1">
        <v>6.0</v>
      </c>
      <c r="H358" s="1" t="s">
        <v>14</v>
      </c>
      <c r="I358" s="1" t="s">
        <v>15</v>
      </c>
    </row>
    <row r="359" ht="15.75" customHeight="1">
      <c r="A359" s="1" t="s">
        <v>1664</v>
      </c>
      <c r="B359" s="1" t="s">
        <v>1665</v>
      </c>
      <c r="C359" s="1">
        <v>2012.0</v>
      </c>
      <c r="D359" s="1" t="s">
        <v>1666</v>
      </c>
      <c r="F359" s="1" t="s">
        <v>1667</v>
      </c>
      <c r="G359" s="1">
        <v>0.0</v>
      </c>
      <c r="H359" s="1" t="s">
        <v>14</v>
      </c>
      <c r="I359" s="1" t="s">
        <v>21</v>
      </c>
    </row>
    <row r="360" ht="15.75" customHeight="1">
      <c r="A360" s="1" t="s">
        <v>1668</v>
      </c>
      <c r="B360" s="1" t="s">
        <v>1669</v>
      </c>
      <c r="C360" s="1">
        <v>2006.0</v>
      </c>
      <c r="D360" s="1" t="s">
        <v>1624</v>
      </c>
      <c r="E360" s="1" t="s">
        <v>1670</v>
      </c>
      <c r="F360" s="1" t="s">
        <v>1671</v>
      </c>
      <c r="G360" s="1">
        <v>8.0</v>
      </c>
      <c r="H360" s="1" t="s">
        <v>14</v>
      </c>
      <c r="I360" s="1" t="s">
        <v>15</v>
      </c>
    </row>
    <row r="361" ht="15.75" customHeight="1">
      <c r="A361" s="1" t="s">
        <v>1672</v>
      </c>
      <c r="B361" s="1" t="s">
        <v>1673</v>
      </c>
      <c r="C361" s="1">
        <v>2010.0</v>
      </c>
      <c r="D361" s="1" t="s">
        <v>1102</v>
      </c>
      <c r="E361" s="1" t="s">
        <v>1674</v>
      </c>
      <c r="F361" s="1" t="s">
        <v>1675</v>
      </c>
      <c r="G361" s="1">
        <v>4.0</v>
      </c>
      <c r="H361" s="1" t="s">
        <v>14</v>
      </c>
      <c r="I361" s="1" t="s">
        <v>21</v>
      </c>
    </row>
    <row r="362" ht="15.75" customHeight="1">
      <c r="A362" s="1" t="s">
        <v>1676</v>
      </c>
      <c r="B362" s="1" t="s">
        <v>1677</v>
      </c>
      <c r="C362" s="1">
        <v>2002.0</v>
      </c>
      <c r="D362" s="1" t="s">
        <v>1116</v>
      </c>
      <c r="E362" s="1" t="s">
        <v>1678</v>
      </c>
      <c r="F362" s="1" t="s">
        <v>1679</v>
      </c>
      <c r="G362" s="1">
        <v>1.0</v>
      </c>
      <c r="H362" s="1" t="s">
        <v>14</v>
      </c>
      <c r="I362" s="1" t="s">
        <v>15</v>
      </c>
    </row>
    <row r="363" ht="15.75" customHeight="1">
      <c r="A363" s="1" t="s">
        <v>1680</v>
      </c>
      <c r="B363" s="1" t="s">
        <v>1597</v>
      </c>
      <c r="C363" s="1">
        <v>2007.0</v>
      </c>
      <c r="D363" s="1" t="s">
        <v>1681</v>
      </c>
      <c r="E363" s="1" t="s">
        <v>1682</v>
      </c>
      <c r="F363" s="1" t="s">
        <v>1683</v>
      </c>
      <c r="G363" s="1">
        <v>2.0</v>
      </c>
      <c r="H363" s="1" t="s">
        <v>14</v>
      </c>
      <c r="I363" s="1" t="s">
        <v>21</v>
      </c>
    </row>
    <row r="364" ht="15.75" customHeight="1">
      <c r="A364" s="1" t="s">
        <v>1684</v>
      </c>
      <c r="B364" s="1" t="s">
        <v>1685</v>
      </c>
      <c r="C364" s="1">
        <v>2012.0</v>
      </c>
      <c r="D364" s="1" t="s">
        <v>78</v>
      </c>
      <c r="E364" s="1" t="s">
        <v>1686</v>
      </c>
      <c r="F364" s="1" t="s">
        <v>1687</v>
      </c>
      <c r="G364" s="1">
        <v>36.0</v>
      </c>
      <c r="H364" s="1" t="s">
        <v>14</v>
      </c>
      <c r="I364" s="1" t="s">
        <v>15</v>
      </c>
    </row>
    <row r="365" ht="15.75" customHeight="1">
      <c r="A365" s="1" t="s">
        <v>1688</v>
      </c>
      <c r="B365" s="1" t="s">
        <v>1689</v>
      </c>
      <c r="C365" s="1">
        <v>2008.0</v>
      </c>
      <c r="D365" s="1" t="s">
        <v>1211</v>
      </c>
      <c r="E365" s="1" t="s">
        <v>1690</v>
      </c>
      <c r="F365" s="1" t="s">
        <v>1691</v>
      </c>
      <c r="G365" s="1">
        <v>184.0</v>
      </c>
      <c r="H365" s="1" t="s">
        <v>14</v>
      </c>
      <c r="I365" s="1" t="s">
        <v>21</v>
      </c>
    </row>
    <row r="366" ht="15.75" customHeight="1">
      <c r="A366" s="1" t="s">
        <v>1692</v>
      </c>
      <c r="B366" s="1" t="s">
        <v>1693</v>
      </c>
      <c r="C366" s="1">
        <v>2003.0</v>
      </c>
      <c r="D366" s="1" t="s">
        <v>1694</v>
      </c>
      <c r="F366" s="1" t="s">
        <v>1695</v>
      </c>
      <c r="G366" s="1">
        <v>11.0</v>
      </c>
      <c r="H366" s="1" t="s">
        <v>14</v>
      </c>
      <c r="I366" s="1" t="s">
        <v>15</v>
      </c>
    </row>
    <row r="367" ht="15.75" customHeight="1">
      <c r="A367" s="1" t="s">
        <v>1696</v>
      </c>
      <c r="B367" s="1" t="s">
        <v>1697</v>
      </c>
      <c r="C367" s="1">
        <v>2009.0</v>
      </c>
      <c r="D367" s="1" t="s">
        <v>1698</v>
      </c>
      <c r="E367" s="1" t="s">
        <v>1699</v>
      </c>
      <c r="F367" s="1" t="s">
        <v>1700</v>
      </c>
      <c r="G367" s="1">
        <v>23.0</v>
      </c>
      <c r="H367" s="1" t="s">
        <v>14</v>
      </c>
      <c r="I367" s="1" t="s">
        <v>15</v>
      </c>
    </row>
    <row r="368" ht="15.75" customHeight="1">
      <c r="A368" s="1" t="s">
        <v>1701</v>
      </c>
      <c r="B368" s="1" t="s">
        <v>1702</v>
      </c>
      <c r="C368" s="1">
        <v>2004.0</v>
      </c>
      <c r="D368" s="1" t="s">
        <v>1703</v>
      </c>
      <c r="E368" s="1" t="s">
        <v>1704</v>
      </c>
      <c r="F368" s="1" t="s">
        <v>1705</v>
      </c>
      <c r="G368" s="1">
        <v>17.0</v>
      </c>
      <c r="H368" s="1" t="s">
        <v>14</v>
      </c>
      <c r="I368" s="1" t="s">
        <v>15</v>
      </c>
    </row>
    <row r="369" ht="15.75" customHeight="1">
      <c r="A369" s="1" t="s">
        <v>1706</v>
      </c>
      <c r="B369" s="1" t="s">
        <v>1707</v>
      </c>
      <c r="C369" s="1">
        <v>2011.0</v>
      </c>
      <c r="D369" s="1" t="s">
        <v>1708</v>
      </c>
      <c r="E369" s="1" t="s">
        <v>1709</v>
      </c>
      <c r="F369" s="1" t="s">
        <v>1710</v>
      </c>
      <c r="G369" s="1">
        <v>1.0</v>
      </c>
      <c r="H369" s="1" t="s">
        <v>14</v>
      </c>
      <c r="I369" s="1" t="s">
        <v>21</v>
      </c>
    </row>
    <row r="370" ht="15.75" customHeight="1">
      <c r="A370" s="1" t="s">
        <v>1711</v>
      </c>
      <c r="B370" s="1" t="s">
        <v>1712</v>
      </c>
      <c r="C370" s="1">
        <v>2006.0</v>
      </c>
      <c r="D370" s="1" t="s">
        <v>1713</v>
      </c>
      <c r="E370" s="1" t="s">
        <v>1714</v>
      </c>
      <c r="F370" s="1" t="s">
        <v>1715</v>
      </c>
      <c r="G370" s="1">
        <v>84.0</v>
      </c>
      <c r="H370" s="1" t="s">
        <v>14</v>
      </c>
      <c r="I370" s="1" t="s">
        <v>21</v>
      </c>
    </row>
    <row r="371" ht="15.75" customHeight="1">
      <c r="A371" s="1" t="s">
        <v>1716</v>
      </c>
      <c r="B371" s="1" t="s">
        <v>1717</v>
      </c>
      <c r="C371" s="1">
        <v>2008.0</v>
      </c>
      <c r="D371" s="1" t="s">
        <v>153</v>
      </c>
      <c r="E371" s="1" t="s">
        <v>1718</v>
      </c>
      <c r="F371" s="1" t="s">
        <v>1719</v>
      </c>
      <c r="G371" s="1">
        <v>0.0</v>
      </c>
      <c r="H371" s="1" t="s">
        <v>14</v>
      </c>
      <c r="I371" s="1" t="s">
        <v>15</v>
      </c>
    </row>
    <row r="372" ht="15.75" customHeight="1">
      <c r="A372" s="1" t="s">
        <v>1688</v>
      </c>
      <c r="B372" s="1" t="s">
        <v>1689</v>
      </c>
      <c r="C372" s="1">
        <v>2008.0</v>
      </c>
      <c r="D372" s="1" t="s">
        <v>1531</v>
      </c>
      <c r="E372" s="1" t="s">
        <v>1720</v>
      </c>
      <c r="F372" s="1" t="s">
        <v>1721</v>
      </c>
      <c r="G372" s="1">
        <v>378.0</v>
      </c>
      <c r="H372" s="1" t="s">
        <v>14</v>
      </c>
      <c r="I372" s="1" t="s">
        <v>15</v>
      </c>
    </row>
    <row r="373" ht="15.75" customHeight="1">
      <c r="A373" s="1" t="s">
        <v>1722</v>
      </c>
      <c r="B373" s="1" t="s">
        <v>1723</v>
      </c>
      <c r="C373" s="1">
        <v>2005.0</v>
      </c>
      <c r="D373" s="1" t="s">
        <v>63</v>
      </c>
      <c r="E373" s="1" t="s">
        <v>1724</v>
      </c>
      <c r="F373" s="1" t="s">
        <v>1725</v>
      </c>
      <c r="G373" s="1">
        <v>2.0</v>
      </c>
      <c r="H373" s="1" t="s">
        <v>14</v>
      </c>
      <c r="I373" s="1" t="s">
        <v>15</v>
      </c>
    </row>
    <row r="374" ht="15.75" customHeight="1">
      <c r="A374" s="1" t="s">
        <v>1726</v>
      </c>
      <c r="B374" s="1" t="s">
        <v>1727</v>
      </c>
      <c r="C374" s="1">
        <v>2011.0</v>
      </c>
      <c r="D374" s="1" t="s">
        <v>1624</v>
      </c>
      <c r="E374" s="1" t="s">
        <v>1728</v>
      </c>
      <c r="F374" s="1" t="s">
        <v>1729</v>
      </c>
      <c r="G374" s="1">
        <v>3.0</v>
      </c>
      <c r="H374" s="1" t="s">
        <v>14</v>
      </c>
      <c r="I374" s="1" t="s">
        <v>15</v>
      </c>
    </row>
    <row r="375" ht="15.75" customHeight="1">
      <c r="A375" s="1" t="s">
        <v>1730</v>
      </c>
      <c r="B375" s="1" t="s">
        <v>1731</v>
      </c>
      <c r="C375" s="1">
        <v>2002.0</v>
      </c>
      <c r="D375" s="1" t="s">
        <v>91</v>
      </c>
      <c r="E375" s="1" t="s">
        <v>1732</v>
      </c>
      <c r="F375" s="1" t="s">
        <v>1733</v>
      </c>
      <c r="G375" s="1">
        <v>1.0</v>
      </c>
      <c r="H375" s="1" t="s">
        <v>14</v>
      </c>
      <c r="I375" s="1" t="s">
        <v>21</v>
      </c>
    </row>
    <row r="376" ht="15.75" customHeight="1">
      <c r="A376" s="1" t="s">
        <v>1734</v>
      </c>
      <c r="B376" s="1" t="s">
        <v>1735</v>
      </c>
      <c r="C376" s="1">
        <v>2013.0</v>
      </c>
      <c r="D376" s="1" t="s">
        <v>1736</v>
      </c>
      <c r="F376" s="1" t="s">
        <v>1737</v>
      </c>
      <c r="G376" s="1">
        <v>0.0</v>
      </c>
      <c r="H376" s="1" t="s">
        <v>14</v>
      </c>
      <c r="I376" s="1" t="s">
        <v>21</v>
      </c>
    </row>
    <row r="377" ht="15.75" customHeight="1">
      <c r="A377" s="1" t="s">
        <v>1738</v>
      </c>
      <c r="B377" s="1" t="s">
        <v>1739</v>
      </c>
      <c r="C377" s="1">
        <v>2008.0</v>
      </c>
      <c r="D377" s="1" t="s">
        <v>63</v>
      </c>
      <c r="E377" s="1" t="s">
        <v>1740</v>
      </c>
      <c r="F377" s="1" t="s">
        <v>1741</v>
      </c>
      <c r="G377" s="1">
        <v>15.0</v>
      </c>
      <c r="H377" s="1" t="s">
        <v>14</v>
      </c>
      <c r="I377" s="1" t="s">
        <v>15</v>
      </c>
    </row>
    <row r="378" ht="15.75" customHeight="1">
      <c r="A378" s="1" t="s">
        <v>1742</v>
      </c>
      <c r="B378" s="1" t="s">
        <v>1743</v>
      </c>
      <c r="C378" s="1">
        <v>2007.0</v>
      </c>
      <c r="D378" s="1" t="s">
        <v>1550</v>
      </c>
      <c r="E378" s="1" t="s">
        <v>1744</v>
      </c>
      <c r="F378" s="1" t="s">
        <v>1745</v>
      </c>
      <c r="G378" s="1">
        <v>45.0</v>
      </c>
      <c r="H378" s="1" t="s">
        <v>14</v>
      </c>
      <c r="I378" s="1" t="s">
        <v>15</v>
      </c>
    </row>
    <row r="379" ht="15.75" customHeight="1">
      <c r="A379" s="1" t="s">
        <v>1746</v>
      </c>
      <c r="B379" s="1" t="s">
        <v>1747</v>
      </c>
      <c r="C379" s="1">
        <v>2011.0</v>
      </c>
      <c r="D379" s="1" t="s">
        <v>1748</v>
      </c>
      <c r="E379" s="1" t="s">
        <v>1749</v>
      </c>
      <c r="F379" s="1" t="s">
        <v>1750</v>
      </c>
      <c r="G379" s="1">
        <v>3.0</v>
      </c>
      <c r="H379" s="1" t="s">
        <v>14</v>
      </c>
      <c r="I379" s="1" t="s">
        <v>15</v>
      </c>
    </row>
    <row r="380" ht="15.75" customHeight="1">
      <c r="A380" s="1" t="s">
        <v>1751</v>
      </c>
      <c r="B380" s="1" t="s">
        <v>1752</v>
      </c>
      <c r="C380" s="1">
        <v>2004.0</v>
      </c>
      <c r="D380" s="1" t="s">
        <v>1634</v>
      </c>
      <c r="F380" s="1" t="s">
        <v>1753</v>
      </c>
      <c r="G380" s="1">
        <v>1.0</v>
      </c>
      <c r="H380" s="1" t="s">
        <v>14</v>
      </c>
      <c r="I380" s="1" t="s">
        <v>21</v>
      </c>
    </row>
    <row r="381" ht="15.75" customHeight="1">
      <c r="A381" s="1" t="s">
        <v>1754</v>
      </c>
      <c r="B381" s="1" t="s">
        <v>1755</v>
      </c>
      <c r="C381" s="1">
        <v>2002.0</v>
      </c>
      <c r="D381" s="1" t="s">
        <v>73</v>
      </c>
      <c r="E381" s="1" t="s">
        <v>1756</v>
      </c>
      <c r="F381" s="1" t="s">
        <v>1757</v>
      </c>
      <c r="G381" s="1">
        <v>8.0</v>
      </c>
      <c r="H381" s="1" t="s">
        <v>14</v>
      </c>
      <c r="I381" s="1" t="s">
        <v>21</v>
      </c>
    </row>
    <row r="382" ht="15.75" customHeight="1">
      <c r="A382" s="1" t="s">
        <v>1758</v>
      </c>
      <c r="B382" s="1" t="s">
        <v>1759</v>
      </c>
      <c r="C382" s="1">
        <v>2012.0</v>
      </c>
      <c r="D382" s="1" t="s">
        <v>1760</v>
      </c>
      <c r="E382" s="1" t="s">
        <v>1761</v>
      </c>
      <c r="F382" s="1" t="s">
        <v>1762</v>
      </c>
      <c r="G382" s="1">
        <v>1.0</v>
      </c>
      <c r="H382" s="1" t="s">
        <v>14</v>
      </c>
      <c r="I382" s="1" t="s">
        <v>15</v>
      </c>
    </row>
    <row r="383" ht="15.75" customHeight="1">
      <c r="A383" s="1" t="s">
        <v>1763</v>
      </c>
      <c r="B383" s="1" t="s">
        <v>1764</v>
      </c>
      <c r="C383" s="1">
        <v>2010.0</v>
      </c>
      <c r="D383" s="1" t="s">
        <v>1452</v>
      </c>
      <c r="E383" s="1" t="s">
        <v>1765</v>
      </c>
      <c r="F383" s="1" t="s">
        <v>1766</v>
      </c>
      <c r="G383" s="1">
        <v>0.0</v>
      </c>
      <c r="H383" s="1" t="s">
        <v>14</v>
      </c>
      <c r="I383" s="1" t="s">
        <v>21</v>
      </c>
    </row>
    <row r="384" ht="15.75" customHeight="1">
      <c r="A384" s="1" t="s">
        <v>1767</v>
      </c>
      <c r="B384" s="1" t="s">
        <v>1768</v>
      </c>
      <c r="C384" s="1">
        <v>2003.0</v>
      </c>
      <c r="D384" s="1" t="s">
        <v>63</v>
      </c>
      <c r="E384" s="1" t="s">
        <v>1769</v>
      </c>
      <c r="F384" s="1" t="s">
        <v>1770</v>
      </c>
      <c r="G384" s="1">
        <v>115.0</v>
      </c>
      <c r="H384" s="1" t="s">
        <v>14</v>
      </c>
      <c r="I384" s="1" t="s">
        <v>21</v>
      </c>
    </row>
    <row r="385" ht="15.75" customHeight="1">
      <c r="A385" s="1" t="s">
        <v>1771</v>
      </c>
      <c r="B385" s="1" t="s">
        <v>1772</v>
      </c>
      <c r="C385" s="1">
        <v>2011.0</v>
      </c>
      <c r="D385" s="1" t="s">
        <v>1773</v>
      </c>
      <c r="E385" s="1" t="s">
        <v>1774</v>
      </c>
      <c r="F385" s="1" t="s">
        <v>1775</v>
      </c>
      <c r="G385" s="1">
        <v>0.0</v>
      </c>
      <c r="H385" s="1" t="s">
        <v>14</v>
      </c>
      <c r="I385" s="1" t="s">
        <v>15</v>
      </c>
    </row>
    <row r="386" ht="15.75" customHeight="1">
      <c r="A386" s="1" t="s">
        <v>1776</v>
      </c>
      <c r="B386" s="1" t="s">
        <v>1777</v>
      </c>
      <c r="C386" s="1">
        <v>2011.0</v>
      </c>
      <c r="D386" s="1" t="s">
        <v>1778</v>
      </c>
      <c r="F386" s="1" t="s">
        <v>1779</v>
      </c>
      <c r="G386" s="1">
        <v>1.0</v>
      </c>
      <c r="H386" s="1" t="s">
        <v>14</v>
      </c>
      <c r="I386" s="1" t="s">
        <v>15</v>
      </c>
    </row>
    <row r="387" ht="15.75" customHeight="1">
      <c r="A387" s="1" t="s">
        <v>1780</v>
      </c>
      <c r="B387" s="1" t="s">
        <v>1781</v>
      </c>
      <c r="C387" s="1">
        <v>2012.0</v>
      </c>
      <c r="D387" s="1" t="s">
        <v>63</v>
      </c>
      <c r="E387" s="1" t="s">
        <v>1782</v>
      </c>
      <c r="F387" s="1" t="s">
        <v>1783</v>
      </c>
      <c r="G387" s="1">
        <v>4.0</v>
      </c>
      <c r="H387" s="1" t="s">
        <v>14</v>
      </c>
      <c r="I387" s="1" t="s">
        <v>15</v>
      </c>
    </row>
    <row r="388" ht="15.75" customHeight="1">
      <c r="A388" s="1" t="s">
        <v>1784</v>
      </c>
      <c r="B388" s="1" t="s">
        <v>1785</v>
      </c>
      <c r="C388" s="1">
        <v>2008.0</v>
      </c>
      <c r="D388" s="1" t="s">
        <v>1786</v>
      </c>
      <c r="E388" s="1" t="s">
        <v>1787</v>
      </c>
      <c r="F388" s="1" t="s">
        <v>1788</v>
      </c>
      <c r="G388" s="1">
        <v>143.0</v>
      </c>
      <c r="H388" s="1" t="s">
        <v>14</v>
      </c>
      <c r="I388" s="1" t="s">
        <v>21</v>
      </c>
    </row>
    <row r="389" ht="15.75" customHeight="1">
      <c r="A389" s="1" t="s">
        <v>1789</v>
      </c>
      <c r="B389" s="1" t="s">
        <v>1628</v>
      </c>
      <c r="C389" s="1">
        <v>2011.0</v>
      </c>
      <c r="D389" s="1" t="s">
        <v>1790</v>
      </c>
      <c r="E389" s="1" t="s">
        <v>1791</v>
      </c>
      <c r="F389" s="1" t="s">
        <v>1792</v>
      </c>
      <c r="G389" s="1">
        <v>57.0</v>
      </c>
      <c r="H389" s="1" t="s">
        <v>14</v>
      </c>
      <c r="I389" s="1" t="s">
        <v>15</v>
      </c>
    </row>
    <row r="390" ht="15.75" customHeight="1">
      <c r="A390" s="1" t="s">
        <v>1793</v>
      </c>
      <c r="B390" s="1" t="s">
        <v>1794</v>
      </c>
      <c r="C390" s="1">
        <v>2003.0</v>
      </c>
      <c r="D390" s="1" t="s">
        <v>334</v>
      </c>
      <c r="E390" s="1" t="s">
        <v>1795</v>
      </c>
      <c r="F390" s="1" t="s">
        <v>1796</v>
      </c>
      <c r="G390" s="1">
        <v>60.0</v>
      </c>
      <c r="H390" s="1" t="s">
        <v>14</v>
      </c>
      <c r="I390" s="1" t="s">
        <v>21</v>
      </c>
    </row>
    <row r="391" ht="15.75" customHeight="1">
      <c r="A391" s="1" t="s">
        <v>1797</v>
      </c>
      <c r="B391" s="1" t="s">
        <v>1798</v>
      </c>
      <c r="C391" s="1">
        <v>2001.0</v>
      </c>
      <c r="D391" s="1" t="s">
        <v>1799</v>
      </c>
      <c r="E391" s="1" t="s">
        <v>1800</v>
      </c>
      <c r="F391" s="1" t="s">
        <v>1801</v>
      </c>
      <c r="G391" s="1">
        <v>116.0</v>
      </c>
      <c r="H391" s="1" t="s">
        <v>14</v>
      </c>
      <c r="I391" s="1" t="s">
        <v>15</v>
      </c>
    </row>
    <row r="392" ht="15.75" customHeight="1">
      <c r="A392" s="1" t="s">
        <v>1802</v>
      </c>
      <c r="B392" s="1" t="s">
        <v>1803</v>
      </c>
      <c r="C392" s="1">
        <v>2011.0</v>
      </c>
      <c r="D392" s="1" t="s">
        <v>1337</v>
      </c>
      <c r="E392" s="1" t="s">
        <v>1804</v>
      </c>
      <c r="F392" s="1" t="s">
        <v>1805</v>
      </c>
      <c r="G392" s="1">
        <v>71.0</v>
      </c>
      <c r="H392" s="1" t="s">
        <v>14</v>
      </c>
      <c r="I392" s="1" t="s">
        <v>21</v>
      </c>
    </row>
    <row r="393" ht="15.75" customHeight="1">
      <c r="A393" s="1" t="s">
        <v>1806</v>
      </c>
      <c r="B393" s="1" t="s">
        <v>1807</v>
      </c>
      <c r="C393" s="1">
        <v>2000.0</v>
      </c>
      <c r="D393" s="1" t="s">
        <v>1808</v>
      </c>
      <c r="E393" s="1" t="s">
        <v>1809</v>
      </c>
      <c r="F393" s="1" t="s">
        <v>1810</v>
      </c>
      <c r="G393" s="1">
        <v>20.0</v>
      </c>
      <c r="H393" s="1" t="s">
        <v>14</v>
      </c>
      <c r="I393" s="1" t="s">
        <v>21</v>
      </c>
    </row>
    <row r="394" ht="15.75" customHeight="1">
      <c r="A394" s="1" t="s">
        <v>1811</v>
      </c>
      <c r="B394" s="1" t="s">
        <v>1578</v>
      </c>
      <c r="C394" s="1">
        <v>2009.0</v>
      </c>
      <c r="D394" s="1" t="s">
        <v>1812</v>
      </c>
      <c r="E394" s="1" t="s">
        <v>1813</v>
      </c>
      <c r="F394" s="1" t="s">
        <v>1814</v>
      </c>
      <c r="G394" s="1">
        <v>4.0</v>
      </c>
      <c r="H394" s="1" t="s">
        <v>14</v>
      </c>
      <c r="I394" s="1" t="s">
        <v>15</v>
      </c>
    </row>
    <row r="395" ht="15.75" customHeight="1">
      <c r="A395" s="1" t="s">
        <v>1815</v>
      </c>
      <c r="B395" s="1" t="s">
        <v>1816</v>
      </c>
      <c r="C395" s="1">
        <v>2001.0</v>
      </c>
      <c r="D395" s="1" t="s">
        <v>1084</v>
      </c>
      <c r="F395" s="1" t="s">
        <v>1817</v>
      </c>
      <c r="G395" s="1">
        <v>34.0</v>
      </c>
      <c r="H395" s="1" t="s">
        <v>14</v>
      </c>
      <c r="I395" s="1" t="s">
        <v>15</v>
      </c>
    </row>
    <row r="396" ht="15.75" customHeight="1">
      <c r="A396" s="1" t="s">
        <v>1818</v>
      </c>
      <c r="B396" s="1" t="s">
        <v>1819</v>
      </c>
      <c r="C396" s="1">
        <v>2008.0</v>
      </c>
      <c r="D396" s="1" t="s">
        <v>1820</v>
      </c>
      <c r="E396" s="1" t="s">
        <v>1821</v>
      </c>
      <c r="F396" s="1" t="s">
        <v>1822</v>
      </c>
      <c r="G396" s="1">
        <v>1.0</v>
      </c>
      <c r="H396" s="1" t="s">
        <v>14</v>
      </c>
      <c r="I396" s="1" t="s">
        <v>15</v>
      </c>
    </row>
    <row r="397" ht="15.75" customHeight="1">
      <c r="A397" s="1" t="s">
        <v>1823</v>
      </c>
      <c r="B397" s="1" t="s">
        <v>1824</v>
      </c>
      <c r="C397" s="1">
        <v>2005.0</v>
      </c>
      <c r="D397" s="1" t="s">
        <v>1466</v>
      </c>
      <c r="E397" s="1" t="s">
        <v>1825</v>
      </c>
      <c r="F397" s="1" t="s">
        <v>1826</v>
      </c>
      <c r="G397" s="1">
        <v>27.0</v>
      </c>
      <c r="H397" s="1" t="s">
        <v>14</v>
      </c>
      <c r="I397" s="1" t="s">
        <v>21</v>
      </c>
    </row>
    <row r="398" ht="15.75" customHeight="1">
      <c r="A398" s="1" t="s">
        <v>1827</v>
      </c>
      <c r="B398" s="1" t="s">
        <v>1828</v>
      </c>
      <c r="C398" s="1">
        <v>2009.0</v>
      </c>
      <c r="D398" s="1" t="s">
        <v>1829</v>
      </c>
      <c r="E398" s="1" t="s">
        <v>1830</v>
      </c>
      <c r="F398" s="1" t="s">
        <v>1831</v>
      </c>
      <c r="G398" s="1">
        <v>9.0</v>
      </c>
      <c r="H398" s="1" t="s">
        <v>14</v>
      </c>
      <c r="I398" s="1" t="s">
        <v>15</v>
      </c>
    </row>
    <row r="399" ht="15.75" customHeight="1">
      <c r="A399" s="1" t="s">
        <v>1832</v>
      </c>
      <c r="B399" s="1" t="s">
        <v>1833</v>
      </c>
      <c r="C399" s="1">
        <v>2007.0</v>
      </c>
      <c r="D399" s="1" t="s">
        <v>1834</v>
      </c>
      <c r="F399" s="1" t="s">
        <v>1835</v>
      </c>
      <c r="G399" s="1">
        <v>0.0</v>
      </c>
      <c r="H399" s="1" t="s">
        <v>14</v>
      </c>
      <c r="I399" s="1" t="s">
        <v>15</v>
      </c>
    </row>
    <row r="400" ht="15.75" customHeight="1">
      <c r="A400" s="1" t="s">
        <v>1836</v>
      </c>
      <c r="B400" s="1" t="s">
        <v>1837</v>
      </c>
      <c r="C400" s="1">
        <v>2000.0</v>
      </c>
      <c r="D400" s="1" t="s">
        <v>1838</v>
      </c>
      <c r="F400" s="1" t="s">
        <v>1839</v>
      </c>
      <c r="G400" s="1">
        <v>5.0</v>
      </c>
      <c r="H400" s="1" t="s">
        <v>14</v>
      </c>
      <c r="I400" s="1" t="s">
        <v>21</v>
      </c>
    </row>
    <row r="401" ht="15.75" customHeight="1">
      <c r="A401" s="1" t="s">
        <v>1840</v>
      </c>
      <c r="B401" s="1" t="s">
        <v>1841</v>
      </c>
      <c r="C401" s="1">
        <v>2011.0</v>
      </c>
      <c r="D401" s="1" t="s">
        <v>63</v>
      </c>
      <c r="E401" s="1" t="s">
        <v>1842</v>
      </c>
      <c r="F401" s="1" t="s">
        <v>1843</v>
      </c>
      <c r="G401" s="1">
        <v>1.0</v>
      </c>
      <c r="H401" s="1" t="s">
        <v>14</v>
      </c>
      <c r="I401" s="1" t="s">
        <v>15</v>
      </c>
    </row>
    <row r="402" ht="15.75" customHeight="1">
      <c r="A402" s="1" t="s">
        <v>1844</v>
      </c>
      <c r="B402" s="1" t="s">
        <v>1845</v>
      </c>
      <c r="C402" s="1">
        <v>1998.0</v>
      </c>
      <c r="D402" s="1" t="s">
        <v>1846</v>
      </c>
      <c r="E402" s="1" t="s">
        <v>1847</v>
      </c>
      <c r="F402" s="1" t="s">
        <v>1848</v>
      </c>
      <c r="G402" s="1">
        <v>48.0</v>
      </c>
      <c r="H402" s="1" t="s">
        <v>14</v>
      </c>
      <c r="I402" s="1" t="s">
        <v>21</v>
      </c>
    </row>
    <row r="403" ht="15.75" customHeight="1">
      <c r="A403" s="1" t="s">
        <v>1849</v>
      </c>
      <c r="B403" s="1" t="s">
        <v>1850</v>
      </c>
      <c r="C403" s="1">
        <v>1989.0</v>
      </c>
      <c r="D403" s="1" t="s">
        <v>1851</v>
      </c>
      <c r="E403" s="1" t="s">
        <v>1852</v>
      </c>
      <c r="F403" s="1" t="s">
        <v>1853</v>
      </c>
      <c r="G403" s="1">
        <v>8.0</v>
      </c>
      <c r="H403" s="1" t="s">
        <v>14</v>
      </c>
      <c r="I403" s="1" t="s">
        <v>21</v>
      </c>
    </row>
    <row r="404" ht="15.75" customHeight="1">
      <c r="A404" s="1" t="s">
        <v>1854</v>
      </c>
      <c r="B404" s="1" t="s">
        <v>1855</v>
      </c>
      <c r="C404" s="1">
        <v>2000.0</v>
      </c>
      <c r="D404" s="1" t="s">
        <v>1856</v>
      </c>
      <c r="F404" s="1" t="s">
        <v>1857</v>
      </c>
      <c r="G404" s="1">
        <v>29.0</v>
      </c>
      <c r="H404" s="1" t="s">
        <v>14</v>
      </c>
      <c r="I404" s="1" t="s">
        <v>15</v>
      </c>
    </row>
    <row r="405" ht="15.75" customHeight="1">
      <c r="A405" s="1" t="s">
        <v>1858</v>
      </c>
      <c r="B405" s="1" t="s">
        <v>1859</v>
      </c>
      <c r="C405" s="1">
        <v>1988.0</v>
      </c>
      <c r="D405" s="1" t="s">
        <v>1860</v>
      </c>
      <c r="E405" s="1" t="s">
        <v>1861</v>
      </c>
      <c r="F405" s="1" t="s">
        <v>1862</v>
      </c>
      <c r="G405" s="1">
        <v>4.0</v>
      </c>
      <c r="H405" s="1" t="s">
        <v>14</v>
      </c>
      <c r="I405" s="1" t="s">
        <v>21</v>
      </c>
    </row>
    <row r="406" ht="15.75" customHeight="1">
      <c r="A406" s="1" t="s">
        <v>1863</v>
      </c>
      <c r="B406" s="1" t="s">
        <v>1864</v>
      </c>
      <c r="C406" s="1">
        <v>1998.0</v>
      </c>
      <c r="D406" s="1" t="s">
        <v>1865</v>
      </c>
      <c r="E406" s="1" t="s">
        <v>1866</v>
      </c>
      <c r="F406" s="1" t="s">
        <v>1867</v>
      </c>
      <c r="G406" s="1">
        <v>13.0</v>
      </c>
      <c r="H406" s="1" t="s">
        <v>14</v>
      </c>
      <c r="I406" s="1" t="s">
        <v>21</v>
      </c>
    </row>
    <row r="407" ht="15.75" customHeight="1">
      <c r="A407" s="1" t="s">
        <v>1868</v>
      </c>
      <c r="B407" s="1" t="s">
        <v>1869</v>
      </c>
      <c r="C407" s="1">
        <v>1997.0</v>
      </c>
      <c r="D407" s="1" t="s">
        <v>1870</v>
      </c>
      <c r="F407" s="1" t="s">
        <v>1871</v>
      </c>
      <c r="G407" s="1">
        <v>0.0</v>
      </c>
      <c r="H407" s="1" t="s">
        <v>14</v>
      </c>
      <c r="I407" s="1" t="s">
        <v>21</v>
      </c>
    </row>
    <row r="408" ht="15.75" customHeight="1">
      <c r="A408" s="1" t="s">
        <v>1872</v>
      </c>
      <c r="B408" s="1" t="s">
        <v>1873</v>
      </c>
      <c r="C408" s="1">
        <v>1995.0</v>
      </c>
      <c r="D408" s="1" t="s">
        <v>1874</v>
      </c>
      <c r="E408" s="1" t="s">
        <v>1875</v>
      </c>
      <c r="F408" s="1" t="s">
        <v>1876</v>
      </c>
      <c r="G408" s="1">
        <v>1.0</v>
      </c>
      <c r="H408" s="1" t="s">
        <v>14</v>
      </c>
      <c r="I408" s="1" t="s">
        <v>15</v>
      </c>
    </row>
    <row r="409" ht="15.75" customHeight="1">
      <c r="A409" s="1" t="s">
        <v>1877</v>
      </c>
      <c r="B409" s="1" t="s">
        <v>1878</v>
      </c>
      <c r="C409" s="1">
        <v>1990.0</v>
      </c>
      <c r="D409" s="1" t="s">
        <v>1879</v>
      </c>
      <c r="F409" s="1" t="s">
        <v>1880</v>
      </c>
      <c r="G409" s="1">
        <v>10.0</v>
      </c>
      <c r="H409" s="1" t="s">
        <v>14</v>
      </c>
      <c r="I409" s="1" t="s">
        <v>15</v>
      </c>
    </row>
    <row r="410" ht="15.75" customHeight="1">
      <c r="A410" s="1" t="s">
        <v>1881</v>
      </c>
      <c r="B410" s="1" t="s">
        <v>1882</v>
      </c>
      <c r="C410" s="1">
        <v>1999.0</v>
      </c>
      <c r="D410" s="1" t="s">
        <v>1883</v>
      </c>
      <c r="E410" s="1" t="s">
        <v>1884</v>
      </c>
      <c r="F410" s="1" t="s">
        <v>1885</v>
      </c>
      <c r="G410" s="1">
        <v>91.0</v>
      </c>
      <c r="H410" s="1" t="s">
        <v>14</v>
      </c>
      <c r="I410" s="1" t="s">
        <v>21</v>
      </c>
    </row>
    <row r="411" ht="15.75" customHeight="1">
      <c r="A411" s="1" t="s">
        <v>1886</v>
      </c>
      <c r="B411" s="1" t="s">
        <v>1887</v>
      </c>
      <c r="C411" s="1">
        <v>1994.0</v>
      </c>
      <c r="D411" s="1" t="s">
        <v>1694</v>
      </c>
      <c r="F411" s="1" t="s">
        <v>1888</v>
      </c>
      <c r="G411" s="1">
        <v>20.0</v>
      </c>
      <c r="H411" s="1" t="s">
        <v>14</v>
      </c>
      <c r="I411" s="1" t="s">
        <v>15</v>
      </c>
    </row>
    <row r="412" ht="15.75" customHeight="1">
      <c r="A412" s="1" t="s">
        <v>1889</v>
      </c>
      <c r="B412" s="1" t="s">
        <v>1890</v>
      </c>
      <c r="C412" s="1">
        <v>1997.0</v>
      </c>
      <c r="D412" s="1" t="s">
        <v>1891</v>
      </c>
      <c r="F412" s="1" t="s">
        <v>1892</v>
      </c>
      <c r="G412" s="1">
        <v>12.0</v>
      </c>
      <c r="H412" s="1" t="s">
        <v>14</v>
      </c>
      <c r="I412" s="1" t="s">
        <v>15</v>
      </c>
    </row>
    <row r="413" ht="15.75" customHeight="1">
      <c r="A413" s="1" t="s">
        <v>1893</v>
      </c>
      <c r="B413" s="1" t="s">
        <v>1894</v>
      </c>
      <c r="C413" s="1">
        <v>1996.0</v>
      </c>
      <c r="D413" s="1" t="s">
        <v>1895</v>
      </c>
      <c r="F413" s="1" t="s">
        <v>1896</v>
      </c>
      <c r="G413" s="1">
        <v>3.0</v>
      </c>
      <c r="H413" s="1" t="s">
        <v>14</v>
      </c>
      <c r="I413" s="1" t="s">
        <v>15</v>
      </c>
    </row>
    <row r="414" ht="15.75" customHeight="1">
      <c r="A414" s="1" t="s">
        <v>1897</v>
      </c>
      <c r="B414" s="1" t="s">
        <v>1898</v>
      </c>
      <c r="C414" s="1">
        <v>1998.0</v>
      </c>
      <c r="D414" s="1" t="s">
        <v>63</v>
      </c>
      <c r="F414" s="1" t="s">
        <v>1899</v>
      </c>
      <c r="G414" s="1">
        <v>7.0</v>
      </c>
      <c r="H414" s="1" t="s">
        <v>14</v>
      </c>
      <c r="I414" s="1" t="s">
        <v>15</v>
      </c>
    </row>
    <row r="415" ht="15.75" customHeight="1">
      <c r="A415" s="1" t="s">
        <v>1900</v>
      </c>
      <c r="B415" s="1" t="s">
        <v>1901</v>
      </c>
      <c r="C415" s="1">
        <v>1994.0</v>
      </c>
      <c r="D415" s="1" t="s">
        <v>1902</v>
      </c>
      <c r="F415" s="1" t="s">
        <v>1903</v>
      </c>
      <c r="G415" s="1">
        <v>3.0</v>
      </c>
      <c r="H415" s="1" t="s">
        <v>14</v>
      </c>
      <c r="I415" s="1" t="s">
        <v>15</v>
      </c>
    </row>
    <row r="416" ht="15.75" customHeight="1">
      <c r="A416" s="1" t="s">
        <v>1904</v>
      </c>
      <c r="B416" s="1" t="s">
        <v>1905</v>
      </c>
      <c r="C416" s="1">
        <v>1998.0</v>
      </c>
      <c r="D416" s="1" t="s">
        <v>1084</v>
      </c>
      <c r="E416" s="1" t="s">
        <v>1906</v>
      </c>
      <c r="F416" s="1" t="s">
        <v>1907</v>
      </c>
      <c r="G416" s="1">
        <v>4.0</v>
      </c>
      <c r="H416" s="1" t="s">
        <v>14</v>
      </c>
      <c r="I416" s="1" t="s">
        <v>15</v>
      </c>
    </row>
    <row r="417" ht="15.75" customHeight="1">
      <c r="A417" s="1" t="s">
        <v>1908</v>
      </c>
      <c r="B417" s="1" t="s">
        <v>1909</v>
      </c>
      <c r="C417" s="1">
        <v>1996.0</v>
      </c>
      <c r="D417" s="1" t="s">
        <v>1910</v>
      </c>
      <c r="F417" s="1" t="s">
        <v>1911</v>
      </c>
      <c r="G417" s="1">
        <v>0.0</v>
      </c>
      <c r="H417" s="1" t="s">
        <v>14</v>
      </c>
      <c r="I417" s="1" t="s">
        <v>15</v>
      </c>
    </row>
    <row r="418" ht="15.75" customHeight="1">
      <c r="A418" s="1" t="s">
        <v>1912</v>
      </c>
      <c r="B418" s="1" t="s">
        <v>1913</v>
      </c>
      <c r="C418" s="1">
        <v>1991.0</v>
      </c>
      <c r="D418" s="1" t="s">
        <v>1624</v>
      </c>
      <c r="E418" s="1" t="s">
        <v>1914</v>
      </c>
      <c r="F418" s="1" t="s">
        <v>1915</v>
      </c>
      <c r="G418" s="1">
        <v>3.0</v>
      </c>
      <c r="H418" s="1" t="s">
        <v>14</v>
      </c>
      <c r="I418" s="1" t="s">
        <v>15</v>
      </c>
    </row>
    <row r="419" ht="15.75" customHeight="1">
      <c r="A419" s="1" t="s">
        <v>1916</v>
      </c>
      <c r="B419" s="1" t="s">
        <v>1917</v>
      </c>
      <c r="C419" s="1">
        <v>1994.0</v>
      </c>
      <c r="D419" s="1" t="s">
        <v>1918</v>
      </c>
      <c r="F419" s="1" t="s">
        <v>1919</v>
      </c>
      <c r="G419" s="1">
        <v>12.0</v>
      </c>
      <c r="H419" s="1" t="s">
        <v>14</v>
      </c>
      <c r="I419" s="1" t="s">
        <v>15</v>
      </c>
    </row>
    <row r="420" ht="15.75" customHeight="1">
      <c r="A420" s="1" t="s">
        <v>1920</v>
      </c>
      <c r="B420" s="1" t="s">
        <v>1921</v>
      </c>
      <c r="C420" s="1">
        <v>1995.0</v>
      </c>
      <c r="D420" s="1" t="s">
        <v>1922</v>
      </c>
      <c r="F420" s="1" t="s">
        <v>1923</v>
      </c>
      <c r="G420" s="1">
        <v>5.0</v>
      </c>
      <c r="H420" s="1" t="s">
        <v>14</v>
      </c>
      <c r="I420" s="1" t="s">
        <v>15</v>
      </c>
    </row>
    <row r="421" ht="15.75" customHeight="1">
      <c r="A421" s="1" t="s">
        <v>1924</v>
      </c>
      <c r="B421" s="1" t="s">
        <v>1925</v>
      </c>
      <c r="C421" s="1">
        <v>1995.0</v>
      </c>
      <c r="D421" s="1" t="s">
        <v>153</v>
      </c>
      <c r="E421" s="1" t="s">
        <v>1926</v>
      </c>
      <c r="F421" s="1" t="s">
        <v>1927</v>
      </c>
      <c r="G421" s="1">
        <v>1.0</v>
      </c>
      <c r="H421" s="1" t="s">
        <v>14</v>
      </c>
      <c r="I421" s="1" t="s">
        <v>15</v>
      </c>
    </row>
    <row r="422" ht="15.75" customHeight="1">
      <c r="A422" s="1" t="s">
        <v>1928</v>
      </c>
      <c r="B422" s="1" t="s">
        <v>1929</v>
      </c>
      <c r="C422" s="1">
        <v>1984.0</v>
      </c>
      <c r="D422" s="1" t="s">
        <v>1930</v>
      </c>
      <c r="E422" s="1" t="s">
        <v>1931</v>
      </c>
      <c r="F422" s="1" t="s">
        <v>1932</v>
      </c>
      <c r="G422" s="1">
        <v>9.0</v>
      </c>
      <c r="H422" s="1" t="s">
        <v>14</v>
      </c>
      <c r="I422" s="1" t="s">
        <v>21</v>
      </c>
    </row>
    <row r="423" ht="15.75" customHeight="1">
      <c r="A423" s="1" t="s">
        <v>1933</v>
      </c>
      <c r="B423" s="1" t="s">
        <v>1934</v>
      </c>
      <c r="C423" s="1">
        <v>1985.0</v>
      </c>
      <c r="D423" s="1" t="s">
        <v>1935</v>
      </c>
      <c r="F423" s="1" t="s">
        <v>1936</v>
      </c>
      <c r="G423" s="1">
        <v>1.0</v>
      </c>
      <c r="H423" s="1" t="s">
        <v>14</v>
      </c>
      <c r="I423" s="1" t="s">
        <v>15</v>
      </c>
    </row>
    <row r="424" ht="15.75" customHeight="1">
      <c r="A424" s="1" t="s">
        <v>1937</v>
      </c>
      <c r="B424" s="1" t="s">
        <v>1938</v>
      </c>
      <c r="C424" s="1">
        <v>1991.0</v>
      </c>
      <c r="D424" s="1" t="s">
        <v>1939</v>
      </c>
      <c r="F424" s="1" t="s">
        <v>1940</v>
      </c>
      <c r="G424" s="1">
        <v>0.0</v>
      </c>
      <c r="H424" s="1" t="s">
        <v>14</v>
      </c>
      <c r="I424" s="1" t="s">
        <v>15</v>
      </c>
    </row>
    <row r="425" ht="15.75" customHeight="1">
      <c r="A425" s="1" t="s">
        <v>1941</v>
      </c>
      <c r="B425" s="1" t="s">
        <v>1942</v>
      </c>
      <c r="C425" s="1">
        <v>2000.0</v>
      </c>
      <c r="D425" s="1" t="s">
        <v>1694</v>
      </c>
      <c r="F425" s="1" t="s">
        <v>1943</v>
      </c>
      <c r="G425" s="1">
        <v>1.0</v>
      </c>
      <c r="H425" s="1" t="s">
        <v>14</v>
      </c>
      <c r="I425" s="1" t="s">
        <v>15</v>
      </c>
    </row>
    <row r="426" ht="15.75" customHeight="1">
      <c r="A426" s="1" t="s">
        <v>1944</v>
      </c>
      <c r="B426" s="1" t="s">
        <v>1945</v>
      </c>
      <c r="C426" s="1">
        <v>1997.0</v>
      </c>
      <c r="D426" s="1" t="s">
        <v>1838</v>
      </c>
      <c r="F426" s="1" t="s">
        <v>1946</v>
      </c>
      <c r="G426" s="1">
        <v>1.0</v>
      </c>
      <c r="H426" s="1" t="s">
        <v>14</v>
      </c>
      <c r="I426" s="1" t="s">
        <v>15</v>
      </c>
    </row>
    <row r="427" ht="15.75" customHeight="1">
      <c r="A427" s="1" t="s">
        <v>1947</v>
      </c>
      <c r="B427" s="1" t="s">
        <v>1948</v>
      </c>
      <c r="C427" s="1">
        <v>1993.0</v>
      </c>
      <c r="D427" s="1" t="s">
        <v>1949</v>
      </c>
      <c r="F427" s="1" t="s">
        <v>1950</v>
      </c>
      <c r="G427" s="1">
        <v>7.0</v>
      </c>
      <c r="H427" s="1" t="s">
        <v>14</v>
      </c>
      <c r="I427" s="1" t="s">
        <v>15</v>
      </c>
    </row>
    <row r="428" ht="15.75" customHeight="1">
      <c r="A428" s="1" t="s">
        <v>1951</v>
      </c>
      <c r="B428" s="1" t="s">
        <v>1952</v>
      </c>
      <c r="C428" s="1">
        <v>1995.0</v>
      </c>
      <c r="D428" s="1" t="s">
        <v>1953</v>
      </c>
      <c r="E428" s="1" t="s">
        <v>1954</v>
      </c>
      <c r="F428" s="1" t="s">
        <v>1955</v>
      </c>
      <c r="G428" s="1">
        <v>0.0</v>
      </c>
      <c r="H428" s="1" t="s">
        <v>14</v>
      </c>
      <c r="I428" s="1" t="s">
        <v>15</v>
      </c>
    </row>
    <row r="429" ht="15.75" customHeight="1">
      <c r="A429" s="1" t="s">
        <v>1956</v>
      </c>
      <c r="B429" s="1" t="s">
        <v>1957</v>
      </c>
      <c r="C429" s="1">
        <v>1987.0</v>
      </c>
      <c r="D429" s="1" t="s">
        <v>1958</v>
      </c>
      <c r="F429" s="1" t="s">
        <v>1959</v>
      </c>
      <c r="G429" s="1">
        <v>2.0</v>
      </c>
      <c r="H429" s="1" t="s">
        <v>14</v>
      </c>
      <c r="I429" s="1" t="s">
        <v>15</v>
      </c>
    </row>
    <row r="430" ht="15.75" customHeight="1">
      <c r="A430" s="1" t="s">
        <v>1960</v>
      </c>
      <c r="B430" s="1" t="s">
        <v>1961</v>
      </c>
      <c r="C430" s="1">
        <v>1992.0</v>
      </c>
      <c r="D430" s="1" t="s">
        <v>1962</v>
      </c>
      <c r="E430" s="1" t="s">
        <v>1963</v>
      </c>
      <c r="F430" s="1" t="s">
        <v>1964</v>
      </c>
      <c r="G430" s="1">
        <v>1.0</v>
      </c>
      <c r="H430" s="1" t="s">
        <v>14</v>
      </c>
      <c r="I430" s="1" t="s">
        <v>15</v>
      </c>
    </row>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31.0"/>
    <col customWidth="1" min="2" max="26" width="3.0"/>
  </cols>
  <sheetData>
    <row r="1" ht="15.75" customHeight="1">
      <c r="A1" s="1" t="s">
        <v>0</v>
      </c>
      <c r="B1" s="1" t="s">
        <v>1</v>
      </c>
      <c r="C1" s="1" t="s">
        <v>1965</v>
      </c>
      <c r="D1" s="1" t="s">
        <v>1966</v>
      </c>
      <c r="E1" s="1" t="s">
        <v>4</v>
      </c>
      <c r="F1" s="1" t="s">
        <v>1967</v>
      </c>
      <c r="G1" s="1" t="s">
        <v>1968</v>
      </c>
      <c r="H1" s="1" t="s">
        <v>1969</v>
      </c>
      <c r="I1" s="1" t="s">
        <v>1970</v>
      </c>
    </row>
    <row r="2" ht="15.75" customHeight="1">
      <c r="A2" s="1" t="s">
        <v>462</v>
      </c>
      <c r="B2" s="1" t="s">
        <v>1971</v>
      </c>
      <c r="C2" s="1">
        <v>2022.0</v>
      </c>
      <c r="D2" s="1" t="s">
        <v>1972</v>
      </c>
      <c r="E2" s="1" t="s">
        <v>465</v>
      </c>
      <c r="F2" s="1" t="s">
        <v>1973</v>
      </c>
      <c r="H2" s="1" t="s">
        <v>1974</v>
      </c>
      <c r="I2" s="1" t="s">
        <v>1975</v>
      </c>
    </row>
    <row r="3" ht="15.75" customHeight="1">
      <c r="A3" s="1" t="s">
        <v>94</v>
      </c>
      <c r="B3" s="1" t="s">
        <v>1976</v>
      </c>
      <c r="C3" s="1">
        <v>2023.0</v>
      </c>
      <c r="D3" s="1" t="s">
        <v>1977</v>
      </c>
      <c r="E3" s="1" t="s">
        <v>97</v>
      </c>
      <c r="F3" s="1" t="s">
        <v>1978</v>
      </c>
      <c r="G3" s="1">
        <v>1.0</v>
      </c>
      <c r="H3" s="1" t="s">
        <v>1974</v>
      </c>
      <c r="I3" s="1" t="s">
        <v>1975</v>
      </c>
    </row>
    <row r="4" ht="15.75" customHeight="1">
      <c r="A4" s="1" t="s">
        <v>1979</v>
      </c>
      <c r="B4" s="1" t="s">
        <v>1980</v>
      </c>
      <c r="C4" s="1">
        <v>2018.0</v>
      </c>
      <c r="D4" s="1" t="s">
        <v>1981</v>
      </c>
      <c r="E4" s="1" t="s">
        <v>1982</v>
      </c>
      <c r="F4" s="1" t="s">
        <v>1983</v>
      </c>
      <c r="H4" s="1" t="s">
        <v>1974</v>
      </c>
      <c r="I4" s="1" t="s">
        <v>1975</v>
      </c>
    </row>
    <row r="5" ht="15.75" customHeight="1">
      <c r="A5" s="1" t="s">
        <v>366</v>
      </c>
      <c r="B5" s="1" t="s">
        <v>1984</v>
      </c>
      <c r="C5" s="1">
        <v>2023.0</v>
      </c>
      <c r="D5" s="1" t="s">
        <v>1985</v>
      </c>
      <c r="E5" s="1" t="s">
        <v>369</v>
      </c>
      <c r="F5" s="1" t="s">
        <v>1986</v>
      </c>
      <c r="G5" s="1">
        <v>2.0</v>
      </c>
      <c r="H5" s="1" t="s">
        <v>1974</v>
      </c>
      <c r="I5" s="1" t="s">
        <v>1975</v>
      </c>
    </row>
    <row r="6" ht="15.75" customHeight="1">
      <c r="A6" s="1" t="s">
        <v>698</v>
      </c>
      <c r="B6" s="1" t="s">
        <v>1987</v>
      </c>
      <c r="C6" s="1">
        <v>2021.0</v>
      </c>
      <c r="D6" s="1" t="s">
        <v>1988</v>
      </c>
      <c r="E6" s="1" t="s">
        <v>699</v>
      </c>
      <c r="F6" s="1" t="s">
        <v>1989</v>
      </c>
      <c r="H6" s="1" t="s">
        <v>1974</v>
      </c>
      <c r="I6" s="1" t="s">
        <v>1975</v>
      </c>
    </row>
    <row r="7" ht="15.75" customHeight="1">
      <c r="A7" s="1" t="s">
        <v>415</v>
      </c>
      <c r="B7" s="1" t="s">
        <v>1990</v>
      </c>
      <c r="C7" s="1">
        <v>2023.0</v>
      </c>
      <c r="D7" s="1" t="s">
        <v>1991</v>
      </c>
      <c r="E7" s="1" t="s">
        <v>418</v>
      </c>
      <c r="F7" s="1" t="s">
        <v>1992</v>
      </c>
      <c r="H7" s="1" t="s">
        <v>1974</v>
      </c>
      <c r="I7" s="1" t="s">
        <v>1975</v>
      </c>
    </row>
    <row r="8" ht="15.75" customHeight="1">
      <c r="A8" s="1" t="s">
        <v>76</v>
      </c>
      <c r="B8" s="1" t="s">
        <v>1993</v>
      </c>
      <c r="C8" s="1">
        <v>2023.0</v>
      </c>
      <c r="D8" s="1" t="s">
        <v>1994</v>
      </c>
      <c r="E8" s="1" t="s">
        <v>79</v>
      </c>
      <c r="F8" s="1" t="s">
        <v>1995</v>
      </c>
      <c r="H8" s="1" t="s">
        <v>1974</v>
      </c>
      <c r="I8" s="1" t="s">
        <v>1975</v>
      </c>
    </row>
    <row r="9" ht="15.75" customHeight="1">
      <c r="A9" s="1" t="s">
        <v>1996</v>
      </c>
      <c r="B9" s="1" t="s">
        <v>1987</v>
      </c>
      <c r="C9" s="1">
        <v>2021.0</v>
      </c>
      <c r="D9" s="1" t="s">
        <v>1997</v>
      </c>
      <c r="E9" s="1" t="s">
        <v>667</v>
      </c>
      <c r="F9" s="1" t="s">
        <v>1998</v>
      </c>
      <c r="G9" s="1">
        <v>18.0</v>
      </c>
      <c r="H9" s="1" t="s">
        <v>1974</v>
      </c>
      <c r="I9" s="1" t="s">
        <v>1975</v>
      </c>
    </row>
    <row r="10" ht="15.75" customHeight="1">
      <c r="A10" s="1" t="s">
        <v>1999</v>
      </c>
      <c r="B10" s="1" t="s">
        <v>2000</v>
      </c>
      <c r="C10" s="1">
        <v>2013.0</v>
      </c>
      <c r="D10" s="1" t="s">
        <v>2001</v>
      </c>
      <c r="E10" s="1" t="s">
        <v>1048</v>
      </c>
      <c r="F10" s="1" t="s">
        <v>2002</v>
      </c>
      <c r="G10" s="1">
        <v>26.0</v>
      </c>
      <c r="H10" s="1" t="s">
        <v>1974</v>
      </c>
      <c r="I10" s="1" t="s">
        <v>1975</v>
      </c>
    </row>
    <row r="11" ht="15.75" customHeight="1">
      <c r="A11" s="1" t="s">
        <v>844</v>
      </c>
      <c r="B11" s="1" t="s">
        <v>2003</v>
      </c>
      <c r="C11" s="1">
        <v>2020.0</v>
      </c>
      <c r="D11" s="1" t="s">
        <v>2004</v>
      </c>
      <c r="E11" s="1" t="s">
        <v>847</v>
      </c>
      <c r="F11" s="1" t="s">
        <v>2005</v>
      </c>
      <c r="G11" s="1">
        <v>6.0</v>
      </c>
      <c r="H11" s="1" t="s">
        <v>1974</v>
      </c>
      <c r="I11" s="1" t="s">
        <v>1975</v>
      </c>
    </row>
    <row r="12" ht="15.75" customHeight="1">
      <c r="A12" s="1" t="s">
        <v>2006</v>
      </c>
      <c r="B12" s="1" t="s">
        <v>2007</v>
      </c>
      <c r="C12" s="1">
        <v>2019.0</v>
      </c>
      <c r="D12" s="1" t="s">
        <v>2008</v>
      </c>
      <c r="E12" s="1" t="s">
        <v>777</v>
      </c>
      <c r="F12" s="1" t="s">
        <v>2009</v>
      </c>
      <c r="G12" s="1">
        <v>3.0</v>
      </c>
      <c r="H12" s="1" t="s">
        <v>1974</v>
      </c>
      <c r="I12" s="1" t="s">
        <v>1975</v>
      </c>
    </row>
    <row r="13" ht="15.75" customHeight="1">
      <c r="A13" s="1" t="s">
        <v>2010</v>
      </c>
      <c r="B13" s="1" t="s">
        <v>2011</v>
      </c>
      <c r="C13" s="1">
        <v>2022.0</v>
      </c>
      <c r="D13" s="1" t="s">
        <v>2012</v>
      </c>
      <c r="E13" s="1" t="s">
        <v>2013</v>
      </c>
      <c r="F13" s="1" t="s">
        <v>2014</v>
      </c>
      <c r="G13" s="1">
        <v>4.0</v>
      </c>
      <c r="H13" s="1" t="s">
        <v>1974</v>
      </c>
      <c r="I13" s="1" t="s">
        <v>1975</v>
      </c>
    </row>
    <row r="14" ht="15.75" customHeight="1">
      <c r="A14" s="1" t="s">
        <v>2015</v>
      </c>
      <c r="B14" s="1" t="s">
        <v>2016</v>
      </c>
      <c r="C14" s="1">
        <v>2023.0</v>
      </c>
      <c r="D14" s="1" t="s">
        <v>2017</v>
      </c>
      <c r="E14" s="1" t="s">
        <v>2018</v>
      </c>
      <c r="F14" s="1" t="s">
        <v>2019</v>
      </c>
      <c r="H14" s="1" t="s">
        <v>1974</v>
      </c>
      <c r="I14" s="1" t="s">
        <v>1975</v>
      </c>
    </row>
    <row r="15" ht="15.75" customHeight="1">
      <c r="A15" s="1" t="s">
        <v>2020</v>
      </c>
      <c r="B15" s="1" t="s">
        <v>2021</v>
      </c>
      <c r="C15" s="1">
        <v>2023.0</v>
      </c>
      <c r="D15" s="1" t="s">
        <v>2022</v>
      </c>
      <c r="E15" s="1" t="s">
        <v>2023</v>
      </c>
      <c r="F15" s="1" t="s">
        <v>2024</v>
      </c>
      <c r="G15" s="1">
        <v>6.0</v>
      </c>
      <c r="H15" s="1" t="s">
        <v>1974</v>
      </c>
      <c r="I15" s="1" t="s">
        <v>1975</v>
      </c>
    </row>
    <row r="16" ht="15.75" customHeight="1">
      <c r="A16" s="1" t="s">
        <v>305</v>
      </c>
      <c r="B16" s="1" t="s">
        <v>2025</v>
      </c>
      <c r="C16" s="1">
        <v>2023.0</v>
      </c>
      <c r="D16" s="1" t="s">
        <v>2026</v>
      </c>
      <c r="E16" s="1" t="s">
        <v>307</v>
      </c>
      <c r="F16" s="1" t="s">
        <v>2027</v>
      </c>
      <c r="H16" s="1" t="s">
        <v>1974</v>
      </c>
      <c r="I16" s="1" t="s">
        <v>1975</v>
      </c>
    </row>
    <row r="17" ht="15.75" customHeight="1">
      <c r="A17" s="1" t="s">
        <v>2028</v>
      </c>
      <c r="B17" s="1" t="s">
        <v>2029</v>
      </c>
      <c r="C17" s="1">
        <v>2023.0</v>
      </c>
      <c r="D17" s="1" t="s">
        <v>2030</v>
      </c>
      <c r="E17" s="1" t="s">
        <v>2031</v>
      </c>
      <c r="F17" s="1" t="s">
        <v>2032</v>
      </c>
      <c r="G17" s="1">
        <v>1.0</v>
      </c>
      <c r="H17" s="1" t="s">
        <v>1974</v>
      </c>
      <c r="I17" s="1" t="s">
        <v>1975</v>
      </c>
    </row>
    <row r="18" ht="15.75" customHeight="1">
      <c r="A18" s="1" t="s">
        <v>2033</v>
      </c>
      <c r="B18" s="1" t="s">
        <v>2034</v>
      </c>
      <c r="C18" s="1">
        <v>2020.0</v>
      </c>
      <c r="D18" s="1" t="s">
        <v>2035</v>
      </c>
      <c r="F18" s="1" t="s">
        <v>2036</v>
      </c>
      <c r="G18" s="1">
        <v>4.0</v>
      </c>
      <c r="H18" s="1" t="s">
        <v>1974</v>
      </c>
      <c r="I18" s="1" t="s">
        <v>1975</v>
      </c>
    </row>
    <row r="19" ht="15.75" customHeight="1">
      <c r="A19" s="1" t="s">
        <v>2037</v>
      </c>
      <c r="B19" s="1" t="s">
        <v>2038</v>
      </c>
      <c r="C19" s="1">
        <v>2021.0</v>
      </c>
      <c r="D19" s="1" t="s">
        <v>2039</v>
      </c>
      <c r="E19" s="1" t="s">
        <v>2040</v>
      </c>
      <c r="F19" s="1" t="s">
        <v>2041</v>
      </c>
      <c r="H19" s="1" t="s">
        <v>1974</v>
      </c>
      <c r="I19" s="1" t="s">
        <v>1975</v>
      </c>
    </row>
    <row r="20" ht="15.75" customHeight="1">
      <c r="A20" s="1" t="s">
        <v>2042</v>
      </c>
      <c r="B20" s="1" t="s">
        <v>2043</v>
      </c>
      <c r="C20" s="1">
        <v>2021.0</v>
      </c>
      <c r="D20" s="1" t="s">
        <v>2044</v>
      </c>
      <c r="E20" s="1" t="s">
        <v>2045</v>
      </c>
      <c r="F20" s="1" t="s">
        <v>2046</v>
      </c>
      <c r="G20" s="1">
        <v>18.0</v>
      </c>
      <c r="H20" s="1" t="s">
        <v>1974</v>
      </c>
      <c r="I20" s="1" t="s">
        <v>1975</v>
      </c>
    </row>
    <row r="21" ht="15.75" customHeight="1">
      <c r="A21" s="1" t="s">
        <v>381</v>
      </c>
      <c r="B21" s="1" t="s">
        <v>2047</v>
      </c>
      <c r="C21" s="1">
        <v>2023.0</v>
      </c>
      <c r="D21" s="1" t="s">
        <v>2048</v>
      </c>
      <c r="E21" s="1" t="s">
        <v>384</v>
      </c>
      <c r="F21" s="1" t="s">
        <v>2049</v>
      </c>
      <c r="H21" s="1" t="s">
        <v>1974</v>
      </c>
      <c r="I21" s="1" t="s">
        <v>1975</v>
      </c>
    </row>
    <row r="22" ht="15.75" customHeight="1">
      <c r="A22" s="1" t="s">
        <v>2050</v>
      </c>
      <c r="B22" s="1" t="s">
        <v>2051</v>
      </c>
      <c r="C22" s="1">
        <v>2014.0</v>
      </c>
      <c r="D22" s="1" t="s">
        <v>2052</v>
      </c>
      <c r="E22" s="1" t="s">
        <v>2053</v>
      </c>
      <c r="F22" s="1" t="s">
        <v>2054</v>
      </c>
      <c r="G22" s="1">
        <v>1.0</v>
      </c>
      <c r="H22" s="1" t="s">
        <v>1974</v>
      </c>
      <c r="I22" s="1" t="s">
        <v>1975</v>
      </c>
    </row>
    <row r="23" ht="15.75" customHeight="1">
      <c r="A23" s="1" t="s">
        <v>2055</v>
      </c>
      <c r="B23" s="1" t="s">
        <v>2056</v>
      </c>
      <c r="C23" s="1">
        <v>2012.0</v>
      </c>
      <c r="D23" s="1" t="s">
        <v>2057</v>
      </c>
      <c r="E23" s="1" t="s">
        <v>1509</v>
      </c>
      <c r="F23" s="1" t="s">
        <v>2058</v>
      </c>
      <c r="G23" s="1">
        <v>22.0</v>
      </c>
      <c r="H23" s="1" t="s">
        <v>1974</v>
      </c>
      <c r="I23" s="1" t="s">
        <v>1975</v>
      </c>
    </row>
    <row r="24" ht="15.75" customHeight="1">
      <c r="A24" s="1" t="s">
        <v>2059</v>
      </c>
      <c r="B24" s="1" t="s">
        <v>2060</v>
      </c>
      <c r="C24" s="1">
        <v>2011.0</v>
      </c>
      <c r="D24" s="1" t="s">
        <v>2061</v>
      </c>
      <c r="E24" s="1" t="s">
        <v>2062</v>
      </c>
      <c r="F24" s="1" t="s">
        <v>2063</v>
      </c>
      <c r="H24" s="1" t="s">
        <v>1974</v>
      </c>
      <c r="I24" s="1" t="s">
        <v>1975</v>
      </c>
    </row>
    <row r="25" ht="15.75" customHeight="1">
      <c r="A25" s="1" t="s">
        <v>2064</v>
      </c>
      <c r="B25" s="1" t="s">
        <v>2065</v>
      </c>
      <c r="C25" s="1">
        <v>2018.0</v>
      </c>
      <c r="D25" s="1" t="s">
        <v>2066</v>
      </c>
      <c r="E25" s="1" t="s">
        <v>2067</v>
      </c>
      <c r="F25" s="1" t="s">
        <v>2068</v>
      </c>
      <c r="G25" s="1">
        <v>3.0</v>
      </c>
      <c r="H25" s="1" t="s">
        <v>1974</v>
      </c>
      <c r="I25" s="1" t="s">
        <v>1975</v>
      </c>
    </row>
    <row r="26" ht="15.75" customHeight="1">
      <c r="A26" s="1" t="s">
        <v>2069</v>
      </c>
      <c r="B26" s="1" t="s">
        <v>2070</v>
      </c>
      <c r="C26" s="1">
        <v>2023.0</v>
      </c>
      <c r="D26" s="1" t="s">
        <v>2071</v>
      </c>
      <c r="E26" s="1" t="s">
        <v>2072</v>
      </c>
      <c r="F26" s="1" t="s">
        <v>2073</v>
      </c>
      <c r="G26" s="1">
        <v>2.0</v>
      </c>
      <c r="H26" s="1" t="s">
        <v>1974</v>
      </c>
      <c r="I26" s="1" t="s">
        <v>2074</v>
      </c>
    </row>
    <row r="27" ht="15.75" customHeight="1">
      <c r="A27" s="1" t="s">
        <v>1322</v>
      </c>
      <c r="B27" s="1" t="s">
        <v>2075</v>
      </c>
      <c r="C27" s="1">
        <v>2016.0</v>
      </c>
      <c r="D27" s="1" t="s">
        <v>2076</v>
      </c>
      <c r="E27" s="1" t="s">
        <v>1325</v>
      </c>
      <c r="F27" s="1" t="s">
        <v>2077</v>
      </c>
      <c r="G27" s="1">
        <v>2.0</v>
      </c>
      <c r="H27" s="1" t="s">
        <v>1974</v>
      </c>
      <c r="I27" s="1" t="s">
        <v>1975</v>
      </c>
    </row>
    <row r="28" ht="15.75" customHeight="1">
      <c r="A28" s="1" t="s">
        <v>1417</v>
      </c>
      <c r="B28" s="1" t="s">
        <v>2078</v>
      </c>
      <c r="C28" s="1">
        <v>2012.0</v>
      </c>
      <c r="D28" s="1" t="s">
        <v>2079</v>
      </c>
      <c r="E28" s="1" t="s">
        <v>1420</v>
      </c>
      <c r="F28" s="1" t="s">
        <v>2080</v>
      </c>
      <c r="G28" s="1">
        <v>48.0</v>
      </c>
      <c r="H28" s="1" t="s">
        <v>1974</v>
      </c>
      <c r="I28" s="1" t="s">
        <v>1975</v>
      </c>
    </row>
    <row r="29" ht="15.75" customHeight="1">
      <c r="A29" s="1" t="s">
        <v>2081</v>
      </c>
      <c r="B29" s="1" t="s">
        <v>2082</v>
      </c>
      <c r="C29" s="1">
        <v>2015.0</v>
      </c>
      <c r="D29" s="1" t="s">
        <v>2083</v>
      </c>
      <c r="E29" s="1" t="s">
        <v>2084</v>
      </c>
      <c r="F29" s="1" t="s">
        <v>2085</v>
      </c>
      <c r="G29" s="1">
        <v>1.0</v>
      </c>
      <c r="H29" s="1" t="s">
        <v>1974</v>
      </c>
      <c r="I29" s="1" t="s">
        <v>1975</v>
      </c>
    </row>
    <row r="30" ht="15.75" customHeight="1">
      <c r="A30" s="1" t="s">
        <v>66</v>
      </c>
      <c r="B30" s="1" t="s">
        <v>2086</v>
      </c>
      <c r="C30" s="1">
        <v>2023.0</v>
      </c>
      <c r="D30" s="1" t="s">
        <v>2087</v>
      </c>
      <c r="E30" s="1" t="s">
        <v>69</v>
      </c>
      <c r="F30" s="1" t="s">
        <v>2088</v>
      </c>
      <c r="H30" s="1" t="s">
        <v>1974</v>
      </c>
      <c r="I30" s="1" t="s">
        <v>1975</v>
      </c>
    </row>
    <row r="31" ht="15.75" customHeight="1">
      <c r="A31" s="1" t="s">
        <v>323</v>
      </c>
      <c r="B31" s="1" t="s">
        <v>2089</v>
      </c>
      <c r="C31" s="1">
        <v>2023.0</v>
      </c>
      <c r="D31" s="1" t="s">
        <v>2090</v>
      </c>
      <c r="E31" s="1" t="s">
        <v>325</v>
      </c>
      <c r="F31" s="1" t="s">
        <v>2091</v>
      </c>
      <c r="H31" s="1" t="s">
        <v>1974</v>
      </c>
      <c r="I31" s="1" t="s">
        <v>1975</v>
      </c>
    </row>
    <row r="32" ht="15.75" customHeight="1">
      <c r="A32" s="1" t="s">
        <v>2092</v>
      </c>
      <c r="B32" s="1" t="s">
        <v>2093</v>
      </c>
      <c r="C32" s="1">
        <v>2015.0</v>
      </c>
      <c r="D32" s="1" t="s">
        <v>2094</v>
      </c>
      <c r="E32" s="1" t="s">
        <v>2095</v>
      </c>
      <c r="F32" s="1" t="s">
        <v>2096</v>
      </c>
      <c r="G32" s="1">
        <v>3.0</v>
      </c>
      <c r="H32" s="1" t="s">
        <v>1974</v>
      </c>
      <c r="I32" s="1" t="s">
        <v>1975</v>
      </c>
    </row>
    <row r="33" ht="15.75" customHeight="1">
      <c r="A33" s="1" t="s">
        <v>2097</v>
      </c>
      <c r="B33" s="1" t="s">
        <v>2098</v>
      </c>
      <c r="C33" s="1">
        <v>2023.0</v>
      </c>
      <c r="D33" s="1" t="s">
        <v>172</v>
      </c>
      <c r="E33" s="1" t="s">
        <v>2099</v>
      </c>
      <c r="F33" s="1" t="s">
        <v>2100</v>
      </c>
      <c r="G33" s="1">
        <v>2.0</v>
      </c>
      <c r="H33" s="1" t="s">
        <v>1974</v>
      </c>
      <c r="I33" s="1" t="s">
        <v>2101</v>
      </c>
    </row>
    <row r="34" ht="15.75" customHeight="1">
      <c r="A34" s="1" t="s">
        <v>2102</v>
      </c>
      <c r="B34" s="1" t="s">
        <v>2103</v>
      </c>
      <c r="C34" s="1">
        <v>2021.0</v>
      </c>
      <c r="D34" s="1" t="s">
        <v>2104</v>
      </c>
      <c r="E34" s="1" t="s">
        <v>2105</v>
      </c>
      <c r="F34" s="1" t="s">
        <v>2106</v>
      </c>
      <c r="G34" s="1">
        <v>1.0</v>
      </c>
      <c r="H34" s="1" t="s">
        <v>1974</v>
      </c>
      <c r="I34" s="1" t="s">
        <v>1975</v>
      </c>
    </row>
    <row r="35" ht="15.75" customHeight="1">
      <c r="A35" s="1" t="s">
        <v>571</v>
      </c>
      <c r="B35" s="1" t="s">
        <v>2107</v>
      </c>
      <c r="C35" s="1">
        <v>2021.0</v>
      </c>
      <c r="D35" s="1" t="s">
        <v>2108</v>
      </c>
      <c r="E35" s="1" t="s">
        <v>574</v>
      </c>
      <c r="F35" s="1" t="s">
        <v>2109</v>
      </c>
      <c r="G35" s="1">
        <v>9.0</v>
      </c>
      <c r="H35" s="1" t="s">
        <v>1974</v>
      </c>
      <c r="I35" s="1" t="s">
        <v>1975</v>
      </c>
    </row>
    <row r="36" ht="15.75" customHeight="1">
      <c r="A36" s="1" t="s">
        <v>1151</v>
      </c>
      <c r="B36" s="1" t="s">
        <v>2110</v>
      </c>
      <c r="C36" s="1">
        <v>2016.0</v>
      </c>
      <c r="D36" s="1" t="s">
        <v>2111</v>
      </c>
      <c r="E36" s="1" t="s">
        <v>1154</v>
      </c>
      <c r="F36" s="1" t="s">
        <v>2112</v>
      </c>
      <c r="G36" s="1">
        <v>10.0</v>
      </c>
      <c r="H36" s="1" t="s">
        <v>1974</v>
      </c>
      <c r="I36" s="1" t="s">
        <v>1975</v>
      </c>
    </row>
    <row r="37" ht="15.75" customHeight="1">
      <c r="A37" s="1" t="s">
        <v>2113</v>
      </c>
      <c r="B37" s="1" t="s">
        <v>2114</v>
      </c>
      <c r="C37" s="1">
        <v>2014.0</v>
      </c>
      <c r="D37" s="1" t="s">
        <v>2115</v>
      </c>
      <c r="E37" s="1" t="s">
        <v>1209</v>
      </c>
      <c r="F37" s="1" t="s">
        <v>2116</v>
      </c>
      <c r="G37" s="1">
        <v>4.0</v>
      </c>
      <c r="H37" s="1" t="s">
        <v>1974</v>
      </c>
      <c r="I37" s="1" t="s">
        <v>1975</v>
      </c>
    </row>
    <row r="38" ht="15.75" customHeight="1">
      <c r="A38" s="1" t="s">
        <v>2117</v>
      </c>
      <c r="B38" s="1" t="s">
        <v>2118</v>
      </c>
      <c r="C38" s="1">
        <v>2014.0</v>
      </c>
      <c r="D38" s="1" t="s">
        <v>2119</v>
      </c>
      <c r="E38" s="1" t="s">
        <v>1220</v>
      </c>
      <c r="F38" s="1" t="s">
        <v>2120</v>
      </c>
      <c r="H38" s="1" t="s">
        <v>1974</v>
      </c>
      <c r="I38" s="1" t="s">
        <v>1975</v>
      </c>
    </row>
    <row r="39" ht="15.75" customHeight="1">
      <c r="A39" s="1" t="s">
        <v>1645</v>
      </c>
      <c r="B39" s="1" t="s">
        <v>2121</v>
      </c>
      <c r="C39" s="1">
        <v>2010.0</v>
      </c>
      <c r="D39" s="1" t="s">
        <v>2122</v>
      </c>
      <c r="E39" s="1" t="s">
        <v>1648</v>
      </c>
      <c r="F39" s="1" t="s">
        <v>2123</v>
      </c>
      <c r="G39" s="1">
        <v>2.0</v>
      </c>
      <c r="H39" s="1" t="s">
        <v>1974</v>
      </c>
      <c r="I39" s="1" t="s">
        <v>1975</v>
      </c>
    </row>
    <row r="40" ht="15.75" customHeight="1">
      <c r="A40" s="1" t="s">
        <v>2124</v>
      </c>
      <c r="B40" s="1" t="s">
        <v>2125</v>
      </c>
      <c r="C40" s="1">
        <v>2023.0</v>
      </c>
      <c r="D40" s="1" t="s">
        <v>2126</v>
      </c>
      <c r="E40" s="1" t="s">
        <v>2127</v>
      </c>
      <c r="F40" s="1" t="s">
        <v>2128</v>
      </c>
      <c r="H40" s="1" t="s">
        <v>1974</v>
      </c>
      <c r="I40" s="1" t="s">
        <v>1975</v>
      </c>
    </row>
    <row r="41" ht="15.75" customHeight="1">
      <c r="A41" s="1" t="s">
        <v>1331</v>
      </c>
      <c r="B41" s="1" t="s">
        <v>2129</v>
      </c>
      <c r="C41" s="1">
        <v>2014.0</v>
      </c>
      <c r="D41" s="1" t="s">
        <v>2130</v>
      </c>
      <c r="E41" s="1" t="s">
        <v>1333</v>
      </c>
      <c r="F41" s="1" t="s">
        <v>2131</v>
      </c>
      <c r="G41" s="1">
        <v>1.0</v>
      </c>
      <c r="H41" s="1" t="s">
        <v>1974</v>
      </c>
      <c r="I41" s="1" t="s">
        <v>1975</v>
      </c>
    </row>
    <row r="42" ht="15.75" customHeight="1">
      <c r="A42" s="1" t="s">
        <v>114</v>
      </c>
      <c r="B42" s="1" t="s">
        <v>2132</v>
      </c>
      <c r="C42" s="1">
        <v>2022.0</v>
      </c>
      <c r="D42" s="1" t="s">
        <v>2133</v>
      </c>
      <c r="E42" s="1" t="s">
        <v>116</v>
      </c>
      <c r="F42" s="1" t="s">
        <v>2134</v>
      </c>
      <c r="H42" s="1" t="s">
        <v>1974</v>
      </c>
      <c r="I42" s="1" t="s">
        <v>1975</v>
      </c>
    </row>
    <row r="43" ht="15.75" customHeight="1">
      <c r="A43" s="1" t="s">
        <v>2135</v>
      </c>
      <c r="B43" s="1" t="s">
        <v>2136</v>
      </c>
      <c r="C43" s="1">
        <v>2011.0</v>
      </c>
      <c r="D43" s="1" t="s">
        <v>2137</v>
      </c>
      <c r="E43" s="1" t="s">
        <v>1728</v>
      </c>
      <c r="F43" s="1" t="s">
        <v>2138</v>
      </c>
      <c r="G43" s="1">
        <v>2.0</v>
      </c>
      <c r="H43" s="1" t="s">
        <v>1974</v>
      </c>
      <c r="I43" s="1" t="s">
        <v>1975</v>
      </c>
    </row>
    <row r="44" ht="15.75" customHeight="1">
      <c r="A44" s="1" t="s">
        <v>576</v>
      </c>
      <c r="B44" s="1" t="s">
        <v>2139</v>
      </c>
      <c r="C44" s="1">
        <v>2021.0</v>
      </c>
      <c r="D44" s="1" t="s">
        <v>2140</v>
      </c>
      <c r="E44" s="1" t="s">
        <v>579</v>
      </c>
      <c r="F44" s="1" t="s">
        <v>2141</v>
      </c>
      <c r="H44" s="1" t="s">
        <v>1974</v>
      </c>
      <c r="I44" s="1" t="s">
        <v>1975</v>
      </c>
    </row>
    <row r="45" ht="15.75" customHeight="1">
      <c r="A45" s="1" t="s">
        <v>1027</v>
      </c>
      <c r="B45" s="1" t="s">
        <v>2142</v>
      </c>
      <c r="C45" s="1">
        <v>2017.0</v>
      </c>
      <c r="D45" s="1" t="s">
        <v>2143</v>
      </c>
      <c r="E45" s="1" t="s">
        <v>1030</v>
      </c>
      <c r="F45" s="1" t="s">
        <v>2144</v>
      </c>
      <c r="G45" s="1">
        <v>4.0</v>
      </c>
      <c r="H45" s="1" t="s">
        <v>1974</v>
      </c>
      <c r="I45" s="1" t="s">
        <v>1975</v>
      </c>
    </row>
    <row r="46" ht="15.75" customHeight="1">
      <c r="A46" s="1" t="s">
        <v>2145</v>
      </c>
      <c r="B46" s="1" t="s">
        <v>2146</v>
      </c>
      <c r="C46" s="1">
        <v>2018.0</v>
      </c>
      <c r="D46" s="1" t="s">
        <v>2147</v>
      </c>
      <c r="E46" s="1" t="s">
        <v>2148</v>
      </c>
      <c r="F46" s="1" t="s">
        <v>2149</v>
      </c>
      <c r="G46" s="1">
        <v>2.0</v>
      </c>
      <c r="H46" s="1" t="s">
        <v>1974</v>
      </c>
      <c r="I46" s="1" t="s">
        <v>1975</v>
      </c>
    </row>
    <row r="47" ht="15.75" customHeight="1">
      <c r="A47" s="1" t="s">
        <v>2150</v>
      </c>
      <c r="B47" s="1" t="s">
        <v>2151</v>
      </c>
      <c r="C47" s="1">
        <v>2024.0</v>
      </c>
      <c r="D47" s="1" t="s">
        <v>2152</v>
      </c>
      <c r="E47" s="1" t="s">
        <v>2153</v>
      </c>
      <c r="F47" s="1" t="s">
        <v>2154</v>
      </c>
      <c r="H47" s="1" t="s">
        <v>1974</v>
      </c>
      <c r="I47" s="1" t="s">
        <v>2101</v>
      </c>
    </row>
    <row r="48" ht="15.75" customHeight="1">
      <c r="A48" s="1" t="s">
        <v>2155</v>
      </c>
      <c r="B48" s="1" t="s">
        <v>2156</v>
      </c>
      <c r="C48" s="1">
        <v>2022.0</v>
      </c>
      <c r="D48" s="1" t="s">
        <v>2157</v>
      </c>
      <c r="E48" s="1" t="s">
        <v>2158</v>
      </c>
      <c r="F48" s="1" t="s">
        <v>2159</v>
      </c>
      <c r="G48" s="1">
        <v>1.0</v>
      </c>
      <c r="H48" s="1" t="s">
        <v>1974</v>
      </c>
      <c r="I48" s="1" t="s">
        <v>1975</v>
      </c>
    </row>
    <row r="49" ht="15.75" customHeight="1">
      <c r="A49" s="1" t="s">
        <v>2160</v>
      </c>
      <c r="B49" s="1" t="s">
        <v>2161</v>
      </c>
      <c r="C49" s="1">
        <v>2012.0</v>
      </c>
      <c r="D49" s="1" t="s">
        <v>2162</v>
      </c>
      <c r="E49" s="1" t="s">
        <v>2163</v>
      </c>
      <c r="F49" s="1" t="s">
        <v>2164</v>
      </c>
      <c r="G49" s="1">
        <v>2.0</v>
      </c>
      <c r="H49" s="1" t="s">
        <v>1974</v>
      </c>
      <c r="I49" s="1" t="s">
        <v>1975</v>
      </c>
    </row>
    <row r="50" ht="15.75" customHeight="1">
      <c r="A50" s="1" t="s">
        <v>1062</v>
      </c>
      <c r="B50" s="1" t="s">
        <v>2165</v>
      </c>
      <c r="C50" s="1">
        <v>2013.0</v>
      </c>
      <c r="D50" s="1" t="s">
        <v>2166</v>
      </c>
      <c r="E50" s="1" t="s">
        <v>1065</v>
      </c>
      <c r="F50" s="1" t="s">
        <v>2167</v>
      </c>
      <c r="G50" s="1">
        <v>3.0</v>
      </c>
      <c r="H50" s="1" t="s">
        <v>1974</v>
      </c>
      <c r="I50" s="1" t="s">
        <v>1975</v>
      </c>
    </row>
    <row r="51" ht="15.75" customHeight="1">
      <c r="A51" s="1" t="s">
        <v>2168</v>
      </c>
      <c r="B51" s="1" t="s">
        <v>2169</v>
      </c>
      <c r="C51" s="1">
        <v>2022.0</v>
      </c>
      <c r="D51" s="1" t="s">
        <v>2012</v>
      </c>
      <c r="E51" s="1" t="s">
        <v>2170</v>
      </c>
      <c r="F51" s="1" t="s">
        <v>2171</v>
      </c>
      <c r="G51" s="1">
        <v>9.0</v>
      </c>
      <c r="H51" s="1" t="s">
        <v>1974</v>
      </c>
      <c r="I51" s="1" t="s">
        <v>1975</v>
      </c>
    </row>
    <row r="52" ht="15.75" customHeight="1">
      <c r="A52" s="1" t="s">
        <v>2172</v>
      </c>
      <c r="B52" s="1" t="s">
        <v>2173</v>
      </c>
      <c r="C52" s="1">
        <v>2018.0</v>
      </c>
      <c r="D52" s="1" t="s">
        <v>2174</v>
      </c>
      <c r="E52" s="1" t="s">
        <v>2175</v>
      </c>
      <c r="F52" s="1" t="s">
        <v>2176</v>
      </c>
      <c r="G52" s="1">
        <v>3.0</v>
      </c>
      <c r="H52" s="1" t="s">
        <v>1974</v>
      </c>
      <c r="I52" s="1" t="s">
        <v>1975</v>
      </c>
    </row>
    <row r="53" ht="15.75" customHeight="1">
      <c r="A53" s="1" t="s">
        <v>789</v>
      </c>
      <c r="B53" s="1" t="s">
        <v>2177</v>
      </c>
      <c r="C53" s="1">
        <v>2021.0</v>
      </c>
      <c r="D53" s="1" t="s">
        <v>2178</v>
      </c>
      <c r="E53" s="1" t="s">
        <v>792</v>
      </c>
      <c r="F53" s="1" t="s">
        <v>2179</v>
      </c>
      <c r="G53" s="1">
        <v>1.0</v>
      </c>
      <c r="H53" s="1" t="s">
        <v>1974</v>
      </c>
      <c r="I53" s="1" t="s">
        <v>1975</v>
      </c>
    </row>
    <row r="54" ht="15.75" customHeight="1">
      <c r="A54" s="1" t="s">
        <v>1900</v>
      </c>
      <c r="B54" s="1" t="s">
        <v>2180</v>
      </c>
      <c r="C54" s="1">
        <v>1994.0</v>
      </c>
      <c r="D54" s="1" t="s">
        <v>2181</v>
      </c>
      <c r="E54" s="1" t="s">
        <v>2182</v>
      </c>
      <c r="F54" s="1" t="s">
        <v>2183</v>
      </c>
      <c r="G54" s="1">
        <v>2.0</v>
      </c>
      <c r="H54" s="1" t="s">
        <v>1974</v>
      </c>
      <c r="I54" s="1" t="s">
        <v>1975</v>
      </c>
    </row>
    <row r="55" ht="15.75" customHeight="1">
      <c r="A55" s="1" t="s">
        <v>1036</v>
      </c>
      <c r="B55" s="1" t="s">
        <v>2184</v>
      </c>
      <c r="C55" s="1">
        <v>2013.0</v>
      </c>
      <c r="D55" s="1" t="s">
        <v>2185</v>
      </c>
      <c r="E55" s="1" t="s">
        <v>1038</v>
      </c>
      <c r="F55" s="1" t="s">
        <v>2186</v>
      </c>
      <c r="G55" s="1">
        <v>16.0</v>
      </c>
      <c r="H55" s="1" t="s">
        <v>1974</v>
      </c>
      <c r="I55" s="1" t="s">
        <v>1975</v>
      </c>
    </row>
    <row r="56" ht="15.75" customHeight="1">
      <c r="A56" s="1" t="s">
        <v>2187</v>
      </c>
      <c r="B56" s="1" t="s">
        <v>2188</v>
      </c>
      <c r="C56" s="1">
        <v>2023.0</v>
      </c>
      <c r="D56" s="1" t="s">
        <v>73</v>
      </c>
      <c r="E56" s="1" t="s">
        <v>2189</v>
      </c>
      <c r="F56" s="1" t="s">
        <v>2190</v>
      </c>
      <c r="H56" s="1" t="s">
        <v>1974</v>
      </c>
      <c r="I56" s="1" t="s">
        <v>2101</v>
      </c>
    </row>
    <row r="57" ht="15.75" customHeight="1">
      <c r="A57" s="1" t="s">
        <v>2191</v>
      </c>
      <c r="B57" s="1" t="s">
        <v>2192</v>
      </c>
      <c r="C57" s="1">
        <v>2013.0</v>
      </c>
      <c r="D57" s="1" t="s">
        <v>73</v>
      </c>
      <c r="E57" s="1" t="s">
        <v>2193</v>
      </c>
      <c r="F57" s="1" t="s">
        <v>2194</v>
      </c>
      <c r="G57" s="1">
        <v>88.0</v>
      </c>
      <c r="H57" s="1" t="s">
        <v>1974</v>
      </c>
      <c r="I57" s="1" t="s">
        <v>2101</v>
      </c>
    </row>
    <row r="58" ht="15.75" customHeight="1">
      <c r="A58" s="1" t="s">
        <v>539</v>
      </c>
      <c r="B58" s="1" t="s">
        <v>2195</v>
      </c>
      <c r="C58" s="1">
        <v>2021.0</v>
      </c>
      <c r="D58" s="1" t="s">
        <v>2196</v>
      </c>
      <c r="E58" s="1" t="s">
        <v>542</v>
      </c>
      <c r="F58" s="1" t="s">
        <v>2197</v>
      </c>
      <c r="G58" s="1">
        <v>3.0</v>
      </c>
      <c r="H58" s="1" t="s">
        <v>1974</v>
      </c>
      <c r="I58" s="1" t="s">
        <v>1975</v>
      </c>
    </row>
    <row r="59" ht="15.75" customHeight="1">
      <c r="A59" s="1" t="s">
        <v>2198</v>
      </c>
      <c r="B59" s="1" t="s">
        <v>2199</v>
      </c>
      <c r="C59" s="1">
        <v>2015.0</v>
      </c>
      <c r="D59" s="1" t="s">
        <v>2200</v>
      </c>
      <c r="E59" s="1" t="s">
        <v>1303</v>
      </c>
      <c r="F59" s="1" t="s">
        <v>2201</v>
      </c>
      <c r="G59" s="1">
        <v>11.0</v>
      </c>
      <c r="H59" s="1" t="s">
        <v>1974</v>
      </c>
      <c r="I59" s="1" t="s">
        <v>1975</v>
      </c>
    </row>
    <row r="60" ht="15.75" customHeight="1">
      <c r="A60" s="1" t="s">
        <v>2202</v>
      </c>
      <c r="B60" s="1" t="s">
        <v>2203</v>
      </c>
      <c r="C60" s="1">
        <v>2019.0</v>
      </c>
      <c r="D60" s="1" t="s">
        <v>2204</v>
      </c>
      <c r="E60" s="1" t="s">
        <v>2205</v>
      </c>
      <c r="F60" s="1" t="s">
        <v>2206</v>
      </c>
      <c r="H60" s="1" t="s">
        <v>1974</v>
      </c>
      <c r="I60" s="1" t="s">
        <v>1975</v>
      </c>
    </row>
    <row r="61" ht="15.75" customHeight="1">
      <c r="A61" s="1" t="s">
        <v>2207</v>
      </c>
      <c r="B61" s="1" t="s">
        <v>2208</v>
      </c>
      <c r="C61" s="1">
        <v>2008.0</v>
      </c>
      <c r="D61" s="1" t="s">
        <v>2209</v>
      </c>
      <c r="E61" s="1" t="s">
        <v>1402</v>
      </c>
      <c r="F61" s="1" t="s">
        <v>2210</v>
      </c>
      <c r="G61" s="1">
        <v>1.0</v>
      </c>
      <c r="H61" s="1" t="s">
        <v>1974</v>
      </c>
      <c r="I61" s="1" t="s">
        <v>1975</v>
      </c>
    </row>
    <row r="62" ht="15.75" customHeight="1">
      <c r="A62" s="1" t="s">
        <v>2211</v>
      </c>
      <c r="B62" s="1" t="s">
        <v>2212</v>
      </c>
      <c r="C62" s="1">
        <v>2020.0</v>
      </c>
      <c r="D62" s="1" t="s">
        <v>2213</v>
      </c>
      <c r="F62" s="1" t="s">
        <v>2214</v>
      </c>
      <c r="H62" s="1" t="s">
        <v>1974</v>
      </c>
      <c r="I62" s="1" t="s">
        <v>1975</v>
      </c>
    </row>
    <row r="63" ht="15.75" customHeight="1">
      <c r="A63" s="1" t="s">
        <v>2215</v>
      </c>
      <c r="B63" s="1" t="s">
        <v>2216</v>
      </c>
      <c r="C63" s="1">
        <v>2024.0</v>
      </c>
      <c r="D63" s="1" t="s">
        <v>1382</v>
      </c>
      <c r="E63" s="1" t="s">
        <v>2217</v>
      </c>
      <c r="F63" s="1" t="s">
        <v>2218</v>
      </c>
      <c r="H63" s="1" t="s">
        <v>1974</v>
      </c>
      <c r="I63" s="1" t="s">
        <v>2101</v>
      </c>
    </row>
    <row r="64" ht="15.75" customHeight="1">
      <c r="A64" s="1" t="s">
        <v>2219</v>
      </c>
      <c r="B64" s="1" t="s">
        <v>2220</v>
      </c>
      <c r="C64" s="1">
        <v>2012.0</v>
      </c>
      <c r="D64" s="1" t="s">
        <v>2221</v>
      </c>
      <c r="E64" s="1" t="s">
        <v>1575</v>
      </c>
      <c r="F64" s="1" t="s">
        <v>2222</v>
      </c>
      <c r="G64" s="1">
        <v>12.0</v>
      </c>
      <c r="H64" s="1" t="s">
        <v>1974</v>
      </c>
      <c r="I64" s="1" t="s">
        <v>1975</v>
      </c>
    </row>
    <row r="65" ht="15.75" customHeight="1">
      <c r="A65" s="1" t="s">
        <v>246</v>
      </c>
      <c r="B65" s="1" t="s">
        <v>2223</v>
      </c>
      <c r="C65" s="1">
        <v>2024.0</v>
      </c>
      <c r="D65" s="1" t="s">
        <v>2224</v>
      </c>
      <c r="E65" s="1" t="s">
        <v>249</v>
      </c>
      <c r="F65" s="1" t="s">
        <v>2225</v>
      </c>
      <c r="H65" s="1" t="s">
        <v>1974</v>
      </c>
      <c r="I65" s="1" t="s">
        <v>1975</v>
      </c>
    </row>
    <row r="66" ht="15.75" customHeight="1">
      <c r="A66" s="1" t="s">
        <v>2226</v>
      </c>
      <c r="B66" s="1" t="s">
        <v>2227</v>
      </c>
      <c r="C66" s="1">
        <v>2023.0</v>
      </c>
      <c r="D66" s="1" t="s">
        <v>2228</v>
      </c>
      <c r="E66" s="1" t="s">
        <v>2229</v>
      </c>
      <c r="F66" s="1" t="s">
        <v>2230</v>
      </c>
      <c r="H66" s="1" t="s">
        <v>1974</v>
      </c>
      <c r="I66" s="1" t="s">
        <v>1975</v>
      </c>
    </row>
    <row r="67" ht="15.75" customHeight="1">
      <c r="A67" s="1" t="s">
        <v>2231</v>
      </c>
      <c r="B67" s="1" t="s">
        <v>2232</v>
      </c>
      <c r="C67" s="1">
        <v>2021.0</v>
      </c>
      <c r="D67" s="1" t="s">
        <v>2233</v>
      </c>
      <c r="E67" s="1" t="s">
        <v>2234</v>
      </c>
      <c r="F67" s="1" t="s">
        <v>2235</v>
      </c>
      <c r="H67" s="1" t="s">
        <v>1974</v>
      </c>
      <c r="I67" s="1" t="s">
        <v>1975</v>
      </c>
    </row>
    <row r="68" ht="15.75" customHeight="1">
      <c r="A68" s="1" t="s">
        <v>2236</v>
      </c>
      <c r="B68" s="1" t="s">
        <v>2237</v>
      </c>
      <c r="C68" s="1">
        <v>2023.0</v>
      </c>
      <c r="D68" s="1" t="s">
        <v>1382</v>
      </c>
      <c r="E68" s="1" t="s">
        <v>2238</v>
      </c>
      <c r="F68" s="1" t="s">
        <v>2239</v>
      </c>
      <c r="G68" s="1">
        <v>1.0</v>
      </c>
      <c r="H68" s="1" t="s">
        <v>1974</v>
      </c>
      <c r="I68" s="1" t="s">
        <v>2101</v>
      </c>
    </row>
    <row r="69" ht="15.75" customHeight="1">
      <c r="A69" s="1" t="s">
        <v>1600</v>
      </c>
      <c r="B69" s="1" t="s">
        <v>2240</v>
      </c>
      <c r="C69" s="1">
        <v>2006.0</v>
      </c>
      <c r="D69" s="1" t="s">
        <v>2241</v>
      </c>
      <c r="E69" s="1" t="s">
        <v>1603</v>
      </c>
      <c r="F69" s="1" t="s">
        <v>2242</v>
      </c>
      <c r="G69" s="1">
        <v>1.0</v>
      </c>
      <c r="H69" s="1" t="s">
        <v>1974</v>
      </c>
      <c r="I69" s="1" t="s">
        <v>1975</v>
      </c>
    </row>
    <row r="70" ht="15.75" customHeight="1">
      <c r="A70" s="1" t="s">
        <v>2243</v>
      </c>
      <c r="B70" s="1" t="s">
        <v>2244</v>
      </c>
      <c r="C70" s="1">
        <v>2017.0</v>
      </c>
      <c r="D70" s="1" t="s">
        <v>2245</v>
      </c>
      <c r="E70" s="1" t="s">
        <v>2246</v>
      </c>
      <c r="F70" s="1" t="s">
        <v>2247</v>
      </c>
      <c r="G70" s="1">
        <v>6.0</v>
      </c>
      <c r="H70" s="1" t="s">
        <v>1974</v>
      </c>
      <c r="I70" s="1" t="s">
        <v>1975</v>
      </c>
    </row>
    <row r="71" ht="15.75" customHeight="1">
      <c r="A71" s="1" t="s">
        <v>2248</v>
      </c>
      <c r="B71" s="1" t="s">
        <v>2249</v>
      </c>
      <c r="C71" s="1">
        <v>2006.0</v>
      </c>
      <c r="D71" s="1" t="s">
        <v>2250</v>
      </c>
      <c r="E71" s="1" t="s">
        <v>2251</v>
      </c>
      <c r="F71" s="1" t="s">
        <v>2252</v>
      </c>
      <c r="G71" s="1">
        <v>7.0</v>
      </c>
      <c r="H71" s="1" t="s">
        <v>1974</v>
      </c>
      <c r="I71" s="1" t="s">
        <v>1975</v>
      </c>
    </row>
    <row r="72" ht="15.75" customHeight="1">
      <c r="A72" s="1" t="s">
        <v>651</v>
      </c>
      <c r="B72" s="1" t="s">
        <v>2253</v>
      </c>
      <c r="C72" s="1">
        <v>2021.0</v>
      </c>
      <c r="D72" s="1" t="s">
        <v>2254</v>
      </c>
      <c r="E72" s="1" t="s">
        <v>654</v>
      </c>
      <c r="F72" s="1" t="s">
        <v>2255</v>
      </c>
      <c r="G72" s="1">
        <v>1.0</v>
      </c>
      <c r="H72" s="1" t="s">
        <v>1974</v>
      </c>
      <c r="I72" s="1" t="s">
        <v>1975</v>
      </c>
    </row>
    <row r="73" ht="15.75" customHeight="1">
      <c r="A73" s="1" t="s">
        <v>2256</v>
      </c>
      <c r="B73" s="1" t="s">
        <v>2257</v>
      </c>
      <c r="C73" s="1">
        <v>2021.0</v>
      </c>
      <c r="D73" s="1" t="s">
        <v>2258</v>
      </c>
      <c r="E73" s="1" t="s">
        <v>2259</v>
      </c>
      <c r="F73" s="1" t="s">
        <v>2260</v>
      </c>
      <c r="G73" s="1">
        <v>2.0</v>
      </c>
      <c r="H73" s="1" t="s">
        <v>1974</v>
      </c>
      <c r="I73" s="1" t="s">
        <v>1975</v>
      </c>
    </row>
    <row r="74" ht="15.75" customHeight="1">
      <c r="A74" s="1" t="s">
        <v>1877</v>
      </c>
      <c r="B74" s="1" t="s">
        <v>2261</v>
      </c>
      <c r="C74" s="1">
        <v>1990.0</v>
      </c>
      <c r="D74" s="1" t="s">
        <v>2262</v>
      </c>
      <c r="E74" s="1" t="s">
        <v>2263</v>
      </c>
      <c r="F74" s="1" t="s">
        <v>2264</v>
      </c>
      <c r="G74" s="1">
        <v>10.0</v>
      </c>
      <c r="H74" s="1" t="s">
        <v>1974</v>
      </c>
      <c r="I74" s="1" t="s">
        <v>1975</v>
      </c>
    </row>
    <row r="75" ht="15.75" customHeight="1">
      <c r="A75" s="1" t="s">
        <v>2265</v>
      </c>
      <c r="B75" s="1" t="s">
        <v>2266</v>
      </c>
      <c r="C75" s="1">
        <v>2020.0</v>
      </c>
      <c r="D75" s="1" t="s">
        <v>2267</v>
      </c>
      <c r="F75" s="1" t="s">
        <v>2268</v>
      </c>
      <c r="H75" s="1" t="s">
        <v>1974</v>
      </c>
      <c r="I75" s="1" t="s">
        <v>1975</v>
      </c>
    </row>
    <row r="76" ht="15.75" customHeight="1">
      <c r="A76" s="1" t="s">
        <v>2269</v>
      </c>
      <c r="B76" s="1" t="s">
        <v>2270</v>
      </c>
      <c r="C76" s="1">
        <v>2004.0</v>
      </c>
      <c r="D76" s="1" t="s">
        <v>2271</v>
      </c>
      <c r="E76" s="1" t="s">
        <v>2272</v>
      </c>
      <c r="F76" s="1" t="s">
        <v>2273</v>
      </c>
      <c r="H76" s="1" t="s">
        <v>1974</v>
      </c>
      <c r="I76" s="1" t="s">
        <v>1975</v>
      </c>
    </row>
    <row r="77" ht="15.75" customHeight="1">
      <c r="A77" s="1" t="s">
        <v>867</v>
      </c>
      <c r="B77" s="1" t="s">
        <v>2274</v>
      </c>
      <c r="C77" s="1">
        <v>2019.0</v>
      </c>
      <c r="D77" s="1" t="s">
        <v>2275</v>
      </c>
      <c r="E77" s="1" t="s">
        <v>870</v>
      </c>
      <c r="F77" s="1" t="s">
        <v>2276</v>
      </c>
      <c r="G77" s="1">
        <v>2.0</v>
      </c>
      <c r="H77" s="1" t="s">
        <v>1974</v>
      </c>
      <c r="I77" s="1" t="s">
        <v>1975</v>
      </c>
    </row>
    <row r="78" ht="15.75" customHeight="1">
      <c r="A78" s="1" t="s">
        <v>170</v>
      </c>
      <c r="B78" s="1" t="s">
        <v>2277</v>
      </c>
      <c r="C78" s="1">
        <v>2023.0</v>
      </c>
      <c r="D78" s="1" t="s">
        <v>172</v>
      </c>
      <c r="E78" s="1" t="s">
        <v>173</v>
      </c>
      <c r="F78" s="1" t="s">
        <v>2278</v>
      </c>
      <c r="G78" s="1">
        <v>1.0</v>
      </c>
      <c r="H78" s="1" t="s">
        <v>1974</v>
      </c>
      <c r="I78" s="1" t="s">
        <v>2101</v>
      </c>
    </row>
    <row r="79" ht="15.75" customHeight="1">
      <c r="A79" s="1" t="s">
        <v>784</v>
      </c>
      <c r="B79" s="1" t="s">
        <v>2279</v>
      </c>
      <c r="C79" s="1">
        <v>2018.0</v>
      </c>
      <c r="D79" s="1" t="s">
        <v>2280</v>
      </c>
      <c r="E79" s="1" t="s">
        <v>787</v>
      </c>
      <c r="F79" s="1" t="s">
        <v>2281</v>
      </c>
      <c r="G79" s="1">
        <v>3.0</v>
      </c>
      <c r="H79" s="1" t="s">
        <v>1974</v>
      </c>
      <c r="I79" s="1" t="s">
        <v>1975</v>
      </c>
    </row>
    <row r="80" ht="15.75" customHeight="1">
      <c r="A80" s="1" t="s">
        <v>81</v>
      </c>
      <c r="B80" s="1" t="s">
        <v>2282</v>
      </c>
      <c r="C80" s="1">
        <v>2023.0</v>
      </c>
      <c r="D80" s="1" t="s">
        <v>2022</v>
      </c>
      <c r="E80" s="1" t="s">
        <v>83</v>
      </c>
      <c r="F80" s="1" t="s">
        <v>2283</v>
      </c>
      <c r="G80" s="1">
        <v>2.0</v>
      </c>
      <c r="H80" s="1" t="s">
        <v>1974</v>
      </c>
      <c r="I80" s="1" t="s">
        <v>1975</v>
      </c>
    </row>
    <row r="81" ht="15.75" customHeight="1">
      <c r="A81" s="1" t="s">
        <v>2284</v>
      </c>
      <c r="B81" s="1" t="s">
        <v>2285</v>
      </c>
      <c r="C81" s="1">
        <v>2001.0</v>
      </c>
      <c r="D81" s="1" t="s">
        <v>1564</v>
      </c>
      <c r="E81" s="1" t="s">
        <v>1565</v>
      </c>
      <c r="F81" s="1" t="s">
        <v>2286</v>
      </c>
      <c r="G81" s="1">
        <v>31.0</v>
      </c>
      <c r="H81" s="1" t="s">
        <v>1974</v>
      </c>
      <c r="I81" s="1" t="s">
        <v>2287</v>
      </c>
    </row>
    <row r="82" ht="15.75" customHeight="1">
      <c r="A82" s="1" t="s">
        <v>2288</v>
      </c>
      <c r="B82" s="1" t="s">
        <v>2289</v>
      </c>
      <c r="C82" s="1">
        <v>1992.0</v>
      </c>
      <c r="D82" s="1" t="s">
        <v>2290</v>
      </c>
      <c r="E82" s="1" t="s">
        <v>2291</v>
      </c>
      <c r="F82" s="1" t="s">
        <v>2292</v>
      </c>
      <c r="G82" s="1">
        <v>30.0</v>
      </c>
      <c r="H82" s="1" t="s">
        <v>1974</v>
      </c>
      <c r="I82" s="1" t="s">
        <v>1975</v>
      </c>
    </row>
    <row r="83" ht="15.75" customHeight="1">
      <c r="A83" s="1" t="s">
        <v>2293</v>
      </c>
      <c r="B83" s="1" t="s">
        <v>2294</v>
      </c>
      <c r="C83" s="1">
        <v>2013.0</v>
      </c>
      <c r="D83" s="1" t="s">
        <v>2295</v>
      </c>
      <c r="E83" s="1" t="s">
        <v>1374</v>
      </c>
      <c r="F83" s="1" t="s">
        <v>2296</v>
      </c>
      <c r="G83" s="1">
        <v>3.0</v>
      </c>
      <c r="H83" s="1" t="s">
        <v>1974</v>
      </c>
      <c r="I83" s="1" t="s">
        <v>1975</v>
      </c>
    </row>
    <row r="84" ht="15.75" customHeight="1">
      <c r="A84" s="1" t="s">
        <v>2297</v>
      </c>
      <c r="B84" s="1" t="s">
        <v>2298</v>
      </c>
      <c r="C84" s="1">
        <v>2017.0</v>
      </c>
      <c r="D84" s="1" t="s">
        <v>2299</v>
      </c>
      <c r="E84" s="1" t="s">
        <v>2300</v>
      </c>
      <c r="F84" s="1" t="s">
        <v>2301</v>
      </c>
      <c r="H84" s="1" t="s">
        <v>1974</v>
      </c>
      <c r="I84" s="1" t="s">
        <v>1975</v>
      </c>
    </row>
    <row r="85" ht="15.75" customHeight="1">
      <c r="A85" s="1" t="s">
        <v>2302</v>
      </c>
      <c r="B85" s="1" t="s">
        <v>2303</v>
      </c>
      <c r="C85" s="1">
        <v>2023.0</v>
      </c>
      <c r="D85" s="1" t="s">
        <v>1985</v>
      </c>
      <c r="E85" s="1" t="s">
        <v>2304</v>
      </c>
      <c r="F85" s="1" t="s">
        <v>2305</v>
      </c>
      <c r="G85" s="1">
        <v>1.0</v>
      </c>
      <c r="H85" s="1" t="s">
        <v>1974</v>
      </c>
      <c r="I85" s="1" t="s">
        <v>1975</v>
      </c>
    </row>
    <row r="86" ht="15.75" customHeight="1">
      <c r="A86" s="1" t="s">
        <v>2306</v>
      </c>
      <c r="B86" s="1" t="s">
        <v>2307</v>
      </c>
      <c r="C86" s="1">
        <v>2019.0</v>
      </c>
      <c r="D86" s="1" t="s">
        <v>2308</v>
      </c>
      <c r="E86" s="1" t="s">
        <v>922</v>
      </c>
      <c r="F86" s="1" t="s">
        <v>2309</v>
      </c>
      <c r="G86" s="1">
        <v>6.0</v>
      </c>
      <c r="H86" s="1" t="s">
        <v>1974</v>
      </c>
      <c r="I86" s="1" t="s">
        <v>1975</v>
      </c>
    </row>
    <row r="87" ht="15.75" customHeight="1">
      <c r="A87" s="1" t="s">
        <v>2310</v>
      </c>
      <c r="B87" s="1" t="s">
        <v>2311</v>
      </c>
      <c r="C87" s="1">
        <v>2014.0</v>
      </c>
      <c r="D87" s="1" t="s">
        <v>2312</v>
      </c>
      <c r="E87" s="1" t="s">
        <v>1388</v>
      </c>
      <c r="F87" s="1" t="s">
        <v>2313</v>
      </c>
      <c r="G87" s="1">
        <v>2.0</v>
      </c>
      <c r="H87" s="1" t="s">
        <v>1974</v>
      </c>
      <c r="I87" s="1" t="s">
        <v>1975</v>
      </c>
    </row>
    <row r="88" ht="15.75" customHeight="1">
      <c r="A88" s="1" t="s">
        <v>1187</v>
      </c>
      <c r="B88" s="1" t="s">
        <v>2314</v>
      </c>
      <c r="C88" s="1">
        <v>2015.0</v>
      </c>
      <c r="D88" s="1" t="s">
        <v>2315</v>
      </c>
      <c r="E88" s="1" t="s">
        <v>1190</v>
      </c>
      <c r="F88" s="1" t="s">
        <v>2316</v>
      </c>
      <c r="G88" s="1">
        <v>2.0</v>
      </c>
      <c r="H88" s="1" t="s">
        <v>1974</v>
      </c>
      <c r="I88" s="1" t="s">
        <v>1975</v>
      </c>
    </row>
    <row r="89" ht="15.75" customHeight="1">
      <c r="A89" s="1" t="s">
        <v>2317</v>
      </c>
      <c r="B89" s="1" t="s">
        <v>2318</v>
      </c>
      <c r="C89" s="1">
        <v>2024.0</v>
      </c>
      <c r="D89" s="1" t="s">
        <v>2319</v>
      </c>
      <c r="E89" s="1" t="s">
        <v>2320</v>
      </c>
      <c r="F89" s="1" t="s">
        <v>2321</v>
      </c>
      <c r="H89" s="1" t="s">
        <v>1974</v>
      </c>
      <c r="I89" s="1" t="s">
        <v>1975</v>
      </c>
    </row>
    <row r="90" ht="15.75" customHeight="1">
      <c r="A90" s="1" t="s">
        <v>2322</v>
      </c>
      <c r="B90" s="1" t="s">
        <v>2323</v>
      </c>
      <c r="C90" s="1">
        <v>2024.0</v>
      </c>
      <c r="D90" s="1" t="s">
        <v>436</v>
      </c>
      <c r="E90" s="1" t="s">
        <v>2324</v>
      </c>
      <c r="F90" s="1" t="s">
        <v>2325</v>
      </c>
      <c r="H90" s="1" t="s">
        <v>1974</v>
      </c>
      <c r="I90" s="1" t="s">
        <v>2101</v>
      </c>
    </row>
    <row r="91" ht="15.75" customHeight="1">
      <c r="A91" s="1" t="s">
        <v>2326</v>
      </c>
      <c r="B91" s="1" t="s">
        <v>2327</v>
      </c>
      <c r="C91" s="1">
        <v>2019.0</v>
      </c>
      <c r="D91" s="1" t="s">
        <v>738</v>
      </c>
      <c r="E91" s="1" t="s">
        <v>739</v>
      </c>
      <c r="F91" s="1" t="s">
        <v>2328</v>
      </c>
      <c r="G91" s="1">
        <v>34.0</v>
      </c>
      <c r="H91" s="1" t="s">
        <v>1974</v>
      </c>
      <c r="I91" s="1" t="s">
        <v>2101</v>
      </c>
    </row>
    <row r="92" ht="15.75" customHeight="1">
      <c r="A92" s="1" t="s">
        <v>2329</v>
      </c>
      <c r="B92" s="1" t="s">
        <v>2330</v>
      </c>
      <c r="C92" s="1">
        <v>2020.0</v>
      </c>
      <c r="D92" s="1" t="s">
        <v>2331</v>
      </c>
      <c r="E92" s="1" t="s">
        <v>537</v>
      </c>
      <c r="F92" s="1" t="s">
        <v>2332</v>
      </c>
      <c r="G92" s="1">
        <v>3.0</v>
      </c>
      <c r="H92" s="1" t="s">
        <v>1974</v>
      </c>
      <c r="I92" s="1" t="s">
        <v>1975</v>
      </c>
    </row>
    <row r="93" ht="15.75" customHeight="1">
      <c r="A93" s="1" t="s">
        <v>1684</v>
      </c>
      <c r="B93" s="1" t="s">
        <v>2333</v>
      </c>
      <c r="C93" s="1">
        <v>2012.0</v>
      </c>
      <c r="D93" s="1" t="s">
        <v>2334</v>
      </c>
      <c r="E93" s="1" t="s">
        <v>1686</v>
      </c>
      <c r="F93" s="1" t="s">
        <v>2335</v>
      </c>
      <c r="G93" s="1">
        <v>24.0</v>
      </c>
      <c r="H93" s="1" t="s">
        <v>1974</v>
      </c>
      <c r="I93" s="1" t="s">
        <v>1975</v>
      </c>
    </row>
    <row r="94" ht="15.75" customHeight="1">
      <c r="A94" s="1" t="s">
        <v>2336</v>
      </c>
      <c r="B94" s="1" t="s">
        <v>2337</v>
      </c>
      <c r="C94" s="1">
        <v>2018.0</v>
      </c>
      <c r="D94" s="1" t="s">
        <v>2338</v>
      </c>
      <c r="E94" s="1" t="s">
        <v>888</v>
      </c>
      <c r="F94" s="1" t="s">
        <v>2339</v>
      </c>
      <c r="G94" s="1">
        <v>3.0</v>
      </c>
      <c r="H94" s="1" t="s">
        <v>1974</v>
      </c>
      <c r="I94" s="1" t="s">
        <v>1975</v>
      </c>
    </row>
    <row r="95" ht="15.75" customHeight="1">
      <c r="A95" s="1" t="s">
        <v>2340</v>
      </c>
      <c r="B95" s="1" t="s">
        <v>2341</v>
      </c>
      <c r="C95" s="1">
        <v>2016.0</v>
      </c>
      <c r="D95" s="1" t="s">
        <v>2342</v>
      </c>
      <c r="E95" s="1" t="s">
        <v>1393</v>
      </c>
      <c r="F95" s="1" t="s">
        <v>2343</v>
      </c>
      <c r="G95" s="1">
        <v>3.0</v>
      </c>
      <c r="H95" s="1" t="s">
        <v>1974</v>
      </c>
      <c r="I95" s="1" t="s">
        <v>1975</v>
      </c>
    </row>
    <row r="96" ht="15.75" customHeight="1">
      <c r="A96" s="1" t="s">
        <v>985</v>
      </c>
      <c r="B96" s="1" t="s">
        <v>2344</v>
      </c>
      <c r="C96" s="1">
        <v>2014.0</v>
      </c>
      <c r="D96" s="1" t="s">
        <v>2345</v>
      </c>
      <c r="E96" s="1" t="s">
        <v>988</v>
      </c>
      <c r="F96" s="1" t="s">
        <v>2346</v>
      </c>
      <c r="G96" s="1">
        <v>64.0</v>
      </c>
      <c r="H96" s="1" t="s">
        <v>1974</v>
      </c>
      <c r="I96" s="1" t="s">
        <v>1975</v>
      </c>
    </row>
    <row r="97" ht="15.75" customHeight="1">
      <c r="A97" s="1" t="s">
        <v>2347</v>
      </c>
      <c r="B97" s="1" t="s">
        <v>2348</v>
      </c>
      <c r="C97" s="1">
        <v>2011.0</v>
      </c>
      <c r="D97" s="1" t="s">
        <v>2349</v>
      </c>
      <c r="E97" s="1" t="s">
        <v>2350</v>
      </c>
      <c r="F97" s="1" t="s">
        <v>2351</v>
      </c>
      <c r="G97" s="1">
        <v>12.0</v>
      </c>
      <c r="H97" s="1" t="s">
        <v>1974</v>
      </c>
      <c r="I97" s="1" t="s">
        <v>1975</v>
      </c>
    </row>
    <row r="98" ht="15.75" customHeight="1">
      <c r="A98" s="1" t="s">
        <v>405</v>
      </c>
      <c r="B98" s="1" t="s">
        <v>2352</v>
      </c>
      <c r="C98" s="1">
        <v>2022.0</v>
      </c>
      <c r="D98" s="1" t="s">
        <v>407</v>
      </c>
      <c r="E98" s="1" t="s">
        <v>408</v>
      </c>
      <c r="F98" s="1" t="s">
        <v>2353</v>
      </c>
      <c r="G98" s="1">
        <v>11.0</v>
      </c>
      <c r="H98" s="1" t="s">
        <v>1974</v>
      </c>
      <c r="I98" s="1" t="s">
        <v>2101</v>
      </c>
    </row>
    <row r="99" ht="15.75" customHeight="1">
      <c r="A99" s="1" t="s">
        <v>2354</v>
      </c>
      <c r="B99" s="1" t="s">
        <v>2355</v>
      </c>
      <c r="C99" s="1">
        <v>2021.0</v>
      </c>
      <c r="D99" s="1" t="s">
        <v>2356</v>
      </c>
      <c r="E99" s="1" t="s">
        <v>713</v>
      </c>
      <c r="F99" s="1" t="s">
        <v>2357</v>
      </c>
      <c r="G99" s="1">
        <v>3.0</v>
      </c>
      <c r="H99" s="1" t="s">
        <v>1974</v>
      </c>
      <c r="I99" s="1" t="s">
        <v>1975</v>
      </c>
    </row>
    <row r="100" ht="15.75" customHeight="1">
      <c r="A100" s="1" t="s">
        <v>309</v>
      </c>
      <c r="B100" s="1" t="s">
        <v>2358</v>
      </c>
      <c r="C100" s="1">
        <v>2022.0</v>
      </c>
      <c r="D100" s="1" t="s">
        <v>311</v>
      </c>
      <c r="E100" s="1" t="s">
        <v>312</v>
      </c>
      <c r="F100" s="1" t="s">
        <v>2359</v>
      </c>
      <c r="H100" s="1" t="s">
        <v>1974</v>
      </c>
      <c r="I100" s="1" t="s">
        <v>2287</v>
      </c>
    </row>
    <row r="101" ht="15.75" customHeight="1">
      <c r="A101" s="1" t="s">
        <v>2360</v>
      </c>
      <c r="B101" s="1" t="s">
        <v>2361</v>
      </c>
      <c r="C101" s="1">
        <v>2023.0</v>
      </c>
      <c r="D101" s="1" t="s">
        <v>2362</v>
      </c>
      <c r="E101" s="1" t="s">
        <v>2363</v>
      </c>
      <c r="F101" s="1" t="s">
        <v>2364</v>
      </c>
      <c r="H101" s="1" t="s">
        <v>1974</v>
      </c>
      <c r="I101" s="1" t="s">
        <v>2101</v>
      </c>
    </row>
    <row r="102" ht="15.75" customHeight="1">
      <c r="A102" s="1" t="s">
        <v>1889</v>
      </c>
      <c r="B102" s="1" t="s">
        <v>2365</v>
      </c>
      <c r="C102" s="1">
        <v>1997.0</v>
      </c>
      <c r="D102" s="1" t="s">
        <v>2366</v>
      </c>
      <c r="E102" s="1" t="s">
        <v>2367</v>
      </c>
      <c r="F102" s="1" t="s">
        <v>2368</v>
      </c>
      <c r="G102" s="1">
        <v>13.0</v>
      </c>
      <c r="H102" s="1" t="s">
        <v>1974</v>
      </c>
      <c r="I102" s="1" t="s">
        <v>1975</v>
      </c>
    </row>
    <row r="103" ht="15.75" customHeight="1">
      <c r="A103" s="1" t="s">
        <v>2369</v>
      </c>
      <c r="B103" s="1" t="s">
        <v>2370</v>
      </c>
      <c r="C103" s="1">
        <v>2011.0</v>
      </c>
      <c r="D103" s="1" t="s">
        <v>2371</v>
      </c>
      <c r="E103" s="1" t="s">
        <v>2372</v>
      </c>
      <c r="F103" s="1" t="s">
        <v>2373</v>
      </c>
      <c r="H103" s="1" t="s">
        <v>1974</v>
      </c>
      <c r="I103" s="1" t="s">
        <v>1975</v>
      </c>
    </row>
    <row r="104" ht="15.75" customHeight="1">
      <c r="A104" s="1" t="s">
        <v>2374</v>
      </c>
      <c r="B104" s="1" t="s">
        <v>2375</v>
      </c>
      <c r="C104" s="1">
        <v>2022.0</v>
      </c>
      <c r="D104" s="1" t="s">
        <v>2376</v>
      </c>
      <c r="E104" s="1" t="s">
        <v>2377</v>
      </c>
      <c r="F104" s="1" t="s">
        <v>2378</v>
      </c>
      <c r="G104" s="1">
        <v>1.0</v>
      </c>
      <c r="H104" s="1" t="s">
        <v>1974</v>
      </c>
      <c r="I104" s="1" t="s">
        <v>1975</v>
      </c>
    </row>
    <row r="105" ht="15.75" customHeight="1">
      <c r="A105" s="1" t="s">
        <v>2379</v>
      </c>
      <c r="B105" s="1" t="s">
        <v>2380</v>
      </c>
      <c r="C105" s="1">
        <v>2020.0</v>
      </c>
      <c r="D105" s="1" t="s">
        <v>91</v>
      </c>
      <c r="E105" s="1" t="s">
        <v>2381</v>
      </c>
      <c r="F105" s="1" t="s">
        <v>2382</v>
      </c>
      <c r="G105" s="1">
        <v>2.0</v>
      </c>
      <c r="H105" s="1" t="s">
        <v>1974</v>
      </c>
      <c r="I105" s="1" t="s">
        <v>2101</v>
      </c>
    </row>
    <row r="106" ht="15.75" customHeight="1">
      <c r="A106" s="1" t="s">
        <v>2383</v>
      </c>
      <c r="B106" s="1" t="s">
        <v>2384</v>
      </c>
      <c r="C106" s="1">
        <v>2009.0</v>
      </c>
      <c r="D106" s="1" t="s">
        <v>2385</v>
      </c>
      <c r="E106" s="1" t="s">
        <v>2386</v>
      </c>
      <c r="F106" s="1" t="s">
        <v>2387</v>
      </c>
      <c r="G106" s="1">
        <v>16.0</v>
      </c>
      <c r="H106" s="1" t="s">
        <v>1974</v>
      </c>
      <c r="I106" s="1" t="s">
        <v>1975</v>
      </c>
    </row>
    <row r="107" ht="15.75" customHeight="1">
      <c r="A107" s="1" t="s">
        <v>2388</v>
      </c>
      <c r="B107" s="1" t="s">
        <v>2389</v>
      </c>
      <c r="C107" s="1">
        <v>2014.0</v>
      </c>
      <c r="D107" s="1" t="s">
        <v>2390</v>
      </c>
      <c r="E107" s="1" t="s">
        <v>997</v>
      </c>
      <c r="F107" s="1" t="s">
        <v>2391</v>
      </c>
      <c r="G107" s="1">
        <v>10.0</v>
      </c>
      <c r="H107" s="1" t="s">
        <v>1974</v>
      </c>
      <c r="I107" s="1" t="s">
        <v>1975</v>
      </c>
    </row>
    <row r="108" ht="15.75" customHeight="1">
      <c r="A108" s="1" t="s">
        <v>2392</v>
      </c>
      <c r="B108" s="1" t="s">
        <v>2393</v>
      </c>
      <c r="C108" s="1">
        <v>2021.0</v>
      </c>
      <c r="D108" s="1" t="s">
        <v>2394</v>
      </c>
      <c r="E108" s="1" t="s">
        <v>2395</v>
      </c>
      <c r="F108" s="1" t="s">
        <v>2396</v>
      </c>
      <c r="G108" s="1">
        <v>5.0</v>
      </c>
      <c r="H108" s="1" t="s">
        <v>1974</v>
      </c>
      <c r="I108" s="1" t="s">
        <v>1975</v>
      </c>
    </row>
    <row r="109" ht="15.75" customHeight="1">
      <c r="A109" s="1" t="s">
        <v>457</v>
      </c>
      <c r="B109" s="1" t="s">
        <v>2397</v>
      </c>
      <c r="C109" s="1">
        <v>2022.0</v>
      </c>
      <c r="D109" s="1" t="s">
        <v>2398</v>
      </c>
      <c r="E109" s="1" t="s">
        <v>460</v>
      </c>
      <c r="F109" s="1" t="s">
        <v>2399</v>
      </c>
      <c r="G109" s="1">
        <v>1.0</v>
      </c>
      <c r="H109" s="1" t="s">
        <v>1974</v>
      </c>
      <c r="I109" s="1" t="s">
        <v>1975</v>
      </c>
    </row>
    <row r="110" ht="15.75" customHeight="1">
      <c r="A110" s="1" t="s">
        <v>2400</v>
      </c>
      <c r="B110" s="1" t="s">
        <v>2401</v>
      </c>
      <c r="C110" s="1">
        <v>2008.0</v>
      </c>
      <c r="D110" s="1" t="s">
        <v>2402</v>
      </c>
      <c r="E110" s="1" t="s">
        <v>2403</v>
      </c>
      <c r="F110" s="1" t="s">
        <v>2404</v>
      </c>
      <c r="H110" s="1" t="s">
        <v>1974</v>
      </c>
      <c r="I110" s="1" t="s">
        <v>1975</v>
      </c>
    </row>
    <row r="111" ht="15.75" customHeight="1">
      <c r="A111" s="1" t="s">
        <v>929</v>
      </c>
      <c r="B111" s="1" t="s">
        <v>2405</v>
      </c>
      <c r="C111" s="1">
        <v>2019.0</v>
      </c>
      <c r="D111" s="1" t="s">
        <v>2406</v>
      </c>
      <c r="E111" s="1" t="s">
        <v>932</v>
      </c>
      <c r="F111" s="1" t="s">
        <v>2407</v>
      </c>
      <c r="H111" s="1" t="s">
        <v>1974</v>
      </c>
      <c r="I111" s="1" t="s">
        <v>1975</v>
      </c>
    </row>
    <row r="112" ht="15.75" customHeight="1">
      <c r="A112" s="1" t="s">
        <v>2408</v>
      </c>
      <c r="B112" s="1" t="s">
        <v>2409</v>
      </c>
      <c r="C112" s="1">
        <v>2021.0</v>
      </c>
      <c r="D112" s="1" t="s">
        <v>2410</v>
      </c>
      <c r="E112" s="1" t="s">
        <v>2411</v>
      </c>
      <c r="F112" s="1" t="s">
        <v>2412</v>
      </c>
      <c r="G112" s="1">
        <v>3.0</v>
      </c>
      <c r="H112" s="1" t="s">
        <v>1974</v>
      </c>
      <c r="I112" s="1" t="s">
        <v>1975</v>
      </c>
    </row>
    <row r="113" ht="15.75" customHeight="1">
      <c r="A113" s="1" t="s">
        <v>429</v>
      </c>
      <c r="B113" s="1" t="s">
        <v>2413</v>
      </c>
      <c r="C113" s="1">
        <v>2022.0</v>
      </c>
      <c r="D113" s="1" t="s">
        <v>2414</v>
      </c>
      <c r="E113" s="1" t="s">
        <v>432</v>
      </c>
      <c r="F113" s="1" t="s">
        <v>2415</v>
      </c>
      <c r="H113" s="1" t="s">
        <v>1974</v>
      </c>
      <c r="I113" s="1" t="s">
        <v>1975</v>
      </c>
    </row>
    <row r="114" ht="15.75" customHeight="1">
      <c r="A114" s="1" t="s">
        <v>2416</v>
      </c>
      <c r="B114" s="1" t="s">
        <v>2417</v>
      </c>
      <c r="C114" s="1">
        <v>2016.0</v>
      </c>
      <c r="D114" s="1" t="s">
        <v>2418</v>
      </c>
      <c r="E114" s="1" t="s">
        <v>2419</v>
      </c>
      <c r="F114" s="1" t="s">
        <v>2420</v>
      </c>
      <c r="G114" s="1">
        <v>2.0</v>
      </c>
      <c r="H114" s="1" t="s">
        <v>1974</v>
      </c>
      <c r="I114" s="1" t="s">
        <v>1975</v>
      </c>
    </row>
    <row r="115" ht="15.75" customHeight="1">
      <c r="A115" s="1" t="s">
        <v>2421</v>
      </c>
      <c r="B115" s="1" t="s">
        <v>2422</v>
      </c>
      <c r="C115" s="1">
        <v>2021.0</v>
      </c>
      <c r="D115" s="1" t="s">
        <v>2423</v>
      </c>
      <c r="E115" s="1" t="s">
        <v>2424</v>
      </c>
      <c r="F115" s="1" t="s">
        <v>2425</v>
      </c>
      <c r="G115" s="1">
        <v>2.0</v>
      </c>
      <c r="H115" s="1" t="s">
        <v>1974</v>
      </c>
      <c r="I115" s="1" t="s">
        <v>1975</v>
      </c>
    </row>
    <row r="116" ht="15.75" customHeight="1">
      <c r="A116" s="1" t="s">
        <v>2426</v>
      </c>
      <c r="B116" s="1" t="s">
        <v>2427</v>
      </c>
      <c r="C116" s="1">
        <v>2023.0</v>
      </c>
      <c r="D116" s="1" t="s">
        <v>2428</v>
      </c>
      <c r="E116" s="1" t="s">
        <v>2429</v>
      </c>
      <c r="F116" s="1" t="s">
        <v>2430</v>
      </c>
      <c r="G116" s="1">
        <v>1.0</v>
      </c>
      <c r="H116" s="1" t="s">
        <v>1974</v>
      </c>
      <c r="I116" s="1" t="s">
        <v>2101</v>
      </c>
    </row>
    <row r="117" ht="15.75" customHeight="1">
      <c r="A117" s="1" t="s">
        <v>2431</v>
      </c>
      <c r="B117" s="1" t="s">
        <v>2432</v>
      </c>
      <c r="C117" s="1">
        <v>2023.0</v>
      </c>
      <c r="D117" s="1" t="s">
        <v>2433</v>
      </c>
      <c r="E117" s="1" t="s">
        <v>2434</v>
      </c>
      <c r="F117" s="1" t="s">
        <v>2435</v>
      </c>
      <c r="G117" s="1">
        <v>7.0</v>
      </c>
      <c r="H117" s="1" t="s">
        <v>1974</v>
      </c>
      <c r="I117" s="1" t="s">
        <v>1975</v>
      </c>
    </row>
    <row r="118" ht="15.75" customHeight="1">
      <c r="A118" s="1" t="s">
        <v>632</v>
      </c>
      <c r="B118" s="1" t="s">
        <v>2436</v>
      </c>
      <c r="C118" s="1">
        <v>2021.0</v>
      </c>
      <c r="D118" s="1" t="s">
        <v>2437</v>
      </c>
      <c r="E118" s="1" t="s">
        <v>635</v>
      </c>
      <c r="F118" s="1" t="s">
        <v>2438</v>
      </c>
      <c r="H118" s="1" t="s">
        <v>1974</v>
      </c>
      <c r="I118" s="1" t="s">
        <v>1975</v>
      </c>
    </row>
    <row r="119" ht="15.75" customHeight="1">
      <c r="A119" s="1" t="s">
        <v>849</v>
      </c>
      <c r="B119" s="1" t="s">
        <v>2439</v>
      </c>
      <c r="C119" s="1">
        <v>2018.0</v>
      </c>
      <c r="D119" s="1" t="s">
        <v>2440</v>
      </c>
      <c r="E119" s="1" t="s">
        <v>852</v>
      </c>
      <c r="F119" s="1" t="s">
        <v>2441</v>
      </c>
      <c r="G119" s="1">
        <v>17.0</v>
      </c>
      <c r="H119" s="1" t="s">
        <v>1974</v>
      </c>
      <c r="I119" s="1" t="s">
        <v>1975</v>
      </c>
    </row>
    <row r="120" ht="15.75" customHeight="1">
      <c r="A120" s="1" t="s">
        <v>2442</v>
      </c>
      <c r="B120" s="1" t="s">
        <v>2443</v>
      </c>
      <c r="C120" s="1">
        <v>2023.0</v>
      </c>
      <c r="D120" s="1" t="s">
        <v>2444</v>
      </c>
      <c r="E120" s="1" t="s">
        <v>2445</v>
      </c>
      <c r="F120" s="1" t="s">
        <v>2446</v>
      </c>
      <c r="H120" s="1" t="s">
        <v>1974</v>
      </c>
      <c r="I120" s="1" t="s">
        <v>1975</v>
      </c>
    </row>
    <row r="121" ht="15.75" customHeight="1">
      <c r="A121" s="1" t="s">
        <v>2447</v>
      </c>
      <c r="B121" s="1" t="s">
        <v>2448</v>
      </c>
      <c r="C121" s="1">
        <v>2024.0</v>
      </c>
      <c r="D121" s="1" t="s">
        <v>2319</v>
      </c>
      <c r="E121" s="1" t="s">
        <v>2449</v>
      </c>
      <c r="F121" s="1" t="s">
        <v>2450</v>
      </c>
      <c r="H121" s="1" t="s">
        <v>1974</v>
      </c>
      <c r="I121" s="1" t="s">
        <v>1975</v>
      </c>
    </row>
    <row r="122" ht="15.75" customHeight="1">
      <c r="A122" s="1" t="s">
        <v>2451</v>
      </c>
      <c r="B122" s="1" t="s">
        <v>2452</v>
      </c>
      <c r="C122" s="1">
        <v>2009.0</v>
      </c>
      <c r="D122" s="1" t="s">
        <v>2453</v>
      </c>
      <c r="E122" s="1" t="s">
        <v>1584</v>
      </c>
      <c r="F122" s="1" t="s">
        <v>2454</v>
      </c>
      <c r="G122" s="1">
        <v>1.0</v>
      </c>
      <c r="H122" s="1" t="s">
        <v>1974</v>
      </c>
      <c r="I122" s="1" t="s">
        <v>1975</v>
      </c>
    </row>
    <row r="123" ht="15.75" customHeight="1">
      <c r="A123" s="1" t="s">
        <v>2455</v>
      </c>
      <c r="B123" s="1" t="s">
        <v>2456</v>
      </c>
      <c r="C123" s="1">
        <v>2022.0</v>
      </c>
      <c r="D123" s="1" t="s">
        <v>2457</v>
      </c>
      <c r="E123" s="1" t="s">
        <v>2458</v>
      </c>
      <c r="F123" s="1" t="s">
        <v>2459</v>
      </c>
      <c r="H123" s="1" t="s">
        <v>1974</v>
      </c>
      <c r="I123" s="1" t="s">
        <v>1975</v>
      </c>
    </row>
    <row r="124" ht="15.75" customHeight="1">
      <c r="A124" s="1" t="s">
        <v>2460</v>
      </c>
      <c r="B124" s="1" t="s">
        <v>2461</v>
      </c>
      <c r="C124" s="1">
        <v>2021.0</v>
      </c>
      <c r="D124" s="1" t="s">
        <v>2462</v>
      </c>
      <c r="E124" s="1" t="s">
        <v>2463</v>
      </c>
      <c r="F124" s="1" t="s">
        <v>2464</v>
      </c>
      <c r="H124" s="1" t="s">
        <v>1974</v>
      </c>
      <c r="I124" s="1" t="s">
        <v>1975</v>
      </c>
    </row>
    <row r="125" ht="15.75" customHeight="1">
      <c r="A125" s="1" t="s">
        <v>1124</v>
      </c>
      <c r="B125" s="1" t="s">
        <v>2465</v>
      </c>
      <c r="C125" s="1">
        <v>2013.0</v>
      </c>
      <c r="D125" s="1" t="s">
        <v>2466</v>
      </c>
      <c r="F125" s="1" t="s">
        <v>2467</v>
      </c>
      <c r="H125" s="1" t="s">
        <v>1974</v>
      </c>
      <c r="I125" s="1" t="s">
        <v>1975</v>
      </c>
    </row>
    <row r="126" ht="15.75" customHeight="1">
      <c r="A126" s="1" t="s">
        <v>2468</v>
      </c>
      <c r="B126" s="1" t="s">
        <v>2469</v>
      </c>
      <c r="C126" s="1">
        <v>2020.0</v>
      </c>
      <c r="D126" s="1" t="s">
        <v>129</v>
      </c>
      <c r="E126" s="1" t="s">
        <v>2470</v>
      </c>
      <c r="F126" s="1" t="s">
        <v>2471</v>
      </c>
      <c r="G126" s="1">
        <v>1.0</v>
      </c>
      <c r="H126" s="1" t="s">
        <v>1974</v>
      </c>
      <c r="I126" s="1" t="s">
        <v>2101</v>
      </c>
    </row>
    <row r="127" ht="15.75" customHeight="1">
      <c r="A127" s="1" t="s">
        <v>71</v>
      </c>
      <c r="B127" s="1" t="s">
        <v>2472</v>
      </c>
      <c r="C127" s="1">
        <v>2021.0</v>
      </c>
      <c r="D127" s="1" t="s">
        <v>73</v>
      </c>
      <c r="E127" s="1" t="s">
        <v>74</v>
      </c>
      <c r="F127" s="1" t="s">
        <v>2473</v>
      </c>
      <c r="G127" s="1">
        <v>9.0</v>
      </c>
      <c r="H127" s="1" t="s">
        <v>1974</v>
      </c>
      <c r="I127" s="1" t="s">
        <v>2101</v>
      </c>
    </row>
    <row r="128" ht="15.75" customHeight="1">
      <c r="A128" s="1" t="s">
        <v>2474</v>
      </c>
      <c r="B128" s="1" t="s">
        <v>2475</v>
      </c>
      <c r="C128" s="1">
        <v>2003.0</v>
      </c>
      <c r="D128" s="1" t="s">
        <v>2476</v>
      </c>
      <c r="E128" s="1" t="s">
        <v>2477</v>
      </c>
      <c r="F128" s="1" t="s">
        <v>2478</v>
      </c>
      <c r="H128" s="1" t="s">
        <v>1974</v>
      </c>
      <c r="I128" s="1" t="s">
        <v>1975</v>
      </c>
    </row>
    <row r="129" ht="15.75" customHeight="1">
      <c r="A129" s="1" t="s">
        <v>1516</v>
      </c>
      <c r="B129" s="1" t="s">
        <v>2479</v>
      </c>
      <c r="C129" s="1">
        <v>2001.0</v>
      </c>
      <c r="D129" s="1" t="s">
        <v>2480</v>
      </c>
      <c r="E129" s="1" t="s">
        <v>2481</v>
      </c>
      <c r="F129" s="1" t="s">
        <v>2482</v>
      </c>
      <c r="G129" s="1">
        <v>2.0</v>
      </c>
      <c r="H129" s="1" t="s">
        <v>1974</v>
      </c>
      <c r="I129" s="1" t="s">
        <v>1975</v>
      </c>
    </row>
    <row r="130" ht="15.75" customHeight="1">
      <c r="A130" s="1" t="s">
        <v>2483</v>
      </c>
      <c r="B130" s="1" t="s">
        <v>2484</v>
      </c>
      <c r="C130" s="1">
        <v>2016.0</v>
      </c>
      <c r="D130" s="1" t="s">
        <v>2485</v>
      </c>
      <c r="E130" s="1" t="s">
        <v>2486</v>
      </c>
      <c r="F130" s="1" t="s">
        <v>2487</v>
      </c>
      <c r="G130" s="1">
        <v>17.0</v>
      </c>
      <c r="H130" s="1" t="s">
        <v>1974</v>
      </c>
      <c r="I130" s="1" t="s">
        <v>1975</v>
      </c>
    </row>
    <row r="131" ht="15.75" customHeight="1">
      <c r="A131" s="1" t="s">
        <v>2488</v>
      </c>
      <c r="B131" s="1" t="s">
        <v>2489</v>
      </c>
      <c r="C131" s="1">
        <v>2023.0</v>
      </c>
      <c r="D131" s="1" t="s">
        <v>106</v>
      </c>
      <c r="E131" s="1" t="s">
        <v>2490</v>
      </c>
      <c r="F131" s="1" t="s">
        <v>2491</v>
      </c>
      <c r="G131" s="1">
        <v>1.0</v>
      </c>
      <c r="H131" s="1" t="s">
        <v>1974</v>
      </c>
      <c r="I131" s="1" t="s">
        <v>2101</v>
      </c>
    </row>
    <row r="132" ht="15.75" customHeight="1">
      <c r="A132" s="1" t="s">
        <v>2492</v>
      </c>
      <c r="B132" s="1" t="s">
        <v>2493</v>
      </c>
      <c r="C132" s="1">
        <v>2023.0</v>
      </c>
      <c r="D132" s="1" t="s">
        <v>2494</v>
      </c>
      <c r="E132" s="1" t="s">
        <v>2495</v>
      </c>
      <c r="F132" s="1" t="s">
        <v>2496</v>
      </c>
      <c r="H132" s="1" t="s">
        <v>1974</v>
      </c>
      <c r="I132" s="1" t="s">
        <v>1975</v>
      </c>
    </row>
    <row r="133" ht="15.75" customHeight="1">
      <c r="A133" s="1" t="s">
        <v>799</v>
      </c>
      <c r="B133" s="1" t="s">
        <v>2497</v>
      </c>
      <c r="C133" s="1">
        <v>2021.0</v>
      </c>
      <c r="D133" s="1" t="s">
        <v>2104</v>
      </c>
      <c r="E133" s="1" t="s">
        <v>801</v>
      </c>
      <c r="F133" s="1" t="s">
        <v>2498</v>
      </c>
      <c r="H133" s="1" t="s">
        <v>1974</v>
      </c>
      <c r="I133" s="1" t="s">
        <v>1975</v>
      </c>
    </row>
    <row r="134" ht="15.75" customHeight="1">
      <c r="A134" s="1" t="s">
        <v>2499</v>
      </c>
      <c r="B134" s="1" t="s">
        <v>2500</v>
      </c>
      <c r="C134" s="1">
        <v>2015.0</v>
      </c>
      <c r="D134" s="1" t="s">
        <v>2501</v>
      </c>
      <c r="E134" s="1" t="s">
        <v>2502</v>
      </c>
      <c r="F134" s="1" t="s">
        <v>2503</v>
      </c>
      <c r="G134" s="1">
        <v>14.0</v>
      </c>
      <c r="H134" s="1" t="s">
        <v>1974</v>
      </c>
      <c r="I134" s="1" t="s">
        <v>1975</v>
      </c>
    </row>
    <row r="135" ht="15.75" customHeight="1">
      <c r="A135" s="1" t="s">
        <v>2504</v>
      </c>
      <c r="B135" s="1" t="s">
        <v>2505</v>
      </c>
      <c r="C135" s="1">
        <v>2017.0</v>
      </c>
      <c r="D135" s="1" t="s">
        <v>2506</v>
      </c>
      <c r="E135" s="1" t="s">
        <v>2507</v>
      </c>
      <c r="F135" s="1" t="s">
        <v>2508</v>
      </c>
      <c r="G135" s="1">
        <v>10.0</v>
      </c>
      <c r="H135" s="1" t="s">
        <v>1974</v>
      </c>
      <c r="I135" s="1" t="s">
        <v>1975</v>
      </c>
    </row>
    <row r="136" ht="15.75" customHeight="1">
      <c r="A136" s="1" t="s">
        <v>2509</v>
      </c>
      <c r="B136" s="1" t="s">
        <v>2510</v>
      </c>
      <c r="C136" s="1">
        <v>2019.0</v>
      </c>
      <c r="D136" s="1" t="s">
        <v>2511</v>
      </c>
      <c r="E136" s="1" t="s">
        <v>2512</v>
      </c>
      <c r="F136" s="1" t="s">
        <v>2513</v>
      </c>
      <c r="G136" s="1">
        <v>4.0</v>
      </c>
      <c r="H136" s="1" t="s">
        <v>1974</v>
      </c>
      <c r="I136" s="1" t="s">
        <v>1975</v>
      </c>
    </row>
    <row r="137" ht="15.75" customHeight="1">
      <c r="A137" s="1" t="s">
        <v>2514</v>
      </c>
      <c r="B137" s="1" t="s">
        <v>2515</v>
      </c>
      <c r="C137" s="1">
        <v>2021.0</v>
      </c>
      <c r="D137" s="1" t="s">
        <v>2516</v>
      </c>
      <c r="E137" s="1" t="s">
        <v>2517</v>
      </c>
      <c r="F137" s="1" t="s">
        <v>2518</v>
      </c>
      <c r="G137" s="1">
        <v>2.0</v>
      </c>
      <c r="H137" s="1" t="s">
        <v>1974</v>
      </c>
      <c r="I137" s="1" t="s">
        <v>1975</v>
      </c>
    </row>
    <row r="138" ht="15.75" customHeight="1">
      <c r="A138" s="1" t="s">
        <v>1650</v>
      </c>
      <c r="B138" s="1" t="s">
        <v>2519</v>
      </c>
      <c r="C138" s="1">
        <v>2010.0</v>
      </c>
      <c r="D138" s="1" t="s">
        <v>2520</v>
      </c>
      <c r="E138" s="1" t="s">
        <v>1653</v>
      </c>
      <c r="F138" s="1" t="s">
        <v>2521</v>
      </c>
      <c r="G138" s="1">
        <v>10.0</v>
      </c>
      <c r="H138" s="1" t="s">
        <v>1974</v>
      </c>
      <c r="I138" s="1" t="s">
        <v>1975</v>
      </c>
    </row>
    <row r="139" ht="15.75" customHeight="1">
      <c r="A139" s="1" t="s">
        <v>2522</v>
      </c>
      <c r="B139" s="1" t="s">
        <v>2523</v>
      </c>
      <c r="C139" s="1">
        <v>2012.0</v>
      </c>
      <c r="D139" s="1" t="s">
        <v>2524</v>
      </c>
      <c r="F139" s="1" t="s">
        <v>2525</v>
      </c>
      <c r="H139" s="1" t="s">
        <v>1974</v>
      </c>
      <c r="I139" s="1" t="s">
        <v>1975</v>
      </c>
    </row>
    <row r="140" ht="15.75" customHeight="1">
      <c r="A140" s="1" t="s">
        <v>2526</v>
      </c>
      <c r="B140" s="1" t="s">
        <v>2527</v>
      </c>
      <c r="C140" s="1">
        <v>2011.0</v>
      </c>
      <c r="D140" s="1" t="s">
        <v>2528</v>
      </c>
      <c r="E140" s="1" t="s">
        <v>2529</v>
      </c>
      <c r="F140" s="1" t="s">
        <v>2530</v>
      </c>
      <c r="H140" s="1" t="s">
        <v>1974</v>
      </c>
      <c r="I140" s="1" t="s">
        <v>1975</v>
      </c>
    </row>
    <row r="141" ht="15.75" customHeight="1">
      <c r="A141" s="1" t="s">
        <v>2531</v>
      </c>
      <c r="B141" s="1" t="s">
        <v>2532</v>
      </c>
      <c r="C141" s="1">
        <v>1991.0</v>
      </c>
      <c r="D141" s="1" t="s">
        <v>2533</v>
      </c>
      <c r="E141" s="1" t="s">
        <v>1914</v>
      </c>
      <c r="F141" s="1" t="s">
        <v>2534</v>
      </c>
      <c r="G141" s="1">
        <v>3.0</v>
      </c>
      <c r="H141" s="1" t="s">
        <v>1974</v>
      </c>
      <c r="I141" s="1" t="s">
        <v>1975</v>
      </c>
    </row>
    <row r="142" ht="15.75" customHeight="1">
      <c r="A142" s="1" t="s">
        <v>2535</v>
      </c>
      <c r="B142" s="1" t="s">
        <v>2536</v>
      </c>
      <c r="C142" s="1">
        <v>2019.0</v>
      </c>
      <c r="D142" s="1" t="s">
        <v>2537</v>
      </c>
      <c r="E142" s="1" t="s">
        <v>2538</v>
      </c>
      <c r="F142" s="1" t="s">
        <v>2539</v>
      </c>
      <c r="G142" s="1">
        <v>7.0</v>
      </c>
      <c r="H142" s="1" t="s">
        <v>1974</v>
      </c>
      <c r="I142" s="1" t="s">
        <v>1975</v>
      </c>
    </row>
    <row r="143" ht="15.75" customHeight="1">
      <c r="A143" s="1" t="s">
        <v>2540</v>
      </c>
      <c r="B143" s="1" t="s">
        <v>2541</v>
      </c>
      <c r="C143" s="1">
        <v>2021.0</v>
      </c>
      <c r="D143" s="1" t="s">
        <v>106</v>
      </c>
      <c r="E143" s="1" t="s">
        <v>2542</v>
      </c>
      <c r="F143" s="1" t="s">
        <v>2543</v>
      </c>
      <c r="G143" s="1">
        <v>12.0</v>
      </c>
      <c r="H143" s="1" t="s">
        <v>1974</v>
      </c>
      <c r="I143" s="1" t="s">
        <v>2101</v>
      </c>
    </row>
    <row r="144" ht="15.75" customHeight="1">
      <c r="A144" s="1" t="s">
        <v>2544</v>
      </c>
      <c r="B144" s="1" t="s">
        <v>2545</v>
      </c>
      <c r="C144" s="1">
        <v>2018.0</v>
      </c>
      <c r="D144" s="1" t="s">
        <v>2546</v>
      </c>
      <c r="E144" s="1" t="s">
        <v>2547</v>
      </c>
      <c r="F144" s="1" t="s">
        <v>2548</v>
      </c>
      <c r="G144" s="1">
        <v>69.0</v>
      </c>
      <c r="H144" s="1" t="s">
        <v>1974</v>
      </c>
      <c r="I144" s="1" t="s">
        <v>1975</v>
      </c>
    </row>
    <row r="145" ht="15.75" customHeight="1">
      <c r="A145" s="1" t="s">
        <v>1227</v>
      </c>
      <c r="B145" s="1" t="s">
        <v>2549</v>
      </c>
      <c r="C145" s="1">
        <v>2018.0</v>
      </c>
      <c r="D145" s="1" t="s">
        <v>738</v>
      </c>
      <c r="E145" s="1" t="s">
        <v>1229</v>
      </c>
      <c r="F145" s="1" t="s">
        <v>2550</v>
      </c>
      <c r="G145" s="1">
        <v>34.0</v>
      </c>
      <c r="H145" s="1" t="s">
        <v>1974</v>
      </c>
      <c r="I145" s="1" t="s">
        <v>2101</v>
      </c>
    </row>
    <row r="146" ht="15.75" customHeight="1">
      <c r="A146" s="1" t="s">
        <v>275</v>
      </c>
      <c r="B146" s="1" t="s">
        <v>2551</v>
      </c>
      <c r="C146" s="1">
        <v>2023.0</v>
      </c>
      <c r="D146" s="1" t="s">
        <v>2552</v>
      </c>
      <c r="E146" s="1" t="s">
        <v>278</v>
      </c>
      <c r="F146" s="1" t="s">
        <v>2553</v>
      </c>
      <c r="H146" s="1" t="s">
        <v>1974</v>
      </c>
      <c r="I146" s="1" t="s">
        <v>1975</v>
      </c>
    </row>
    <row r="147" ht="15.75" customHeight="1">
      <c r="A147" s="1" t="s">
        <v>260</v>
      </c>
      <c r="B147" s="1" t="s">
        <v>2554</v>
      </c>
      <c r="C147" s="1">
        <v>2023.0</v>
      </c>
      <c r="D147" s="1" t="s">
        <v>2494</v>
      </c>
      <c r="E147" s="1" t="s">
        <v>263</v>
      </c>
      <c r="F147" s="1" t="s">
        <v>2555</v>
      </c>
      <c r="H147" s="1" t="s">
        <v>1974</v>
      </c>
      <c r="I147" s="1" t="s">
        <v>1975</v>
      </c>
    </row>
    <row r="148" ht="15.75" customHeight="1">
      <c r="A148" s="1" t="s">
        <v>2556</v>
      </c>
      <c r="B148" s="1" t="s">
        <v>2557</v>
      </c>
      <c r="C148" s="1">
        <v>2015.0</v>
      </c>
      <c r="D148" s="1" t="s">
        <v>2558</v>
      </c>
      <c r="E148" s="1" t="s">
        <v>1098</v>
      </c>
      <c r="F148" s="1" t="s">
        <v>2559</v>
      </c>
      <c r="H148" s="1" t="s">
        <v>1974</v>
      </c>
      <c r="I148" s="1" t="s">
        <v>1975</v>
      </c>
    </row>
    <row r="149" ht="15.75" customHeight="1">
      <c r="A149" s="1" t="s">
        <v>2560</v>
      </c>
      <c r="B149" s="1" t="s">
        <v>2561</v>
      </c>
      <c r="C149" s="1">
        <v>2016.0</v>
      </c>
      <c r="D149" s="1" t="s">
        <v>2562</v>
      </c>
      <c r="F149" s="1" t="s">
        <v>2563</v>
      </c>
      <c r="H149" s="1" t="s">
        <v>1974</v>
      </c>
      <c r="I149" s="1" t="s">
        <v>1975</v>
      </c>
    </row>
    <row r="150" ht="15.75" customHeight="1">
      <c r="A150" s="1" t="s">
        <v>566</v>
      </c>
      <c r="B150" s="1" t="s">
        <v>2564</v>
      </c>
      <c r="C150" s="1">
        <v>2020.0</v>
      </c>
      <c r="D150" s="1" t="s">
        <v>2565</v>
      </c>
      <c r="E150" s="1" t="s">
        <v>569</v>
      </c>
      <c r="F150" s="1" t="s">
        <v>2566</v>
      </c>
      <c r="G150" s="1">
        <v>9.0</v>
      </c>
      <c r="H150" s="1" t="s">
        <v>1974</v>
      </c>
      <c r="I150" s="1" t="s">
        <v>1975</v>
      </c>
    </row>
    <row r="151" ht="15.75" customHeight="1">
      <c r="A151" s="1" t="s">
        <v>970</v>
      </c>
      <c r="B151" s="1" t="s">
        <v>2567</v>
      </c>
      <c r="C151" s="1">
        <v>2016.0</v>
      </c>
      <c r="D151" s="1" t="s">
        <v>2568</v>
      </c>
      <c r="E151" s="1" t="s">
        <v>973</v>
      </c>
      <c r="F151" s="1" t="s">
        <v>2569</v>
      </c>
      <c r="G151" s="1">
        <v>62.0</v>
      </c>
      <c r="H151" s="1" t="s">
        <v>1974</v>
      </c>
      <c r="I151" s="1" t="s">
        <v>1975</v>
      </c>
    </row>
    <row r="152" ht="15.75" customHeight="1">
      <c r="A152" s="1" t="s">
        <v>2570</v>
      </c>
      <c r="B152" s="1" t="s">
        <v>2571</v>
      </c>
      <c r="C152" s="1">
        <v>2016.0</v>
      </c>
      <c r="D152" s="1" t="s">
        <v>2572</v>
      </c>
      <c r="E152" s="1" t="s">
        <v>2573</v>
      </c>
      <c r="F152" s="1" t="s">
        <v>2574</v>
      </c>
      <c r="H152" s="1" t="s">
        <v>1974</v>
      </c>
      <c r="I152" s="1" t="s">
        <v>1975</v>
      </c>
    </row>
    <row r="153" ht="15.75" customHeight="1">
      <c r="A153" s="1" t="s">
        <v>2575</v>
      </c>
      <c r="B153" s="1" t="s">
        <v>2576</v>
      </c>
      <c r="C153" s="1">
        <v>2009.0</v>
      </c>
      <c r="D153" s="1" t="s">
        <v>2577</v>
      </c>
      <c r="E153" s="1" t="s">
        <v>1625</v>
      </c>
      <c r="F153" s="1" t="s">
        <v>2578</v>
      </c>
      <c r="G153" s="1">
        <v>12.0</v>
      </c>
      <c r="H153" s="1" t="s">
        <v>1974</v>
      </c>
      <c r="I153" s="1" t="s">
        <v>1975</v>
      </c>
    </row>
    <row r="154" ht="15.75" customHeight="1">
      <c r="A154" s="1" t="s">
        <v>434</v>
      </c>
      <c r="B154" s="1" t="s">
        <v>2579</v>
      </c>
      <c r="C154" s="1">
        <v>2022.0</v>
      </c>
      <c r="D154" s="1" t="s">
        <v>436</v>
      </c>
      <c r="E154" s="1" t="s">
        <v>437</v>
      </c>
      <c r="F154" s="1" t="s">
        <v>2580</v>
      </c>
      <c r="G154" s="1">
        <v>7.0</v>
      </c>
      <c r="H154" s="1" t="s">
        <v>1974</v>
      </c>
      <c r="I154" s="1" t="s">
        <v>2101</v>
      </c>
    </row>
    <row r="155" ht="15.75" customHeight="1">
      <c r="A155" s="1" t="s">
        <v>2581</v>
      </c>
      <c r="B155" s="1" t="s">
        <v>2582</v>
      </c>
      <c r="C155" s="1">
        <v>2008.0</v>
      </c>
      <c r="D155" s="1" t="s">
        <v>2583</v>
      </c>
      <c r="E155" s="1" t="s">
        <v>2584</v>
      </c>
      <c r="F155" s="1" t="s">
        <v>2585</v>
      </c>
      <c r="H155" s="1" t="s">
        <v>1974</v>
      </c>
      <c r="I155" s="1" t="s">
        <v>1975</v>
      </c>
    </row>
    <row r="156" ht="15.75" customHeight="1">
      <c r="A156" s="1" t="s">
        <v>2586</v>
      </c>
      <c r="B156" s="1" t="s">
        <v>2587</v>
      </c>
      <c r="C156" s="1">
        <v>2006.0</v>
      </c>
      <c r="D156" s="1" t="s">
        <v>2588</v>
      </c>
      <c r="E156" s="1" t="s">
        <v>2589</v>
      </c>
      <c r="F156" s="1" t="s">
        <v>2590</v>
      </c>
      <c r="G156" s="1">
        <v>5.0</v>
      </c>
      <c r="H156" s="1" t="s">
        <v>1974</v>
      </c>
      <c r="I156" s="1" t="s">
        <v>1975</v>
      </c>
    </row>
    <row r="157" ht="15.75" customHeight="1">
      <c r="A157" s="1" t="s">
        <v>2591</v>
      </c>
      <c r="B157" s="1" t="s">
        <v>2592</v>
      </c>
      <c r="C157" s="1">
        <v>1998.0</v>
      </c>
      <c r="D157" s="1" t="s">
        <v>2593</v>
      </c>
      <c r="E157" s="1" t="s">
        <v>2594</v>
      </c>
      <c r="F157" s="1" t="s">
        <v>2595</v>
      </c>
      <c r="G157" s="1">
        <v>1.0</v>
      </c>
      <c r="H157" s="1" t="s">
        <v>1974</v>
      </c>
      <c r="I157" s="1" t="s">
        <v>1975</v>
      </c>
    </row>
    <row r="158" ht="15.75" customHeight="1">
      <c r="A158" s="1" t="s">
        <v>2596</v>
      </c>
      <c r="B158" s="1" t="s">
        <v>2597</v>
      </c>
      <c r="C158" s="1">
        <v>2015.0</v>
      </c>
      <c r="D158" s="1" t="s">
        <v>2598</v>
      </c>
      <c r="E158" s="1" t="s">
        <v>2599</v>
      </c>
      <c r="F158" s="1" t="s">
        <v>2600</v>
      </c>
      <c r="G158" s="1">
        <v>5.0</v>
      </c>
      <c r="H158" s="1" t="s">
        <v>1974</v>
      </c>
      <c r="I158" s="1" t="s">
        <v>1975</v>
      </c>
    </row>
    <row r="159" ht="15.75" customHeight="1">
      <c r="A159" s="1" t="s">
        <v>2601</v>
      </c>
      <c r="B159" s="1" t="s">
        <v>2602</v>
      </c>
      <c r="C159" s="1">
        <v>2014.0</v>
      </c>
      <c r="D159" s="1" t="s">
        <v>2603</v>
      </c>
      <c r="E159" s="1" t="s">
        <v>2604</v>
      </c>
      <c r="F159" s="1" t="s">
        <v>2605</v>
      </c>
      <c r="G159" s="1">
        <v>3.0</v>
      </c>
      <c r="H159" s="1" t="s">
        <v>1974</v>
      </c>
      <c r="I159" s="1" t="s">
        <v>1975</v>
      </c>
    </row>
    <row r="160" ht="15.75" customHeight="1">
      <c r="A160" s="1" t="s">
        <v>2606</v>
      </c>
      <c r="B160" s="1" t="s">
        <v>2607</v>
      </c>
      <c r="C160" s="1">
        <v>2009.0</v>
      </c>
      <c r="D160" s="1" t="s">
        <v>2608</v>
      </c>
      <c r="E160" s="1" t="s">
        <v>2609</v>
      </c>
      <c r="F160" s="1" t="s">
        <v>2610</v>
      </c>
      <c r="G160" s="1">
        <v>1.0</v>
      </c>
      <c r="H160" s="1" t="s">
        <v>1974</v>
      </c>
      <c r="I160" s="1" t="s">
        <v>1975</v>
      </c>
    </row>
    <row r="161" ht="15.75" customHeight="1">
      <c r="A161" s="1" t="s">
        <v>2611</v>
      </c>
      <c r="B161" s="1" t="s">
        <v>2612</v>
      </c>
      <c r="C161" s="1">
        <v>2011.0</v>
      </c>
      <c r="D161" s="1" t="s">
        <v>2613</v>
      </c>
      <c r="E161" s="1" t="s">
        <v>2614</v>
      </c>
      <c r="F161" s="1" t="s">
        <v>2615</v>
      </c>
      <c r="G161" s="1">
        <v>1.0</v>
      </c>
      <c r="H161" s="1" t="s">
        <v>1974</v>
      </c>
      <c r="I161" s="1" t="s">
        <v>1975</v>
      </c>
    </row>
    <row r="162" ht="15.75" customHeight="1">
      <c r="A162" s="1" t="s">
        <v>2616</v>
      </c>
      <c r="B162" s="1" t="s">
        <v>2617</v>
      </c>
      <c r="C162" s="1">
        <v>2011.0</v>
      </c>
      <c r="D162" s="1" t="s">
        <v>2618</v>
      </c>
      <c r="E162" s="1" t="s">
        <v>2619</v>
      </c>
      <c r="F162" s="1" t="s">
        <v>2620</v>
      </c>
      <c r="G162" s="1">
        <v>34.0</v>
      </c>
      <c r="H162" s="1" t="s">
        <v>1974</v>
      </c>
      <c r="I162" s="1" t="s">
        <v>1975</v>
      </c>
    </row>
    <row r="163" ht="15.75" customHeight="1">
      <c r="A163" s="1" t="s">
        <v>2621</v>
      </c>
      <c r="B163" s="1" t="s">
        <v>2622</v>
      </c>
      <c r="C163" s="1">
        <v>2021.0</v>
      </c>
      <c r="D163" s="1" t="s">
        <v>53</v>
      </c>
      <c r="E163" s="1" t="s">
        <v>54</v>
      </c>
      <c r="F163" s="1" t="s">
        <v>2623</v>
      </c>
      <c r="H163" s="1" t="s">
        <v>1974</v>
      </c>
      <c r="I163" s="1" t="s">
        <v>2101</v>
      </c>
    </row>
    <row r="164" ht="15.75" customHeight="1">
      <c r="A164" s="1" t="s">
        <v>2624</v>
      </c>
      <c r="B164" s="1" t="s">
        <v>2625</v>
      </c>
      <c r="C164" s="1">
        <v>2022.0</v>
      </c>
      <c r="D164" s="1" t="s">
        <v>2626</v>
      </c>
      <c r="E164" s="1" t="s">
        <v>2627</v>
      </c>
      <c r="F164" s="1" t="s">
        <v>2628</v>
      </c>
      <c r="H164" s="1" t="s">
        <v>1974</v>
      </c>
      <c r="I164" s="1" t="s">
        <v>1975</v>
      </c>
    </row>
    <row r="165" ht="15.75" customHeight="1">
      <c r="A165" s="1" t="s">
        <v>741</v>
      </c>
      <c r="B165" s="1" t="s">
        <v>2629</v>
      </c>
      <c r="C165" s="1">
        <v>2020.0</v>
      </c>
      <c r="D165" s="1" t="s">
        <v>2630</v>
      </c>
      <c r="E165" s="1" t="s">
        <v>744</v>
      </c>
      <c r="F165" s="1" t="s">
        <v>2631</v>
      </c>
      <c r="H165" s="1" t="s">
        <v>1974</v>
      </c>
      <c r="I165" s="1" t="s">
        <v>1975</v>
      </c>
    </row>
    <row r="166" ht="15.75" customHeight="1">
      <c r="A166" s="1" t="s">
        <v>2632</v>
      </c>
      <c r="B166" s="1" t="s">
        <v>2633</v>
      </c>
      <c r="C166" s="1">
        <v>2023.0</v>
      </c>
      <c r="D166" s="1" t="s">
        <v>101</v>
      </c>
      <c r="E166" s="1" t="s">
        <v>102</v>
      </c>
      <c r="F166" s="1" t="s">
        <v>2634</v>
      </c>
      <c r="G166" s="1">
        <v>2.0</v>
      </c>
      <c r="H166" s="1" t="s">
        <v>1974</v>
      </c>
      <c r="I166" s="1" t="s">
        <v>2101</v>
      </c>
    </row>
    <row r="167" ht="15.75" customHeight="1">
      <c r="A167" s="1" t="s">
        <v>2635</v>
      </c>
      <c r="B167" s="1" t="s">
        <v>2636</v>
      </c>
      <c r="C167" s="1">
        <v>2014.0</v>
      </c>
      <c r="D167" s="1" t="s">
        <v>2637</v>
      </c>
      <c r="E167" s="1" t="s">
        <v>2638</v>
      </c>
      <c r="F167" s="1" t="s">
        <v>2639</v>
      </c>
      <c r="G167" s="1">
        <v>1.0</v>
      </c>
      <c r="H167" s="1" t="s">
        <v>1974</v>
      </c>
      <c r="I167" s="1" t="s">
        <v>1975</v>
      </c>
    </row>
    <row r="168" ht="15.75" customHeight="1">
      <c r="A168" s="1" t="s">
        <v>2640</v>
      </c>
      <c r="B168" s="1" t="s">
        <v>2641</v>
      </c>
      <c r="C168" s="1">
        <v>2020.0</v>
      </c>
      <c r="D168" s="1" t="s">
        <v>129</v>
      </c>
      <c r="E168" s="1" t="s">
        <v>2642</v>
      </c>
      <c r="F168" s="1" t="s">
        <v>2643</v>
      </c>
      <c r="G168" s="1">
        <v>54.0</v>
      </c>
      <c r="H168" s="1" t="s">
        <v>1974</v>
      </c>
      <c r="I168" s="1" t="s">
        <v>2101</v>
      </c>
    </row>
    <row r="169" ht="15.75" customHeight="1">
      <c r="A169" s="1" t="s">
        <v>2644</v>
      </c>
      <c r="B169" s="1" t="s">
        <v>2645</v>
      </c>
      <c r="C169" s="1">
        <v>2003.0</v>
      </c>
      <c r="D169" s="1" t="s">
        <v>2646</v>
      </c>
      <c r="E169" s="1" t="s">
        <v>2647</v>
      </c>
      <c r="F169" s="1" t="s">
        <v>2648</v>
      </c>
      <c r="G169" s="1">
        <v>25.0</v>
      </c>
      <c r="H169" s="1" t="s">
        <v>1974</v>
      </c>
      <c r="I169" s="1" t="s">
        <v>1975</v>
      </c>
    </row>
    <row r="170" ht="15.75" customHeight="1">
      <c r="A170" s="1" t="s">
        <v>2649</v>
      </c>
      <c r="B170" s="1" t="s">
        <v>2650</v>
      </c>
      <c r="C170" s="1">
        <v>2000.0</v>
      </c>
      <c r="D170" s="1" t="s">
        <v>2651</v>
      </c>
      <c r="E170" s="1" t="s">
        <v>2652</v>
      </c>
      <c r="F170" s="1" t="s">
        <v>2653</v>
      </c>
      <c r="G170" s="1">
        <v>16.0</v>
      </c>
      <c r="H170" s="1" t="s">
        <v>1974</v>
      </c>
      <c r="I170" s="1" t="s">
        <v>1975</v>
      </c>
    </row>
    <row r="171" ht="15.75" customHeight="1">
      <c r="A171" s="1" t="s">
        <v>2654</v>
      </c>
      <c r="B171" s="1" t="s">
        <v>2655</v>
      </c>
      <c r="C171" s="1">
        <v>2018.0</v>
      </c>
      <c r="D171" s="1" t="s">
        <v>2656</v>
      </c>
      <c r="E171" s="1" t="s">
        <v>2657</v>
      </c>
      <c r="F171" s="1" t="s">
        <v>2658</v>
      </c>
      <c r="G171" s="1">
        <v>7.0</v>
      </c>
      <c r="H171" s="1" t="s">
        <v>1974</v>
      </c>
      <c r="I171" s="1" t="s">
        <v>1975</v>
      </c>
    </row>
    <row r="172" ht="15.75" customHeight="1">
      <c r="A172" s="1" t="s">
        <v>2659</v>
      </c>
      <c r="B172" s="1" t="s">
        <v>2660</v>
      </c>
      <c r="C172" s="1">
        <v>2000.0</v>
      </c>
      <c r="D172" s="1" t="s">
        <v>2661</v>
      </c>
      <c r="E172" s="1" t="s">
        <v>2662</v>
      </c>
      <c r="F172" s="1" t="s">
        <v>2663</v>
      </c>
      <c r="G172" s="1">
        <v>3.0</v>
      </c>
      <c r="H172" s="1" t="s">
        <v>1974</v>
      </c>
      <c r="I172" s="1" t="s">
        <v>1975</v>
      </c>
    </row>
    <row r="173" ht="15.75" customHeight="1">
      <c r="A173" s="1" t="s">
        <v>2664</v>
      </c>
      <c r="B173" s="1" t="s">
        <v>2665</v>
      </c>
      <c r="C173" s="1">
        <v>2018.0</v>
      </c>
      <c r="D173" s="1" t="s">
        <v>2666</v>
      </c>
      <c r="E173" s="1" t="s">
        <v>2667</v>
      </c>
      <c r="F173" s="1" t="s">
        <v>2668</v>
      </c>
      <c r="G173" s="1">
        <v>4.0</v>
      </c>
      <c r="H173" s="1" t="s">
        <v>1974</v>
      </c>
      <c r="I173" s="1" t="s">
        <v>1975</v>
      </c>
    </row>
    <row r="174" ht="15.75" customHeight="1">
      <c r="A174" s="1" t="s">
        <v>2669</v>
      </c>
      <c r="B174" s="1" t="s">
        <v>2670</v>
      </c>
      <c r="C174" s="1">
        <v>2023.0</v>
      </c>
      <c r="D174" s="1" t="s">
        <v>2671</v>
      </c>
      <c r="E174" s="1" t="s">
        <v>2672</v>
      </c>
      <c r="F174" s="1" t="s">
        <v>2673</v>
      </c>
      <c r="G174" s="1">
        <v>8.0</v>
      </c>
      <c r="H174" s="1" t="s">
        <v>1974</v>
      </c>
      <c r="I174" s="1" t="s">
        <v>2101</v>
      </c>
    </row>
    <row r="175" ht="15.75" customHeight="1">
      <c r="A175" s="1" t="s">
        <v>548</v>
      </c>
      <c r="B175" s="1" t="s">
        <v>2674</v>
      </c>
      <c r="C175" s="1">
        <v>2018.0</v>
      </c>
      <c r="D175" s="1" t="s">
        <v>2675</v>
      </c>
      <c r="E175" s="1" t="s">
        <v>551</v>
      </c>
      <c r="F175" s="1" t="s">
        <v>2676</v>
      </c>
      <c r="H175" s="1" t="s">
        <v>1974</v>
      </c>
      <c r="I175" s="1" t="s">
        <v>1975</v>
      </c>
    </row>
    <row r="176" ht="15.75" customHeight="1">
      <c r="A176" s="1" t="s">
        <v>2677</v>
      </c>
      <c r="B176" s="1" t="s">
        <v>2678</v>
      </c>
      <c r="C176" s="1">
        <v>2019.0</v>
      </c>
      <c r="D176" s="1" t="s">
        <v>2679</v>
      </c>
      <c r="E176" s="1" t="s">
        <v>2680</v>
      </c>
      <c r="F176" s="1" t="s">
        <v>2681</v>
      </c>
      <c r="G176" s="1">
        <v>16.0</v>
      </c>
      <c r="H176" s="1" t="s">
        <v>1974</v>
      </c>
      <c r="I176" s="1" t="s">
        <v>1975</v>
      </c>
    </row>
    <row r="177" ht="15.75" customHeight="1">
      <c r="A177" s="1" t="s">
        <v>2682</v>
      </c>
      <c r="B177" s="1" t="s">
        <v>2683</v>
      </c>
      <c r="C177" s="1">
        <v>2020.0</v>
      </c>
      <c r="D177" s="1" t="s">
        <v>2684</v>
      </c>
      <c r="E177" s="1" t="s">
        <v>2685</v>
      </c>
      <c r="F177" s="1" t="s">
        <v>2686</v>
      </c>
      <c r="G177" s="1">
        <v>1.0</v>
      </c>
      <c r="H177" s="1" t="s">
        <v>1974</v>
      </c>
      <c r="I177" s="1" t="s">
        <v>1975</v>
      </c>
    </row>
    <row r="178" ht="15.75" customHeight="1">
      <c r="A178" s="1" t="s">
        <v>2687</v>
      </c>
      <c r="B178" s="1" t="s">
        <v>2688</v>
      </c>
      <c r="C178" s="1">
        <v>2022.0</v>
      </c>
      <c r="D178" s="1" t="s">
        <v>2689</v>
      </c>
      <c r="E178" s="1" t="s">
        <v>2690</v>
      </c>
      <c r="F178" s="1" t="s">
        <v>2691</v>
      </c>
      <c r="G178" s="1">
        <v>1.0</v>
      </c>
      <c r="H178" s="1" t="s">
        <v>1974</v>
      </c>
      <c r="I178" s="1" t="s">
        <v>1975</v>
      </c>
    </row>
    <row r="179" ht="15.75" customHeight="1">
      <c r="A179" s="1" t="s">
        <v>2692</v>
      </c>
      <c r="B179" s="1" t="s">
        <v>2693</v>
      </c>
      <c r="C179" s="1">
        <v>2016.0</v>
      </c>
      <c r="D179" s="1" t="s">
        <v>1382</v>
      </c>
      <c r="E179" s="1" t="s">
        <v>1383</v>
      </c>
      <c r="F179" s="1" t="s">
        <v>2694</v>
      </c>
      <c r="G179" s="1">
        <v>23.0</v>
      </c>
      <c r="H179" s="1" t="s">
        <v>1974</v>
      </c>
      <c r="I179" s="1" t="s">
        <v>2101</v>
      </c>
    </row>
    <row r="180" ht="15.75" customHeight="1">
      <c r="A180" s="1" t="s">
        <v>2695</v>
      </c>
      <c r="B180" s="1" t="s">
        <v>2696</v>
      </c>
      <c r="C180" s="1">
        <v>2023.0</v>
      </c>
      <c r="D180" s="1" t="s">
        <v>2697</v>
      </c>
      <c r="E180" s="1" t="s">
        <v>2698</v>
      </c>
      <c r="F180" s="1" t="s">
        <v>2699</v>
      </c>
      <c r="H180" s="1" t="s">
        <v>1974</v>
      </c>
      <c r="I180" s="1" t="s">
        <v>1975</v>
      </c>
    </row>
    <row r="181" ht="15.75" customHeight="1">
      <c r="A181" s="1" t="s">
        <v>2700</v>
      </c>
      <c r="B181" s="1" t="s">
        <v>2701</v>
      </c>
      <c r="C181" s="1">
        <v>1997.0</v>
      </c>
      <c r="D181" s="1" t="s">
        <v>2702</v>
      </c>
      <c r="E181" s="1" t="s">
        <v>2703</v>
      </c>
      <c r="F181" s="1" t="s">
        <v>2704</v>
      </c>
      <c r="G181" s="1">
        <v>1.0</v>
      </c>
      <c r="H181" s="1" t="s">
        <v>1974</v>
      </c>
      <c r="I181" s="1" t="s">
        <v>1975</v>
      </c>
    </row>
    <row r="182" ht="15.75" customHeight="1">
      <c r="A182" s="1" t="s">
        <v>2705</v>
      </c>
      <c r="B182" s="1" t="s">
        <v>2641</v>
      </c>
      <c r="C182" s="1">
        <v>2019.0</v>
      </c>
      <c r="D182" s="1" t="s">
        <v>2706</v>
      </c>
      <c r="E182" s="1" t="s">
        <v>2707</v>
      </c>
      <c r="F182" s="1" t="s">
        <v>2708</v>
      </c>
      <c r="G182" s="1">
        <v>7.0</v>
      </c>
      <c r="H182" s="1" t="s">
        <v>1974</v>
      </c>
      <c r="I182" s="1" t="s">
        <v>1975</v>
      </c>
    </row>
    <row r="183" ht="15.75" customHeight="1">
      <c r="A183" s="1" t="s">
        <v>2709</v>
      </c>
      <c r="B183" s="1" t="s">
        <v>2710</v>
      </c>
      <c r="C183" s="1">
        <v>2022.0</v>
      </c>
      <c r="D183" s="1" t="s">
        <v>129</v>
      </c>
      <c r="E183" s="1" t="s">
        <v>2711</v>
      </c>
      <c r="F183" s="1" t="s">
        <v>2712</v>
      </c>
      <c r="G183" s="1">
        <v>7.0</v>
      </c>
      <c r="H183" s="1" t="s">
        <v>1974</v>
      </c>
      <c r="I183" s="1" t="s">
        <v>2101</v>
      </c>
    </row>
    <row r="184" ht="15.75" customHeight="1">
      <c r="A184" s="1" t="s">
        <v>2713</v>
      </c>
      <c r="B184" s="1" t="s">
        <v>2714</v>
      </c>
      <c r="C184" s="1">
        <v>2019.0</v>
      </c>
      <c r="D184" s="1" t="s">
        <v>2715</v>
      </c>
      <c r="E184" s="1" t="s">
        <v>2716</v>
      </c>
      <c r="F184" s="1" t="s">
        <v>2717</v>
      </c>
      <c r="G184" s="1">
        <v>3.0</v>
      </c>
      <c r="H184" s="1" t="s">
        <v>1974</v>
      </c>
      <c r="I184" s="1" t="s">
        <v>1975</v>
      </c>
    </row>
    <row r="185" ht="15.75" customHeight="1">
      <c r="A185" s="1" t="s">
        <v>2718</v>
      </c>
      <c r="B185" s="1" t="s">
        <v>2719</v>
      </c>
      <c r="C185" s="1">
        <v>2017.0</v>
      </c>
      <c r="D185" s="1" t="s">
        <v>2720</v>
      </c>
      <c r="E185" s="1" t="s">
        <v>2721</v>
      </c>
      <c r="F185" s="1" t="s">
        <v>2722</v>
      </c>
      <c r="G185" s="1">
        <v>14.0</v>
      </c>
      <c r="H185" s="1" t="s">
        <v>1974</v>
      </c>
      <c r="I185" s="1" t="s">
        <v>1975</v>
      </c>
    </row>
    <row r="186" ht="15.75" customHeight="1">
      <c r="A186" s="1" t="s">
        <v>2723</v>
      </c>
      <c r="B186" s="1" t="s">
        <v>2724</v>
      </c>
      <c r="C186" s="1">
        <v>2008.0</v>
      </c>
      <c r="D186" s="1" t="s">
        <v>2725</v>
      </c>
      <c r="E186" s="1" t="s">
        <v>2726</v>
      </c>
      <c r="F186" s="1" t="s">
        <v>2727</v>
      </c>
      <c r="G186" s="1">
        <v>30.0</v>
      </c>
      <c r="H186" s="1" t="s">
        <v>1974</v>
      </c>
      <c r="I186" s="1" t="s">
        <v>1975</v>
      </c>
    </row>
    <row r="187" ht="15.75" customHeight="1">
      <c r="A187" s="1" t="s">
        <v>2728</v>
      </c>
      <c r="B187" s="1" t="s">
        <v>2729</v>
      </c>
      <c r="C187" s="1">
        <v>2020.0</v>
      </c>
      <c r="D187" s="1" t="s">
        <v>2684</v>
      </c>
      <c r="E187" s="1" t="s">
        <v>2730</v>
      </c>
      <c r="F187" s="1" t="s">
        <v>2731</v>
      </c>
      <c r="G187" s="1">
        <v>1.0</v>
      </c>
      <c r="H187" s="1" t="s">
        <v>1974</v>
      </c>
      <c r="I187" s="1" t="s">
        <v>1975</v>
      </c>
    </row>
    <row r="188" ht="15.75" customHeight="1">
      <c r="A188" s="1" t="s">
        <v>2732</v>
      </c>
      <c r="B188" s="1" t="s">
        <v>2733</v>
      </c>
      <c r="C188" s="1">
        <v>2023.0</v>
      </c>
      <c r="D188" s="1" t="s">
        <v>2022</v>
      </c>
      <c r="E188" s="1" t="s">
        <v>2734</v>
      </c>
      <c r="F188" s="1" t="s">
        <v>2735</v>
      </c>
      <c r="H188" s="1" t="s">
        <v>1974</v>
      </c>
      <c r="I188" s="1" t="s">
        <v>1975</v>
      </c>
    </row>
    <row r="189" ht="15.75" customHeight="1">
      <c r="A189" s="1" t="s">
        <v>2736</v>
      </c>
      <c r="B189" s="1" t="s">
        <v>2737</v>
      </c>
      <c r="C189" s="1">
        <v>2019.0</v>
      </c>
      <c r="D189" s="1" t="s">
        <v>2738</v>
      </c>
      <c r="F189" s="1" t="s">
        <v>2739</v>
      </c>
      <c r="H189" s="1" t="s">
        <v>1974</v>
      </c>
      <c r="I189" s="1" t="s">
        <v>1975</v>
      </c>
    </row>
    <row r="190" ht="15.75" customHeight="1">
      <c r="A190" s="1" t="s">
        <v>2740</v>
      </c>
      <c r="B190" s="1" t="s">
        <v>2741</v>
      </c>
      <c r="C190" s="1">
        <v>2024.0</v>
      </c>
      <c r="D190" s="1" t="s">
        <v>2742</v>
      </c>
      <c r="E190" s="1" t="s">
        <v>2743</v>
      </c>
      <c r="F190" s="1" t="s">
        <v>2744</v>
      </c>
      <c r="H190" s="1" t="s">
        <v>1974</v>
      </c>
      <c r="I190" s="1" t="s">
        <v>2101</v>
      </c>
    </row>
    <row r="191" ht="15.75" customHeight="1">
      <c r="A191" s="1" t="s">
        <v>2745</v>
      </c>
      <c r="B191" s="1" t="s">
        <v>2746</v>
      </c>
      <c r="C191" s="1">
        <v>1994.0</v>
      </c>
      <c r="D191" s="1" t="s">
        <v>2747</v>
      </c>
      <c r="E191" s="1" t="s">
        <v>2748</v>
      </c>
      <c r="F191" s="1" t="s">
        <v>2749</v>
      </c>
      <c r="H191" s="1" t="s">
        <v>1974</v>
      </c>
      <c r="I191" s="1" t="s">
        <v>1975</v>
      </c>
    </row>
    <row r="192" ht="15.75" customHeight="1">
      <c r="A192" s="1" t="s">
        <v>2750</v>
      </c>
      <c r="B192" s="1" t="s">
        <v>2751</v>
      </c>
      <c r="C192" s="1">
        <v>2021.0</v>
      </c>
      <c r="D192" s="1" t="s">
        <v>2752</v>
      </c>
      <c r="E192" s="1" t="s">
        <v>2753</v>
      </c>
      <c r="F192" s="1" t="s">
        <v>2754</v>
      </c>
      <c r="G192" s="1">
        <v>1.0</v>
      </c>
      <c r="H192" s="1" t="s">
        <v>1974</v>
      </c>
      <c r="I192" s="1" t="s">
        <v>1975</v>
      </c>
    </row>
    <row r="193" ht="15.75" customHeight="1">
      <c r="A193" s="1" t="s">
        <v>2755</v>
      </c>
      <c r="B193" s="1" t="s">
        <v>2756</v>
      </c>
      <c r="C193" s="1">
        <v>1994.0</v>
      </c>
      <c r="D193" s="1" t="s">
        <v>2757</v>
      </c>
      <c r="E193" s="1" t="s">
        <v>2758</v>
      </c>
      <c r="F193" s="1" t="s">
        <v>2759</v>
      </c>
      <c r="G193" s="1">
        <v>3.0</v>
      </c>
      <c r="H193" s="1" t="s">
        <v>1974</v>
      </c>
      <c r="I193" s="1" t="s">
        <v>1975</v>
      </c>
    </row>
    <row r="194" ht="15.75" customHeight="1">
      <c r="A194" s="1" t="s">
        <v>2760</v>
      </c>
      <c r="B194" s="1" t="s">
        <v>2761</v>
      </c>
      <c r="C194" s="1">
        <v>2018.0</v>
      </c>
      <c r="D194" s="1" t="s">
        <v>2762</v>
      </c>
      <c r="E194" s="1" t="s">
        <v>2763</v>
      </c>
      <c r="F194" s="1" t="s">
        <v>2764</v>
      </c>
      <c r="G194" s="1">
        <v>2.0</v>
      </c>
      <c r="H194" s="1" t="s">
        <v>1974</v>
      </c>
      <c r="I194" s="1" t="s">
        <v>1975</v>
      </c>
    </row>
    <row r="195" ht="15.75" customHeight="1">
      <c r="A195" s="1" t="s">
        <v>2765</v>
      </c>
      <c r="B195" s="1" t="s">
        <v>2766</v>
      </c>
      <c r="C195" s="1">
        <v>2013.0</v>
      </c>
      <c r="D195" s="1" t="s">
        <v>73</v>
      </c>
      <c r="E195" s="1" t="s">
        <v>2767</v>
      </c>
      <c r="F195" s="1" t="s">
        <v>2768</v>
      </c>
      <c r="G195" s="1">
        <v>6.0</v>
      </c>
      <c r="H195" s="1" t="s">
        <v>1974</v>
      </c>
      <c r="I195" s="1" t="s">
        <v>2101</v>
      </c>
    </row>
    <row r="196" ht="15.75" customHeight="1">
      <c r="A196" s="1" t="s">
        <v>2769</v>
      </c>
      <c r="B196" s="1" t="s">
        <v>2523</v>
      </c>
      <c r="C196" s="1">
        <v>2012.0</v>
      </c>
      <c r="D196" s="1" t="s">
        <v>2524</v>
      </c>
      <c r="F196" s="1" t="s">
        <v>2770</v>
      </c>
      <c r="H196" s="1" t="s">
        <v>1974</v>
      </c>
      <c r="I196" s="1" t="s">
        <v>1975</v>
      </c>
    </row>
    <row r="197" ht="15.75" customHeight="1">
      <c r="A197" s="1" t="s">
        <v>104</v>
      </c>
      <c r="B197" s="1" t="s">
        <v>2771</v>
      </c>
      <c r="C197" s="1">
        <v>2024.0</v>
      </c>
      <c r="D197" s="1" t="s">
        <v>106</v>
      </c>
      <c r="E197" s="1" t="s">
        <v>107</v>
      </c>
      <c r="F197" s="1" t="s">
        <v>2772</v>
      </c>
      <c r="H197" s="1" t="s">
        <v>1974</v>
      </c>
      <c r="I197" s="1" t="s">
        <v>2101</v>
      </c>
    </row>
    <row r="198" ht="15.75" customHeight="1">
      <c r="A198" s="1" t="s">
        <v>2773</v>
      </c>
      <c r="B198" s="1" t="s">
        <v>2774</v>
      </c>
      <c r="C198" s="1">
        <v>2023.0</v>
      </c>
      <c r="D198" s="1" t="s">
        <v>2775</v>
      </c>
      <c r="E198" s="1" t="s">
        <v>2776</v>
      </c>
      <c r="F198" s="1" t="s">
        <v>2777</v>
      </c>
      <c r="H198" s="1" t="s">
        <v>1974</v>
      </c>
      <c r="I198" s="1" t="s">
        <v>1975</v>
      </c>
    </row>
    <row r="199" ht="15.75" customHeight="1">
      <c r="A199" s="1" t="s">
        <v>2778</v>
      </c>
      <c r="B199" s="1" t="s">
        <v>2779</v>
      </c>
      <c r="C199" s="1">
        <v>2018.0</v>
      </c>
      <c r="D199" s="1" t="s">
        <v>2656</v>
      </c>
      <c r="E199" s="1" t="s">
        <v>2780</v>
      </c>
      <c r="F199" s="1" t="s">
        <v>2781</v>
      </c>
      <c r="G199" s="1">
        <v>13.0</v>
      </c>
      <c r="H199" s="1" t="s">
        <v>1974</v>
      </c>
      <c r="I199" s="1" t="s">
        <v>1975</v>
      </c>
    </row>
    <row r="200" ht="15.75" customHeight="1">
      <c r="A200" s="1" t="s">
        <v>2782</v>
      </c>
      <c r="B200" s="1" t="s">
        <v>2783</v>
      </c>
      <c r="C200" s="1">
        <v>2018.0</v>
      </c>
      <c r="D200" s="1" t="s">
        <v>2784</v>
      </c>
      <c r="E200" s="1" t="s">
        <v>2785</v>
      </c>
      <c r="F200" s="1" t="s">
        <v>2786</v>
      </c>
      <c r="G200" s="1">
        <v>9.0</v>
      </c>
      <c r="H200" s="1" t="s">
        <v>1974</v>
      </c>
      <c r="I200" s="1" t="s">
        <v>1975</v>
      </c>
    </row>
    <row r="201" ht="15.75" customHeight="1">
      <c r="A201" s="1" t="s">
        <v>553</v>
      </c>
      <c r="B201" s="1" t="s">
        <v>2787</v>
      </c>
      <c r="C201" s="1">
        <v>2018.0</v>
      </c>
      <c r="D201" s="1" t="s">
        <v>2666</v>
      </c>
      <c r="E201" s="1" t="s">
        <v>556</v>
      </c>
      <c r="F201" s="1" t="s">
        <v>2788</v>
      </c>
      <c r="G201" s="1">
        <v>3.0</v>
      </c>
      <c r="H201" s="1" t="s">
        <v>1974</v>
      </c>
      <c r="I201" s="1" t="s">
        <v>1975</v>
      </c>
    </row>
    <row r="202" ht="15.75" customHeight="1">
      <c r="A202" s="1" t="s">
        <v>2789</v>
      </c>
      <c r="B202" s="1" t="s">
        <v>2790</v>
      </c>
      <c r="C202" s="1">
        <v>1982.0</v>
      </c>
      <c r="D202" s="1" t="s">
        <v>2791</v>
      </c>
      <c r="E202" s="1" t="s">
        <v>2792</v>
      </c>
      <c r="F202" s="1" t="s">
        <v>2793</v>
      </c>
      <c r="G202" s="1">
        <v>4.0</v>
      </c>
      <c r="H202" s="1" t="s">
        <v>1974</v>
      </c>
      <c r="I202" s="1" t="s">
        <v>1975</v>
      </c>
    </row>
    <row r="203" ht="15.75" customHeight="1">
      <c r="A203" s="1" t="s">
        <v>2794</v>
      </c>
      <c r="B203" s="1" t="s">
        <v>2795</v>
      </c>
      <c r="C203" s="1">
        <v>2023.0</v>
      </c>
      <c r="D203" s="1" t="s">
        <v>2796</v>
      </c>
      <c r="E203" s="1" t="s">
        <v>2797</v>
      </c>
      <c r="F203" s="1" t="s">
        <v>2798</v>
      </c>
      <c r="H203" s="1" t="s">
        <v>1974</v>
      </c>
      <c r="I203" s="1" t="s">
        <v>1975</v>
      </c>
    </row>
    <row r="204" ht="15.75" customHeight="1">
      <c r="A204" s="1" t="s">
        <v>2799</v>
      </c>
      <c r="B204" s="1" t="s">
        <v>2800</v>
      </c>
      <c r="C204" s="1">
        <v>1995.0</v>
      </c>
      <c r="D204" s="1" t="s">
        <v>2801</v>
      </c>
      <c r="E204" s="1" t="s">
        <v>2802</v>
      </c>
      <c r="F204" s="1" t="s">
        <v>2803</v>
      </c>
      <c r="H204" s="1" t="s">
        <v>1974</v>
      </c>
      <c r="I204" s="1" t="s">
        <v>1975</v>
      </c>
    </row>
    <row r="205" ht="15.75" customHeight="1">
      <c r="A205" s="1" t="s">
        <v>2804</v>
      </c>
      <c r="B205" s="1" t="s">
        <v>2805</v>
      </c>
      <c r="C205" s="1">
        <v>2022.0</v>
      </c>
      <c r="D205" s="1" t="s">
        <v>2012</v>
      </c>
      <c r="E205" s="1" t="s">
        <v>2806</v>
      </c>
      <c r="F205" s="1" t="s">
        <v>2807</v>
      </c>
      <c r="H205" s="1" t="s">
        <v>1974</v>
      </c>
      <c r="I205" s="1" t="s">
        <v>1975</v>
      </c>
    </row>
    <row r="206" ht="15.75" customHeight="1">
      <c r="A206" s="1" t="s">
        <v>2808</v>
      </c>
      <c r="B206" s="1" t="s">
        <v>2809</v>
      </c>
      <c r="C206" s="1">
        <v>2020.0</v>
      </c>
      <c r="D206" s="1" t="s">
        <v>2810</v>
      </c>
      <c r="E206" s="1" t="s">
        <v>2811</v>
      </c>
      <c r="F206" s="1" t="s">
        <v>2812</v>
      </c>
      <c r="G206" s="1">
        <v>8.0</v>
      </c>
      <c r="H206" s="1" t="s">
        <v>1974</v>
      </c>
      <c r="I206" s="1" t="s">
        <v>1975</v>
      </c>
    </row>
    <row r="207" ht="15.75" customHeight="1">
      <c r="A207" s="1" t="s">
        <v>2813</v>
      </c>
      <c r="B207" s="1" t="s">
        <v>2814</v>
      </c>
      <c r="C207" s="1">
        <v>1998.0</v>
      </c>
      <c r="D207" s="1" t="s">
        <v>2815</v>
      </c>
      <c r="E207" s="1" t="s">
        <v>2816</v>
      </c>
      <c r="F207" s="1" t="s">
        <v>2817</v>
      </c>
      <c r="G207" s="1">
        <v>8.0</v>
      </c>
      <c r="H207" s="1" t="s">
        <v>1974</v>
      </c>
      <c r="I207" s="1" t="s">
        <v>1975</v>
      </c>
    </row>
    <row r="208" ht="15.75" customHeight="1">
      <c r="A208" s="1" t="s">
        <v>1605</v>
      </c>
      <c r="B208" s="1" t="s">
        <v>2818</v>
      </c>
      <c r="C208" s="1">
        <v>2009.0</v>
      </c>
      <c r="D208" s="1" t="s">
        <v>2819</v>
      </c>
      <c r="E208" s="1" t="s">
        <v>1608</v>
      </c>
      <c r="F208" s="1" t="s">
        <v>2820</v>
      </c>
      <c r="H208" s="1" t="s">
        <v>1974</v>
      </c>
      <c r="I208" s="1" t="s">
        <v>1975</v>
      </c>
    </row>
    <row r="209" ht="15.75" customHeight="1">
      <c r="A209" s="1" t="s">
        <v>2821</v>
      </c>
      <c r="B209" s="1" t="s">
        <v>2822</v>
      </c>
      <c r="C209" s="1">
        <v>2024.0</v>
      </c>
      <c r="D209" s="1" t="s">
        <v>2823</v>
      </c>
      <c r="E209" s="1" t="s">
        <v>2824</v>
      </c>
      <c r="F209" s="1" t="s">
        <v>2825</v>
      </c>
      <c r="H209" s="1" t="s">
        <v>1974</v>
      </c>
      <c r="I209" s="1" t="s">
        <v>2287</v>
      </c>
    </row>
    <row r="210" ht="15.75" customHeight="1">
      <c r="A210" s="1" t="s">
        <v>2826</v>
      </c>
      <c r="B210" s="1" t="s">
        <v>2827</v>
      </c>
      <c r="C210" s="1">
        <v>2006.0</v>
      </c>
      <c r="D210" s="1" t="s">
        <v>2828</v>
      </c>
      <c r="E210" s="1" t="s">
        <v>1670</v>
      </c>
      <c r="F210" s="1" t="s">
        <v>2829</v>
      </c>
      <c r="G210" s="1">
        <v>8.0</v>
      </c>
      <c r="H210" s="1" t="s">
        <v>1974</v>
      </c>
      <c r="I210" s="1" t="s">
        <v>1975</v>
      </c>
    </row>
    <row r="211" ht="15.75" customHeight="1">
      <c r="A211" s="1" t="s">
        <v>2830</v>
      </c>
      <c r="B211" s="1" t="s">
        <v>2831</v>
      </c>
      <c r="C211" s="1">
        <v>1991.0</v>
      </c>
      <c r="D211" s="1" t="s">
        <v>2832</v>
      </c>
      <c r="E211" s="1" t="s">
        <v>2833</v>
      </c>
      <c r="F211" s="1" t="s">
        <v>2834</v>
      </c>
      <c r="H211" s="1" t="s">
        <v>1974</v>
      </c>
      <c r="I211" s="1" t="s">
        <v>1975</v>
      </c>
    </row>
    <row r="212" ht="15.75" customHeight="1">
      <c r="A212" s="1" t="s">
        <v>2835</v>
      </c>
      <c r="B212" s="1" t="s">
        <v>2836</v>
      </c>
      <c r="C212" s="1">
        <v>2023.0</v>
      </c>
      <c r="D212" s="1" t="s">
        <v>2837</v>
      </c>
      <c r="E212" s="1" t="s">
        <v>2838</v>
      </c>
      <c r="F212" s="1" t="s">
        <v>2839</v>
      </c>
      <c r="H212" s="1" t="s">
        <v>1974</v>
      </c>
      <c r="I212" s="1" t="s">
        <v>1975</v>
      </c>
    </row>
    <row r="213" ht="15.75" customHeight="1">
      <c r="A213" s="1" t="s">
        <v>2840</v>
      </c>
      <c r="B213" s="1" t="s">
        <v>2841</v>
      </c>
      <c r="C213" s="1">
        <v>2000.0</v>
      </c>
      <c r="D213" s="1" t="s">
        <v>2842</v>
      </c>
      <c r="E213" s="1" t="s">
        <v>2843</v>
      </c>
      <c r="F213" s="1" t="s">
        <v>2844</v>
      </c>
      <c r="G213" s="1">
        <v>8.0</v>
      </c>
      <c r="H213" s="1" t="s">
        <v>1974</v>
      </c>
      <c r="I213" s="1" t="s">
        <v>1975</v>
      </c>
    </row>
    <row r="214" ht="15.75" customHeight="1">
      <c r="A214" s="1" t="s">
        <v>2845</v>
      </c>
      <c r="B214" s="1" t="s">
        <v>2846</v>
      </c>
      <c r="C214" s="1">
        <v>2022.0</v>
      </c>
      <c r="D214" s="1" t="s">
        <v>2847</v>
      </c>
      <c r="E214" s="1" t="s">
        <v>2848</v>
      </c>
      <c r="F214" s="1" t="s">
        <v>2849</v>
      </c>
      <c r="G214" s="1">
        <v>3.0</v>
      </c>
      <c r="H214" s="1" t="s">
        <v>1974</v>
      </c>
      <c r="I214" s="1" t="s">
        <v>1975</v>
      </c>
    </row>
    <row r="215" ht="15.75" customHeight="1">
      <c r="A215" s="1" t="s">
        <v>2850</v>
      </c>
      <c r="B215" s="1" t="s">
        <v>2851</v>
      </c>
      <c r="C215" s="1">
        <v>2021.0</v>
      </c>
      <c r="D215" s="1" t="s">
        <v>2852</v>
      </c>
      <c r="E215" s="1" t="s">
        <v>2853</v>
      </c>
      <c r="F215" s="1" t="s">
        <v>2854</v>
      </c>
      <c r="G215" s="1">
        <v>25.0</v>
      </c>
      <c r="H215" s="1" t="s">
        <v>1974</v>
      </c>
      <c r="I215" s="1" t="s">
        <v>2101</v>
      </c>
    </row>
    <row r="216" ht="15.75" customHeight="1">
      <c r="A216" s="1" t="s">
        <v>916</v>
      </c>
      <c r="B216" s="1" t="s">
        <v>2855</v>
      </c>
      <c r="C216" s="1">
        <v>2020.0</v>
      </c>
      <c r="D216" s="1" t="s">
        <v>129</v>
      </c>
      <c r="E216" s="1" t="s">
        <v>918</v>
      </c>
      <c r="F216" s="1" t="s">
        <v>2856</v>
      </c>
      <c r="G216" s="1">
        <v>19.0</v>
      </c>
      <c r="H216" s="1" t="s">
        <v>1974</v>
      </c>
      <c r="I216" s="1" t="s">
        <v>2101</v>
      </c>
    </row>
    <row r="217" ht="15.75" customHeight="1">
      <c r="A217" s="1" t="s">
        <v>2857</v>
      </c>
      <c r="B217" s="1" t="s">
        <v>2858</v>
      </c>
      <c r="C217" s="1">
        <v>2007.0</v>
      </c>
      <c r="D217" s="1" t="s">
        <v>2859</v>
      </c>
      <c r="E217" s="1" t="s">
        <v>2860</v>
      </c>
      <c r="F217" s="1" t="s">
        <v>2861</v>
      </c>
      <c r="G217" s="1">
        <v>1.0</v>
      </c>
      <c r="H217" s="1" t="s">
        <v>1974</v>
      </c>
      <c r="I217" s="1" t="s">
        <v>1975</v>
      </c>
    </row>
    <row r="218" ht="15.75" customHeight="1">
      <c r="A218" s="1" t="s">
        <v>2862</v>
      </c>
      <c r="B218" s="1" t="s">
        <v>2863</v>
      </c>
      <c r="C218" s="1">
        <v>2013.0</v>
      </c>
      <c r="D218" s="1" t="s">
        <v>2864</v>
      </c>
      <c r="E218" s="1" t="s">
        <v>2865</v>
      </c>
      <c r="F218" s="1" t="s">
        <v>2866</v>
      </c>
      <c r="H218" s="1" t="s">
        <v>1974</v>
      </c>
      <c r="I218" s="1" t="s">
        <v>1975</v>
      </c>
    </row>
    <row r="219" ht="15.75" customHeight="1">
      <c r="A219" s="1" t="s">
        <v>2867</v>
      </c>
      <c r="B219" s="1" t="s">
        <v>2868</v>
      </c>
      <c r="C219" s="1">
        <v>2022.0</v>
      </c>
      <c r="D219" s="1" t="s">
        <v>2869</v>
      </c>
      <c r="E219" s="1" t="s">
        <v>2870</v>
      </c>
      <c r="F219" s="1" t="s">
        <v>2871</v>
      </c>
      <c r="H219" s="1" t="s">
        <v>1974</v>
      </c>
      <c r="I219" s="1" t="s">
        <v>1975</v>
      </c>
    </row>
    <row r="220" ht="15.75" customHeight="1">
      <c r="A220" s="1" t="s">
        <v>2872</v>
      </c>
      <c r="B220" s="1" t="s">
        <v>2873</v>
      </c>
      <c r="C220" s="1">
        <v>2005.0</v>
      </c>
      <c r="D220" s="1" t="s">
        <v>2874</v>
      </c>
      <c r="E220" s="1" t="s">
        <v>2875</v>
      </c>
      <c r="F220" s="1" t="s">
        <v>2876</v>
      </c>
      <c r="G220" s="1">
        <v>21.0</v>
      </c>
      <c r="H220" s="1" t="s">
        <v>1974</v>
      </c>
      <c r="I220" s="1" t="s">
        <v>1975</v>
      </c>
    </row>
    <row r="221" ht="15.75" customHeight="1">
      <c r="A221" s="1" t="s">
        <v>2877</v>
      </c>
      <c r="B221" s="1" t="s">
        <v>2878</v>
      </c>
      <c r="C221" s="1">
        <v>2021.0</v>
      </c>
      <c r="D221" s="1" t="s">
        <v>2879</v>
      </c>
      <c r="E221" s="1" t="s">
        <v>2880</v>
      </c>
      <c r="F221" s="1" t="s">
        <v>2881</v>
      </c>
      <c r="G221" s="1">
        <v>10.0</v>
      </c>
      <c r="H221" s="1" t="s">
        <v>1974</v>
      </c>
      <c r="I221" s="1" t="s">
        <v>1975</v>
      </c>
    </row>
    <row r="222" ht="15.75" customHeight="1">
      <c r="A222" s="1" t="s">
        <v>2882</v>
      </c>
      <c r="B222" s="1" t="s">
        <v>2883</v>
      </c>
      <c r="C222" s="1">
        <v>2009.0</v>
      </c>
      <c r="D222" s="1" t="s">
        <v>2884</v>
      </c>
      <c r="E222" s="1" t="s">
        <v>2885</v>
      </c>
      <c r="F222" s="1" t="s">
        <v>2886</v>
      </c>
      <c r="G222" s="1">
        <v>4.0</v>
      </c>
      <c r="H222" s="1" t="s">
        <v>1974</v>
      </c>
      <c r="I222" s="1" t="s">
        <v>1975</v>
      </c>
    </row>
    <row r="223" ht="15.75" customHeight="1">
      <c r="A223" s="1" t="s">
        <v>396</v>
      </c>
      <c r="B223" s="1" t="s">
        <v>2887</v>
      </c>
      <c r="C223" s="1">
        <v>2024.0</v>
      </c>
      <c r="D223" s="1" t="s">
        <v>73</v>
      </c>
      <c r="E223" s="1" t="s">
        <v>398</v>
      </c>
      <c r="F223" s="1" t="s">
        <v>2888</v>
      </c>
      <c r="H223" s="1" t="s">
        <v>1974</v>
      </c>
      <c r="I223" s="1" t="s">
        <v>2889</v>
      </c>
    </row>
    <row r="224" ht="15.75" customHeight="1">
      <c r="A224" s="1" t="s">
        <v>2890</v>
      </c>
      <c r="B224" s="1" t="s">
        <v>2891</v>
      </c>
      <c r="C224" s="1">
        <v>2023.0</v>
      </c>
      <c r="D224" s="1" t="s">
        <v>2892</v>
      </c>
      <c r="E224" s="1" t="s">
        <v>2893</v>
      </c>
      <c r="F224" s="1" t="s">
        <v>2894</v>
      </c>
      <c r="H224" s="1" t="s">
        <v>1974</v>
      </c>
      <c r="I224" s="1" t="s">
        <v>2101</v>
      </c>
    </row>
    <row r="225" ht="15.75" customHeight="1">
      <c r="A225" s="1" t="s">
        <v>2895</v>
      </c>
      <c r="B225" s="1" t="s">
        <v>2896</v>
      </c>
      <c r="C225" s="1">
        <v>2020.0</v>
      </c>
      <c r="D225" s="1" t="s">
        <v>2897</v>
      </c>
      <c r="E225" s="1" t="s">
        <v>2898</v>
      </c>
      <c r="F225" s="1" t="s">
        <v>2899</v>
      </c>
      <c r="G225" s="1">
        <v>4.0</v>
      </c>
      <c r="H225" s="1" t="s">
        <v>1974</v>
      </c>
      <c r="I225" s="1" t="s">
        <v>1975</v>
      </c>
    </row>
    <row r="226" ht="15.75" customHeight="1">
      <c r="A226" s="1" t="s">
        <v>1156</v>
      </c>
      <c r="B226" s="1" t="s">
        <v>2900</v>
      </c>
      <c r="C226" s="1">
        <v>2014.0</v>
      </c>
      <c r="D226" s="1" t="s">
        <v>2901</v>
      </c>
      <c r="E226" s="1" t="s">
        <v>1158</v>
      </c>
      <c r="F226" s="1" t="s">
        <v>2902</v>
      </c>
      <c r="H226" s="1" t="s">
        <v>1974</v>
      </c>
      <c r="I226" s="1" t="s">
        <v>1975</v>
      </c>
    </row>
    <row r="227" ht="15.75" customHeight="1">
      <c r="A227" s="1" t="s">
        <v>2903</v>
      </c>
      <c r="B227" s="1" t="s">
        <v>2904</v>
      </c>
      <c r="C227" s="1">
        <v>2020.0</v>
      </c>
      <c r="D227" s="1" t="s">
        <v>767</v>
      </c>
      <c r="E227" s="1" t="s">
        <v>768</v>
      </c>
      <c r="F227" s="1" t="s">
        <v>2905</v>
      </c>
      <c r="G227" s="1">
        <v>9.0</v>
      </c>
      <c r="H227" s="1" t="s">
        <v>1974</v>
      </c>
      <c r="I227" s="1" t="s">
        <v>2101</v>
      </c>
    </row>
    <row r="228" ht="15.75" customHeight="1">
      <c r="A228" s="1" t="s">
        <v>2906</v>
      </c>
      <c r="B228" s="1" t="s">
        <v>2907</v>
      </c>
      <c r="C228" s="1">
        <v>2015.0</v>
      </c>
      <c r="D228" s="1" t="s">
        <v>2908</v>
      </c>
      <c r="E228" s="1" t="s">
        <v>2909</v>
      </c>
      <c r="F228" s="1" t="s">
        <v>2910</v>
      </c>
      <c r="H228" s="1" t="s">
        <v>1974</v>
      </c>
      <c r="I228" s="1" t="s">
        <v>1975</v>
      </c>
    </row>
    <row r="229" ht="15.75" customHeight="1">
      <c r="A229" s="1" t="s">
        <v>2911</v>
      </c>
      <c r="B229" s="1" t="s">
        <v>2912</v>
      </c>
      <c r="C229" s="1">
        <v>2016.0</v>
      </c>
      <c r="D229" s="1" t="s">
        <v>2913</v>
      </c>
      <c r="E229" s="1" t="s">
        <v>2914</v>
      </c>
      <c r="F229" s="1" t="s">
        <v>2915</v>
      </c>
      <c r="G229" s="1">
        <v>22.0</v>
      </c>
      <c r="H229" s="1" t="s">
        <v>1974</v>
      </c>
      <c r="I229" s="1" t="s">
        <v>2101</v>
      </c>
    </row>
    <row r="230" ht="15.75" customHeight="1">
      <c r="A230" s="1" t="s">
        <v>2916</v>
      </c>
      <c r="B230" s="1" t="s">
        <v>2917</v>
      </c>
      <c r="C230" s="1">
        <v>2020.0</v>
      </c>
      <c r="D230" s="1" t="s">
        <v>2918</v>
      </c>
      <c r="E230" s="1" t="s">
        <v>2919</v>
      </c>
      <c r="F230" s="1" t="s">
        <v>2920</v>
      </c>
      <c r="G230" s="1">
        <v>7.0</v>
      </c>
      <c r="H230" s="1" t="s">
        <v>1974</v>
      </c>
      <c r="I230" s="1" t="s">
        <v>1975</v>
      </c>
    </row>
    <row r="231" ht="15.75" customHeight="1">
      <c r="A231" s="1" t="s">
        <v>2921</v>
      </c>
      <c r="B231" s="1" t="s">
        <v>2922</v>
      </c>
      <c r="C231" s="1">
        <v>2021.0</v>
      </c>
      <c r="D231" s="1" t="s">
        <v>2923</v>
      </c>
      <c r="E231" s="1" t="s">
        <v>2924</v>
      </c>
      <c r="F231" s="1" t="s">
        <v>2925</v>
      </c>
      <c r="G231" s="1">
        <v>2.0</v>
      </c>
      <c r="H231" s="1" t="s">
        <v>1974</v>
      </c>
      <c r="I231" s="1" t="s">
        <v>1975</v>
      </c>
    </row>
    <row r="232" ht="15.75" customHeight="1">
      <c r="A232" s="1" t="s">
        <v>2926</v>
      </c>
      <c r="B232" s="1" t="s">
        <v>2927</v>
      </c>
      <c r="C232" s="1">
        <v>2016.0</v>
      </c>
      <c r="D232" s="1" t="s">
        <v>2928</v>
      </c>
      <c r="E232" s="1" t="s">
        <v>2929</v>
      </c>
      <c r="F232" s="1" t="s">
        <v>2930</v>
      </c>
      <c r="H232" s="1" t="s">
        <v>1974</v>
      </c>
      <c r="I232" s="1" t="s">
        <v>2101</v>
      </c>
    </row>
    <row r="233" ht="15.75" customHeight="1">
      <c r="A233" s="1" t="s">
        <v>2931</v>
      </c>
      <c r="B233" s="1" t="s">
        <v>2932</v>
      </c>
      <c r="C233" s="1">
        <v>2022.0</v>
      </c>
      <c r="D233" s="1" t="s">
        <v>73</v>
      </c>
      <c r="E233" s="1" t="s">
        <v>2933</v>
      </c>
      <c r="F233" s="1" t="s">
        <v>2934</v>
      </c>
      <c r="G233" s="1">
        <v>4.0</v>
      </c>
      <c r="H233" s="1" t="s">
        <v>1974</v>
      </c>
      <c r="I233" s="1" t="s">
        <v>2101</v>
      </c>
    </row>
    <row r="234" ht="15.75" customHeight="1">
      <c r="A234" s="1" t="s">
        <v>2935</v>
      </c>
      <c r="B234" s="1" t="s">
        <v>2936</v>
      </c>
      <c r="C234" s="1">
        <v>2020.0</v>
      </c>
      <c r="D234" s="1" t="s">
        <v>2937</v>
      </c>
      <c r="E234" s="1" t="s">
        <v>2938</v>
      </c>
      <c r="F234" s="1" t="s">
        <v>2939</v>
      </c>
      <c r="H234" s="1" t="s">
        <v>1974</v>
      </c>
      <c r="I234" s="1" t="s">
        <v>1975</v>
      </c>
    </row>
    <row r="235" ht="15.75" customHeight="1">
      <c r="A235" s="1" t="s">
        <v>2940</v>
      </c>
      <c r="B235" s="1" t="s">
        <v>2941</v>
      </c>
      <c r="C235" s="1">
        <v>2008.0</v>
      </c>
      <c r="D235" s="1" t="s">
        <v>2942</v>
      </c>
      <c r="E235" s="1" t="s">
        <v>2943</v>
      </c>
      <c r="F235" s="1" t="s">
        <v>2944</v>
      </c>
      <c r="G235" s="1">
        <v>3.0</v>
      </c>
      <c r="H235" s="1" t="s">
        <v>1974</v>
      </c>
      <c r="I235" s="1" t="s">
        <v>1975</v>
      </c>
    </row>
    <row r="236" ht="15.75" customHeight="1">
      <c r="A236" s="1" t="s">
        <v>2945</v>
      </c>
      <c r="B236" s="1" t="s">
        <v>2946</v>
      </c>
      <c r="C236" s="1">
        <v>2020.0</v>
      </c>
      <c r="D236" s="1" t="s">
        <v>2947</v>
      </c>
      <c r="E236" s="1" t="s">
        <v>2948</v>
      </c>
      <c r="F236" s="1" t="s">
        <v>2949</v>
      </c>
      <c r="G236" s="1">
        <v>1.0</v>
      </c>
      <c r="H236" s="1" t="s">
        <v>1974</v>
      </c>
      <c r="I236" s="1" t="s">
        <v>1975</v>
      </c>
    </row>
    <row r="237" ht="15.75" customHeight="1">
      <c r="A237" s="1" t="s">
        <v>1818</v>
      </c>
      <c r="B237" s="1" t="s">
        <v>2950</v>
      </c>
      <c r="C237" s="1">
        <v>2008.0</v>
      </c>
      <c r="D237" s="1" t="s">
        <v>2951</v>
      </c>
      <c r="E237" s="1" t="s">
        <v>1821</v>
      </c>
      <c r="F237" s="1" t="s">
        <v>2952</v>
      </c>
      <c r="G237" s="1">
        <v>1.0</v>
      </c>
      <c r="H237" s="1" t="s">
        <v>1974</v>
      </c>
      <c r="I237" s="1" t="s">
        <v>1975</v>
      </c>
    </row>
    <row r="238" ht="15.75" customHeight="1">
      <c r="A238" s="1" t="s">
        <v>2953</v>
      </c>
      <c r="B238" s="1" t="s">
        <v>2954</v>
      </c>
      <c r="C238" s="1">
        <v>2024.0</v>
      </c>
      <c r="D238" s="1" t="s">
        <v>2428</v>
      </c>
      <c r="E238" s="1" t="s">
        <v>2955</v>
      </c>
      <c r="F238" s="1" t="s">
        <v>2956</v>
      </c>
      <c r="G238" s="1">
        <v>5.0</v>
      </c>
      <c r="H238" s="1" t="s">
        <v>1974</v>
      </c>
      <c r="I238" s="1" t="s">
        <v>2101</v>
      </c>
    </row>
    <row r="239" ht="15.75" customHeight="1">
      <c r="A239" s="1" t="s">
        <v>2957</v>
      </c>
      <c r="B239" s="1" t="s">
        <v>2958</v>
      </c>
      <c r="C239" s="1">
        <v>1998.0</v>
      </c>
      <c r="D239" s="1" t="s">
        <v>2959</v>
      </c>
      <c r="E239" s="1" t="s">
        <v>2960</v>
      </c>
      <c r="F239" s="1" t="s">
        <v>2961</v>
      </c>
      <c r="G239" s="1">
        <v>4.0</v>
      </c>
      <c r="H239" s="1" t="s">
        <v>1974</v>
      </c>
      <c r="I239" s="1" t="s">
        <v>1975</v>
      </c>
    </row>
    <row r="240" ht="15.75" customHeight="1">
      <c r="A240" s="1" t="s">
        <v>146</v>
      </c>
      <c r="B240" s="1" t="s">
        <v>2962</v>
      </c>
      <c r="C240" s="1">
        <v>2023.0</v>
      </c>
      <c r="D240" s="1" t="s">
        <v>2963</v>
      </c>
      <c r="E240" s="1" t="s">
        <v>149</v>
      </c>
      <c r="F240" s="1" t="s">
        <v>2964</v>
      </c>
      <c r="H240" s="1" t="s">
        <v>1974</v>
      </c>
      <c r="I240" s="1" t="s">
        <v>1975</v>
      </c>
    </row>
    <row r="241" ht="15.75" customHeight="1">
      <c r="A241" s="1" t="s">
        <v>2965</v>
      </c>
      <c r="B241" s="1" t="s">
        <v>2966</v>
      </c>
      <c r="C241" s="1">
        <v>2018.0</v>
      </c>
      <c r="D241" s="1" t="s">
        <v>2967</v>
      </c>
      <c r="E241" s="1" t="s">
        <v>2968</v>
      </c>
      <c r="F241" s="1" t="s">
        <v>2969</v>
      </c>
      <c r="G241" s="1">
        <v>2.0</v>
      </c>
      <c r="H241" s="1" t="s">
        <v>1974</v>
      </c>
      <c r="I241" s="1" t="s">
        <v>1975</v>
      </c>
    </row>
    <row r="242" ht="15.75" customHeight="1">
      <c r="A242" s="1" t="s">
        <v>2970</v>
      </c>
      <c r="B242" s="1" t="s">
        <v>2971</v>
      </c>
      <c r="C242" s="1">
        <v>2015.0</v>
      </c>
      <c r="D242" s="1" t="s">
        <v>2972</v>
      </c>
      <c r="E242" s="1" t="s">
        <v>2973</v>
      </c>
      <c r="F242" s="1" t="s">
        <v>2974</v>
      </c>
      <c r="G242" s="1">
        <v>3.0</v>
      </c>
      <c r="H242" s="1" t="s">
        <v>1974</v>
      </c>
      <c r="I242" s="1" t="s">
        <v>1975</v>
      </c>
    </row>
    <row r="243" ht="15.75" customHeight="1">
      <c r="A243" s="1" t="s">
        <v>2975</v>
      </c>
      <c r="B243" s="1" t="s">
        <v>2976</v>
      </c>
      <c r="C243" s="1">
        <v>2012.0</v>
      </c>
      <c r="D243" s="1" t="s">
        <v>509</v>
      </c>
      <c r="F243" s="1" t="s">
        <v>2977</v>
      </c>
      <c r="H243" s="1" t="s">
        <v>2978</v>
      </c>
      <c r="I243" s="1" t="s">
        <v>2979</v>
      </c>
    </row>
    <row r="244" ht="15.75" customHeight="1">
      <c r="A244" s="1" t="s">
        <v>2980</v>
      </c>
      <c r="B244" s="1" t="s">
        <v>2981</v>
      </c>
      <c r="C244" s="1">
        <v>2023.0</v>
      </c>
      <c r="D244" s="1" t="s">
        <v>2022</v>
      </c>
      <c r="E244" s="1" t="s">
        <v>2982</v>
      </c>
      <c r="F244" s="1" t="s">
        <v>2983</v>
      </c>
      <c r="H244" s="1" t="s">
        <v>1974</v>
      </c>
      <c r="I244" s="1" t="s">
        <v>1975</v>
      </c>
    </row>
    <row r="245" ht="15.75" customHeight="1">
      <c r="A245" s="1" t="s">
        <v>452</v>
      </c>
      <c r="B245" s="1" t="s">
        <v>2984</v>
      </c>
      <c r="C245" s="1">
        <v>2022.0</v>
      </c>
      <c r="D245" s="1" t="s">
        <v>2985</v>
      </c>
      <c r="E245" s="1" t="s">
        <v>455</v>
      </c>
      <c r="F245" s="1" t="s">
        <v>2986</v>
      </c>
      <c r="H245" s="1" t="s">
        <v>1974</v>
      </c>
      <c r="I245" s="1" t="s">
        <v>1975</v>
      </c>
    </row>
    <row r="246" ht="15.75" customHeight="1">
      <c r="A246" s="1" t="s">
        <v>2987</v>
      </c>
      <c r="B246" s="1" t="s">
        <v>2988</v>
      </c>
      <c r="C246" s="1">
        <v>2008.0</v>
      </c>
      <c r="D246" s="1" t="s">
        <v>2989</v>
      </c>
      <c r="E246" s="1" t="s">
        <v>2990</v>
      </c>
      <c r="F246" s="1" t="s">
        <v>2991</v>
      </c>
      <c r="H246" s="1" t="s">
        <v>1974</v>
      </c>
      <c r="I246" s="1" t="s">
        <v>1975</v>
      </c>
    </row>
    <row r="247" ht="15.75" customHeight="1">
      <c r="A247" s="1" t="s">
        <v>2992</v>
      </c>
      <c r="B247" s="1" t="s">
        <v>2993</v>
      </c>
      <c r="C247" s="1">
        <v>2011.0</v>
      </c>
      <c r="D247" s="1" t="s">
        <v>2994</v>
      </c>
      <c r="E247" s="1" t="s">
        <v>2995</v>
      </c>
      <c r="F247" s="1" t="s">
        <v>2996</v>
      </c>
      <c r="H247" s="1" t="s">
        <v>1974</v>
      </c>
      <c r="I247" s="1" t="s">
        <v>1975</v>
      </c>
    </row>
    <row r="248" ht="15.75" customHeight="1">
      <c r="A248" s="1" t="s">
        <v>2997</v>
      </c>
      <c r="B248" s="1" t="s">
        <v>2998</v>
      </c>
      <c r="C248" s="1">
        <v>2013.0</v>
      </c>
      <c r="D248" s="1" t="s">
        <v>2999</v>
      </c>
      <c r="F248" s="1" t="s">
        <v>3000</v>
      </c>
      <c r="H248" s="1" t="s">
        <v>1974</v>
      </c>
      <c r="I248" s="1" t="s">
        <v>1975</v>
      </c>
    </row>
    <row r="249" ht="15.75" customHeight="1">
      <c r="A249" s="1" t="s">
        <v>3001</v>
      </c>
      <c r="B249" s="1" t="s">
        <v>3002</v>
      </c>
      <c r="C249" s="1">
        <v>2023.0</v>
      </c>
      <c r="D249" s="1" t="s">
        <v>3003</v>
      </c>
      <c r="E249" s="1" t="s">
        <v>3004</v>
      </c>
      <c r="F249" s="1" t="s">
        <v>3005</v>
      </c>
      <c r="H249" s="1" t="s">
        <v>1974</v>
      </c>
      <c r="I249" s="1" t="s">
        <v>1975</v>
      </c>
    </row>
    <row r="250" ht="15.75" customHeight="1">
      <c r="A250" s="1" t="s">
        <v>3006</v>
      </c>
      <c r="B250" s="1" t="s">
        <v>3007</v>
      </c>
      <c r="C250" s="1">
        <v>2008.0</v>
      </c>
      <c r="D250" s="1" t="s">
        <v>2209</v>
      </c>
      <c r="E250" s="1" t="s">
        <v>1541</v>
      </c>
      <c r="F250" s="1" t="s">
        <v>3008</v>
      </c>
      <c r="H250" s="1" t="s">
        <v>1974</v>
      </c>
      <c r="I250" s="1" t="s">
        <v>1975</v>
      </c>
    </row>
    <row r="251" ht="15.75" customHeight="1">
      <c r="A251" s="1" t="s">
        <v>3009</v>
      </c>
      <c r="B251" s="1" t="s">
        <v>3010</v>
      </c>
      <c r="C251" s="1">
        <v>2008.0</v>
      </c>
      <c r="D251" s="1" t="s">
        <v>1513</v>
      </c>
      <c r="E251" s="1" t="s">
        <v>1514</v>
      </c>
      <c r="F251" s="1" t="s">
        <v>3011</v>
      </c>
      <c r="G251" s="1">
        <v>113.0</v>
      </c>
      <c r="H251" s="1" t="s">
        <v>1974</v>
      </c>
      <c r="I251" s="1" t="s">
        <v>2287</v>
      </c>
    </row>
    <row r="252" ht="15.75" customHeight="1">
      <c r="A252" s="1" t="s">
        <v>3012</v>
      </c>
      <c r="B252" s="1" t="s">
        <v>3013</v>
      </c>
      <c r="C252" s="1">
        <v>2020.0</v>
      </c>
      <c r="D252" s="1" t="s">
        <v>3014</v>
      </c>
      <c r="E252" s="1" t="s">
        <v>3015</v>
      </c>
      <c r="F252" s="1" t="s">
        <v>3016</v>
      </c>
      <c r="G252" s="1">
        <v>7.0</v>
      </c>
      <c r="H252" s="1" t="s">
        <v>1974</v>
      </c>
      <c r="I252" s="1" t="s">
        <v>1975</v>
      </c>
    </row>
    <row r="253" ht="15.75" customHeight="1">
      <c r="A253" s="1" t="s">
        <v>3017</v>
      </c>
      <c r="B253" s="1" t="s">
        <v>3018</v>
      </c>
      <c r="C253" s="1">
        <v>2022.0</v>
      </c>
      <c r="D253" s="1" t="s">
        <v>3019</v>
      </c>
      <c r="E253" s="1" t="s">
        <v>3020</v>
      </c>
      <c r="F253" s="1" t="s">
        <v>3021</v>
      </c>
      <c r="H253" s="1" t="s">
        <v>1974</v>
      </c>
      <c r="I253" s="1" t="s">
        <v>1975</v>
      </c>
    </row>
    <row r="254" ht="15.75" customHeight="1">
      <c r="A254" s="1" t="s">
        <v>544</v>
      </c>
      <c r="B254" s="1" t="s">
        <v>3022</v>
      </c>
      <c r="C254" s="1">
        <v>2020.0</v>
      </c>
      <c r="D254" s="1" t="s">
        <v>129</v>
      </c>
      <c r="E254" s="1" t="s">
        <v>546</v>
      </c>
      <c r="F254" s="1" t="s">
        <v>3023</v>
      </c>
      <c r="G254" s="1">
        <v>12.0</v>
      </c>
      <c r="H254" s="1" t="s">
        <v>1974</v>
      </c>
      <c r="I254" s="1" t="s">
        <v>2101</v>
      </c>
    </row>
    <row r="255" ht="15.75" customHeight="1">
      <c r="A255" s="1" t="s">
        <v>3024</v>
      </c>
      <c r="B255" s="1" t="s">
        <v>3025</v>
      </c>
      <c r="C255" s="1">
        <v>2018.0</v>
      </c>
      <c r="D255" s="1" t="s">
        <v>3026</v>
      </c>
      <c r="E255" s="1" t="s">
        <v>3027</v>
      </c>
      <c r="F255" s="1" t="s">
        <v>3028</v>
      </c>
      <c r="G255" s="1">
        <v>19.0</v>
      </c>
      <c r="H255" s="1" t="s">
        <v>1974</v>
      </c>
      <c r="I255" s="1" t="s">
        <v>1975</v>
      </c>
    </row>
    <row r="256" ht="15.75" customHeight="1">
      <c r="A256" s="1" t="s">
        <v>3029</v>
      </c>
      <c r="B256" s="1" t="s">
        <v>3030</v>
      </c>
      <c r="C256" s="1">
        <v>2023.0</v>
      </c>
      <c r="D256" s="1" t="s">
        <v>2428</v>
      </c>
      <c r="E256" s="1" t="s">
        <v>3031</v>
      </c>
      <c r="F256" s="1" t="s">
        <v>3032</v>
      </c>
      <c r="G256" s="1">
        <v>2.0</v>
      </c>
      <c r="H256" s="1" t="s">
        <v>1974</v>
      </c>
      <c r="I256" s="1" t="s">
        <v>2101</v>
      </c>
    </row>
    <row r="257" ht="15.75" customHeight="1">
      <c r="A257" s="1" t="s">
        <v>3033</v>
      </c>
      <c r="B257" s="1" t="s">
        <v>3034</v>
      </c>
      <c r="C257" s="1">
        <v>2000.0</v>
      </c>
      <c r="D257" s="1" t="s">
        <v>3035</v>
      </c>
      <c r="E257" s="1" t="s">
        <v>3036</v>
      </c>
      <c r="F257" s="1" t="s">
        <v>3037</v>
      </c>
      <c r="G257" s="1">
        <v>3.0</v>
      </c>
      <c r="H257" s="1" t="s">
        <v>1974</v>
      </c>
      <c r="I257" s="1" t="s">
        <v>1975</v>
      </c>
    </row>
    <row r="258" ht="15.75" customHeight="1">
      <c r="A258" s="1" t="s">
        <v>1881</v>
      </c>
      <c r="B258" s="1" t="s">
        <v>3038</v>
      </c>
      <c r="C258" s="1">
        <v>1999.0</v>
      </c>
      <c r="D258" s="1" t="s">
        <v>1883</v>
      </c>
      <c r="E258" s="1" t="s">
        <v>1884</v>
      </c>
      <c r="F258" s="1" t="s">
        <v>3039</v>
      </c>
      <c r="G258" s="1">
        <v>73.0</v>
      </c>
      <c r="H258" s="1" t="s">
        <v>1974</v>
      </c>
      <c r="I258" s="1" t="s">
        <v>2101</v>
      </c>
    </row>
    <row r="259" ht="15.75" customHeight="1">
      <c r="A259" s="1" t="s">
        <v>3040</v>
      </c>
      <c r="B259" s="1" t="s">
        <v>3041</v>
      </c>
      <c r="C259" s="1">
        <v>2017.0</v>
      </c>
      <c r="D259" s="1" t="s">
        <v>3042</v>
      </c>
      <c r="E259" s="1" t="s">
        <v>3043</v>
      </c>
      <c r="F259" s="1" t="s">
        <v>3044</v>
      </c>
      <c r="G259" s="1">
        <v>19.0</v>
      </c>
      <c r="H259" s="1" t="s">
        <v>1974</v>
      </c>
      <c r="I259" s="1" t="s">
        <v>2101</v>
      </c>
    </row>
    <row r="260" ht="15.75" customHeight="1">
      <c r="A260" s="1" t="s">
        <v>3045</v>
      </c>
      <c r="B260" s="1" t="s">
        <v>3046</v>
      </c>
      <c r="C260" s="1">
        <v>2021.0</v>
      </c>
      <c r="D260" s="1" t="s">
        <v>3047</v>
      </c>
      <c r="E260" s="1" t="s">
        <v>3048</v>
      </c>
      <c r="F260" s="1" t="s">
        <v>3049</v>
      </c>
      <c r="H260" s="1" t="s">
        <v>1974</v>
      </c>
      <c r="I260" s="1" t="s">
        <v>1975</v>
      </c>
    </row>
    <row r="261" ht="15.75" customHeight="1">
      <c r="A261" s="1" t="s">
        <v>337</v>
      </c>
      <c r="B261" s="1" t="s">
        <v>3050</v>
      </c>
      <c r="C261" s="1">
        <v>2022.0</v>
      </c>
      <c r="D261" s="1" t="s">
        <v>3051</v>
      </c>
      <c r="E261" s="1" t="s">
        <v>340</v>
      </c>
      <c r="F261" s="1" t="s">
        <v>3052</v>
      </c>
      <c r="H261" s="1" t="s">
        <v>1974</v>
      </c>
      <c r="I261" s="1" t="s">
        <v>1975</v>
      </c>
    </row>
    <row r="262" ht="15.75" customHeight="1">
      <c r="A262" s="1" t="s">
        <v>3053</v>
      </c>
      <c r="B262" s="1" t="s">
        <v>3054</v>
      </c>
      <c r="C262" s="1">
        <v>2023.0</v>
      </c>
      <c r="D262" s="1" t="s">
        <v>2022</v>
      </c>
      <c r="E262" s="1" t="s">
        <v>3055</v>
      </c>
      <c r="F262" s="1" t="s">
        <v>3056</v>
      </c>
      <c r="G262" s="1">
        <v>3.0</v>
      </c>
      <c r="H262" s="1" t="s">
        <v>1974</v>
      </c>
      <c r="I262" s="1" t="s">
        <v>1975</v>
      </c>
    </row>
    <row r="263" ht="15.75" customHeight="1">
      <c r="A263" s="1" t="s">
        <v>3057</v>
      </c>
      <c r="B263" s="1" t="s">
        <v>3058</v>
      </c>
      <c r="C263" s="1">
        <v>2009.0</v>
      </c>
      <c r="D263" s="1" t="s">
        <v>3059</v>
      </c>
      <c r="E263" s="1" t="s">
        <v>1813</v>
      </c>
      <c r="F263" s="1" t="s">
        <v>3060</v>
      </c>
      <c r="G263" s="1">
        <v>2.0</v>
      </c>
      <c r="H263" s="1" t="s">
        <v>1974</v>
      </c>
      <c r="I263" s="1" t="s">
        <v>1975</v>
      </c>
    </row>
    <row r="264" ht="15.75" customHeight="1">
      <c r="A264" s="1" t="s">
        <v>3061</v>
      </c>
      <c r="B264" s="1" t="s">
        <v>3062</v>
      </c>
      <c r="C264" s="1">
        <v>2018.0</v>
      </c>
      <c r="D264" s="1" t="s">
        <v>3063</v>
      </c>
      <c r="E264" s="1" t="s">
        <v>3064</v>
      </c>
      <c r="F264" s="1" t="s">
        <v>3065</v>
      </c>
      <c r="G264" s="1">
        <v>1.0</v>
      </c>
      <c r="H264" s="1" t="s">
        <v>1974</v>
      </c>
      <c r="I264" s="1" t="s">
        <v>1975</v>
      </c>
    </row>
    <row r="265" ht="15.75" customHeight="1">
      <c r="A265" s="1" t="s">
        <v>3066</v>
      </c>
      <c r="B265" s="1" t="s">
        <v>3067</v>
      </c>
      <c r="C265" s="1">
        <v>2018.0</v>
      </c>
      <c r="D265" s="1" t="s">
        <v>3068</v>
      </c>
      <c r="E265" s="1" t="s">
        <v>3069</v>
      </c>
      <c r="F265" s="1" t="s">
        <v>3070</v>
      </c>
      <c r="G265" s="1">
        <v>2.0</v>
      </c>
      <c r="H265" s="1" t="s">
        <v>1974</v>
      </c>
      <c r="I265" s="1" t="s">
        <v>1975</v>
      </c>
    </row>
    <row r="266" ht="15.75" customHeight="1">
      <c r="A266" s="1" t="s">
        <v>3071</v>
      </c>
      <c r="B266" s="1" t="s">
        <v>3072</v>
      </c>
      <c r="C266" s="1">
        <v>2018.0</v>
      </c>
      <c r="D266" s="1" t="s">
        <v>3073</v>
      </c>
      <c r="E266" s="1" t="s">
        <v>3074</v>
      </c>
      <c r="F266" s="1" t="s">
        <v>3075</v>
      </c>
      <c r="G266" s="1">
        <v>1.0</v>
      </c>
      <c r="H266" s="1" t="s">
        <v>1974</v>
      </c>
      <c r="I266" s="1" t="s">
        <v>1975</v>
      </c>
    </row>
    <row r="267" ht="15.75" customHeight="1">
      <c r="A267" s="1" t="s">
        <v>3076</v>
      </c>
      <c r="B267" s="1" t="s">
        <v>3077</v>
      </c>
      <c r="C267" s="1">
        <v>1999.0</v>
      </c>
      <c r="D267" s="1" t="s">
        <v>3078</v>
      </c>
      <c r="E267" s="1" t="s">
        <v>3079</v>
      </c>
      <c r="F267" s="1" t="s">
        <v>3080</v>
      </c>
      <c r="G267" s="1">
        <v>2.0</v>
      </c>
      <c r="H267" s="1" t="s">
        <v>1974</v>
      </c>
      <c r="I267" s="1" t="s">
        <v>1975</v>
      </c>
    </row>
    <row r="268" ht="15.75" customHeight="1">
      <c r="A268" s="1" t="s">
        <v>3081</v>
      </c>
      <c r="B268" s="1" t="s">
        <v>3082</v>
      </c>
      <c r="C268" s="1">
        <v>2014.0</v>
      </c>
      <c r="D268" s="1" t="s">
        <v>3083</v>
      </c>
      <c r="E268" s="1" t="s">
        <v>1053</v>
      </c>
      <c r="F268" s="1" t="s">
        <v>3084</v>
      </c>
      <c r="G268" s="1">
        <v>9.0</v>
      </c>
      <c r="H268" s="1" t="s">
        <v>1974</v>
      </c>
      <c r="I268" s="1" t="s">
        <v>1975</v>
      </c>
    </row>
    <row r="269" ht="15.75" customHeight="1">
      <c r="A269" s="1" t="s">
        <v>3085</v>
      </c>
      <c r="B269" s="1" t="s">
        <v>3086</v>
      </c>
      <c r="C269" s="1">
        <v>2023.0</v>
      </c>
      <c r="D269" s="1" t="s">
        <v>3087</v>
      </c>
      <c r="E269" s="1" t="s">
        <v>3088</v>
      </c>
      <c r="F269" s="1" t="s">
        <v>3089</v>
      </c>
      <c r="H269" s="1" t="s">
        <v>1974</v>
      </c>
      <c r="I269" s="1" t="s">
        <v>1975</v>
      </c>
    </row>
    <row r="270" ht="15.75" customHeight="1">
      <c r="A270" s="1" t="s">
        <v>3090</v>
      </c>
      <c r="B270" s="1" t="s">
        <v>2597</v>
      </c>
      <c r="C270" s="1">
        <v>2015.0</v>
      </c>
      <c r="D270" s="1" t="s">
        <v>3091</v>
      </c>
      <c r="E270" s="1" t="s">
        <v>3092</v>
      </c>
      <c r="F270" s="1" t="s">
        <v>3093</v>
      </c>
      <c r="G270" s="1">
        <v>8.0</v>
      </c>
      <c r="H270" s="1" t="s">
        <v>1974</v>
      </c>
      <c r="I270" s="1" t="s">
        <v>1975</v>
      </c>
    </row>
    <row r="271" ht="15.75" customHeight="1">
      <c r="A271" s="1" t="s">
        <v>327</v>
      </c>
      <c r="B271" s="1" t="s">
        <v>3094</v>
      </c>
      <c r="C271" s="1">
        <v>2023.0</v>
      </c>
      <c r="D271" s="1" t="s">
        <v>3095</v>
      </c>
      <c r="E271" s="1" t="s">
        <v>330</v>
      </c>
      <c r="F271" s="1" t="s">
        <v>3096</v>
      </c>
      <c r="H271" s="1" t="s">
        <v>1974</v>
      </c>
      <c r="I271" s="1" t="s">
        <v>1975</v>
      </c>
    </row>
    <row r="272" ht="15.75" customHeight="1">
      <c r="A272" s="1" t="s">
        <v>3097</v>
      </c>
      <c r="B272" s="1" t="s">
        <v>3098</v>
      </c>
      <c r="C272" s="1">
        <v>2005.0</v>
      </c>
      <c r="D272" s="1" t="s">
        <v>3099</v>
      </c>
      <c r="E272" s="1" t="s">
        <v>3100</v>
      </c>
      <c r="F272" s="1" t="s">
        <v>3101</v>
      </c>
      <c r="G272" s="1">
        <v>25.0</v>
      </c>
      <c r="H272" s="1" t="s">
        <v>1974</v>
      </c>
      <c r="I272" s="1" t="s">
        <v>1975</v>
      </c>
    </row>
    <row r="273" ht="15.75" customHeight="1">
      <c r="A273" s="1" t="s">
        <v>3102</v>
      </c>
      <c r="B273" s="1" t="s">
        <v>3103</v>
      </c>
      <c r="C273" s="1">
        <v>2009.0</v>
      </c>
      <c r="D273" s="1" t="s">
        <v>3104</v>
      </c>
      <c r="E273" s="1" t="s">
        <v>3105</v>
      </c>
      <c r="F273" s="1" t="s">
        <v>3106</v>
      </c>
      <c r="G273" s="1">
        <v>1.0</v>
      </c>
      <c r="H273" s="1" t="s">
        <v>1974</v>
      </c>
      <c r="I273" s="1" t="s">
        <v>1975</v>
      </c>
    </row>
    <row r="274" ht="15.75" customHeight="1">
      <c r="A274" s="1" t="s">
        <v>3107</v>
      </c>
      <c r="B274" s="1" t="s">
        <v>3108</v>
      </c>
      <c r="C274" s="1">
        <v>1994.0</v>
      </c>
      <c r="D274" s="1" t="s">
        <v>3109</v>
      </c>
      <c r="E274" s="1" t="s">
        <v>3110</v>
      </c>
      <c r="F274" s="1" t="s">
        <v>3111</v>
      </c>
      <c r="G274" s="1">
        <v>1.0</v>
      </c>
      <c r="H274" s="1" t="s">
        <v>1974</v>
      </c>
      <c r="I274" s="1" t="s">
        <v>1975</v>
      </c>
    </row>
    <row r="275" ht="15.75" customHeight="1">
      <c r="A275" s="1" t="s">
        <v>3112</v>
      </c>
      <c r="B275" s="1" t="s">
        <v>3113</v>
      </c>
      <c r="C275" s="1">
        <v>1996.0</v>
      </c>
      <c r="D275" s="1" t="s">
        <v>518</v>
      </c>
      <c r="E275" s="1" t="s">
        <v>3114</v>
      </c>
      <c r="F275" s="1" t="s">
        <v>3115</v>
      </c>
      <c r="G275" s="1">
        <v>30.0</v>
      </c>
      <c r="H275" s="1" t="s">
        <v>1974</v>
      </c>
      <c r="I275" s="1" t="s">
        <v>2287</v>
      </c>
    </row>
    <row r="276" ht="15.75" customHeight="1">
      <c r="A276" s="1" t="s">
        <v>3116</v>
      </c>
      <c r="B276" s="1" t="s">
        <v>3117</v>
      </c>
      <c r="C276" s="1">
        <v>2017.0</v>
      </c>
      <c r="D276" s="1" t="s">
        <v>1092</v>
      </c>
      <c r="E276" s="1" t="s">
        <v>1093</v>
      </c>
      <c r="F276" s="1" t="s">
        <v>3118</v>
      </c>
      <c r="G276" s="1">
        <v>5.0</v>
      </c>
      <c r="H276" s="1" t="s">
        <v>1974</v>
      </c>
      <c r="I276" s="1" t="s">
        <v>2101</v>
      </c>
    </row>
    <row r="277" ht="15.75" customHeight="1">
      <c r="A277" s="1" t="s">
        <v>3119</v>
      </c>
      <c r="B277" s="1" t="s">
        <v>3120</v>
      </c>
      <c r="C277" s="1">
        <v>2009.0</v>
      </c>
      <c r="D277" s="1" t="s">
        <v>3121</v>
      </c>
      <c r="E277" s="1" t="s">
        <v>3122</v>
      </c>
      <c r="F277" s="1" t="s">
        <v>3123</v>
      </c>
      <c r="H277" s="1" t="s">
        <v>1974</v>
      </c>
      <c r="I277" s="1" t="s">
        <v>1975</v>
      </c>
    </row>
    <row r="278" ht="15.75" customHeight="1">
      <c r="A278" s="1" t="s">
        <v>3124</v>
      </c>
      <c r="B278" s="1" t="s">
        <v>3125</v>
      </c>
      <c r="C278" s="1">
        <v>2020.0</v>
      </c>
      <c r="D278" s="1" t="s">
        <v>3126</v>
      </c>
      <c r="E278" s="1" t="s">
        <v>3127</v>
      </c>
      <c r="F278" s="1" t="s">
        <v>3128</v>
      </c>
      <c r="H278" s="1" t="s">
        <v>1974</v>
      </c>
      <c r="I278" s="1" t="s">
        <v>1975</v>
      </c>
    </row>
    <row r="279" ht="15.75" customHeight="1">
      <c r="A279" s="1" t="s">
        <v>3129</v>
      </c>
      <c r="B279" s="1" t="s">
        <v>3130</v>
      </c>
      <c r="C279" s="1">
        <v>2007.0</v>
      </c>
      <c r="D279" s="1" t="s">
        <v>3131</v>
      </c>
      <c r="E279" s="1" t="s">
        <v>3132</v>
      </c>
      <c r="F279" s="1" t="s">
        <v>3133</v>
      </c>
      <c r="H279" s="1" t="s">
        <v>1974</v>
      </c>
      <c r="I279" s="1" t="s">
        <v>1975</v>
      </c>
    </row>
    <row r="280" ht="15.75" customHeight="1">
      <c r="A280" s="1" t="s">
        <v>3134</v>
      </c>
      <c r="B280" s="1" t="s">
        <v>3135</v>
      </c>
      <c r="C280" s="1">
        <v>2010.0</v>
      </c>
      <c r="D280" s="1" t="s">
        <v>3136</v>
      </c>
      <c r="E280" s="1" t="s">
        <v>3137</v>
      </c>
      <c r="F280" s="1" t="s">
        <v>3138</v>
      </c>
      <c r="H280" s="1" t="s">
        <v>1974</v>
      </c>
      <c r="I280" s="1" t="s">
        <v>1975</v>
      </c>
    </row>
    <row r="281" ht="15.75" customHeight="1">
      <c r="A281" s="1" t="s">
        <v>3139</v>
      </c>
      <c r="B281" s="1" t="s">
        <v>3140</v>
      </c>
      <c r="C281" s="1">
        <v>2024.0</v>
      </c>
      <c r="D281" s="1" t="s">
        <v>407</v>
      </c>
      <c r="E281" s="1" t="s">
        <v>3141</v>
      </c>
      <c r="F281" s="1" t="s">
        <v>3142</v>
      </c>
      <c r="G281" s="1">
        <v>2.0</v>
      </c>
      <c r="H281" s="1" t="s">
        <v>1974</v>
      </c>
      <c r="I281" s="1" t="s">
        <v>2101</v>
      </c>
    </row>
    <row r="282" ht="15.75" customHeight="1">
      <c r="A282" s="1" t="s">
        <v>3143</v>
      </c>
      <c r="B282" s="1" t="s">
        <v>3144</v>
      </c>
      <c r="C282" s="1">
        <v>2016.0</v>
      </c>
      <c r="D282" s="1" t="s">
        <v>3145</v>
      </c>
      <c r="F282" s="1" t="s">
        <v>3146</v>
      </c>
      <c r="G282" s="1">
        <v>2.0</v>
      </c>
      <c r="H282" s="1" t="s">
        <v>1974</v>
      </c>
      <c r="I282" s="1" t="s">
        <v>1975</v>
      </c>
    </row>
    <row r="283" ht="15.75" customHeight="1">
      <c r="A283" s="1" t="s">
        <v>3147</v>
      </c>
      <c r="B283" s="1" t="s">
        <v>3148</v>
      </c>
      <c r="C283" s="1">
        <v>2013.0</v>
      </c>
      <c r="D283" s="1" t="s">
        <v>3149</v>
      </c>
      <c r="E283" s="1" t="s">
        <v>3150</v>
      </c>
      <c r="F283" s="1" t="s">
        <v>3151</v>
      </c>
      <c r="G283" s="1">
        <v>4.0</v>
      </c>
      <c r="H283" s="1" t="s">
        <v>1974</v>
      </c>
      <c r="I283" s="1" t="s">
        <v>1975</v>
      </c>
    </row>
    <row r="284" ht="15.75" customHeight="1">
      <c r="A284" s="1" t="s">
        <v>581</v>
      </c>
      <c r="B284" s="1" t="s">
        <v>3152</v>
      </c>
      <c r="C284" s="1">
        <v>2020.0</v>
      </c>
      <c r="D284" s="1" t="s">
        <v>3153</v>
      </c>
      <c r="E284" s="1" t="s">
        <v>583</v>
      </c>
      <c r="F284" s="1" t="s">
        <v>3154</v>
      </c>
      <c r="H284" s="1" t="s">
        <v>1974</v>
      </c>
      <c r="I284" s="1" t="s">
        <v>1975</v>
      </c>
    </row>
    <row r="285" ht="15.75" customHeight="1">
      <c r="A285" s="1" t="s">
        <v>3155</v>
      </c>
      <c r="B285" s="1" t="s">
        <v>3156</v>
      </c>
      <c r="C285" s="1">
        <v>1995.0</v>
      </c>
      <c r="D285" s="1" t="s">
        <v>3157</v>
      </c>
      <c r="F285" s="1" t="s">
        <v>3158</v>
      </c>
      <c r="G285" s="1">
        <v>3.0</v>
      </c>
      <c r="H285" s="1" t="s">
        <v>1974</v>
      </c>
      <c r="I285" s="1" t="s">
        <v>1975</v>
      </c>
    </row>
    <row r="286" ht="15.75" customHeight="1">
      <c r="A286" s="1" t="s">
        <v>3159</v>
      </c>
      <c r="B286" s="1" t="s">
        <v>3160</v>
      </c>
      <c r="C286" s="1">
        <v>2014.0</v>
      </c>
      <c r="D286" s="1" t="s">
        <v>3161</v>
      </c>
      <c r="E286" s="1" t="s">
        <v>3162</v>
      </c>
      <c r="F286" s="1" t="s">
        <v>3163</v>
      </c>
      <c r="G286" s="1">
        <v>2.0</v>
      </c>
      <c r="H286" s="1" t="s">
        <v>1974</v>
      </c>
      <c r="I286" s="1" t="s">
        <v>1975</v>
      </c>
    </row>
    <row r="287" ht="15.75" customHeight="1">
      <c r="A287" s="1" t="s">
        <v>1114</v>
      </c>
      <c r="B287" s="1" t="s">
        <v>3164</v>
      </c>
      <c r="C287" s="1">
        <v>2015.0</v>
      </c>
      <c r="D287" s="1" t="s">
        <v>3165</v>
      </c>
      <c r="E287" s="1" t="s">
        <v>1117</v>
      </c>
      <c r="F287" s="1" t="s">
        <v>3166</v>
      </c>
      <c r="H287" s="1" t="s">
        <v>1974</v>
      </c>
      <c r="I287" s="1" t="s">
        <v>1975</v>
      </c>
    </row>
    <row r="288" ht="15.75" customHeight="1">
      <c r="A288" s="1" t="s">
        <v>3167</v>
      </c>
      <c r="B288" s="1" t="s">
        <v>3168</v>
      </c>
      <c r="C288" s="1">
        <v>1998.0</v>
      </c>
      <c r="D288" s="1" t="s">
        <v>3169</v>
      </c>
      <c r="E288" s="1" t="s">
        <v>3170</v>
      </c>
      <c r="F288" s="1" t="s">
        <v>3171</v>
      </c>
      <c r="G288" s="1">
        <v>1.0</v>
      </c>
      <c r="H288" s="1" t="s">
        <v>1974</v>
      </c>
      <c r="I288" s="1" t="s">
        <v>1975</v>
      </c>
    </row>
    <row r="289" ht="15.75" customHeight="1">
      <c r="A289" s="1" t="s">
        <v>3172</v>
      </c>
      <c r="B289" s="1" t="s">
        <v>3173</v>
      </c>
      <c r="C289" s="1">
        <v>2023.0</v>
      </c>
      <c r="D289" s="1" t="s">
        <v>2697</v>
      </c>
      <c r="E289" s="1" t="s">
        <v>3174</v>
      </c>
      <c r="F289" s="1" t="s">
        <v>3175</v>
      </c>
      <c r="H289" s="1" t="s">
        <v>1974</v>
      </c>
      <c r="I289" s="1" t="s">
        <v>1975</v>
      </c>
    </row>
    <row r="290" ht="15.75" customHeight="1">
      <c r="A290" s="1" t="s">
        <v>607</v>
      </c>
      <c r="B290" s="1" t="s">
        <v>3176</v>
      </c>
      <c r="C290" s="1">
        <v>2019.0</v>
      </c>
      <c r="D290" s="1" t="s">
        <v>3177</v>
      </c>
      <c r="E290" s="1" t="s">
        <v>610</v>
      </c>
      <c r="F290" s="1" t="s">
        <v>3178</v>
      </c>
      <c r="G290" s="1">
        <v>4.0</v>
      </c>
      <c r="H290" s="1" t="s">
        <v>1974</v>
      </c>
      <c r="I290" s="1" t="s">
        <v>1975</v>
      </c>
    </row>
    <row r="291" ht="15.75" customHeight="1">
      <c r="A291" s="1" t="s">
        <v>3179</v>
      </c>
      <c r="B291" s="1" t="s">
        <v>3180</v>
      </c>
      <c r="C291" s="1">
        <v>2020.0</v>
      </c>
      <c r="D291" s="1" t="s">
        <v>3153</v>
      </c>
      <c r="E291" s="1" t="s">
        <v>3181</v>
      </c>
      <c r="F291" s="1" t="s">
        <v>3182</v>
      </c>
      <c r="G291" s="1">
        <v>4.0</v>
      </c>
      <c r="H291" s="1" t="s">
        <v>1974</v>
      </c>
      <c r="I291" s="1" t="s">
        <v>1975</v>
      </c>
    </row>
    <row r="292" ht="15.75" customHeight="1">
      <c r="A292" s="1" t="s">
        <v>3183</v>
      </c>
      <c r="B292" s="1" t="s">
        <v>3184</v>
      </c>
      <c r="C292" s="1">
        <v>2016.0</v>
      </c>
      <c r="D292" s="1" t="s">
        <v>3185</v>
      </c>
      <c r="E292" s="1" t="s">
        <v>3186</v>
      </c>
      <c r="F292" s="1" t="s">
        <v>3187</v>
      </c>
      <c r="G292" s="1">
        <v>8.0</v>
      </c>
      <c r="H292" s="1" t="s">
        <v>1974</v>
      </c>
      <c r="I292" s="1" t="s">
        <v>2101</v>
      </c>
    </row>
    <row r="293" ht="15.75" customHeight="1">
      <c r="A293" s="1" t="s">
        <v>3188</v>
      </c>
      <c r="B293" s="1" t="s">
        <v>3189</v>
      </c>
      <c r="C293" s="1">
        <v>2023.0</v>
      </c>
      <c r="D293" s="1" t="s">
        <v>3190</v>
      </c>
      <c r="E293" s="1" t="s">
        <v>3191</v>
      </c>
      <c r="F293" s="1" t="s">
        <v>3192</v>
      </c>
      <c r="H293" s="1" t="s">
        <v>1974</v>
      </c>
      <c r="I293" s="1" t="s">
        <v>1975</v>
      </c>
    </row>
    <row r="294" ht="15.75" customHeight="1">
      <c r="A294" s="1" t="s">
        <v>1267</v>
      </c>
      <c r="B294" s="1" t="s">
        <v>3193</v>
      </c>
      <c r="C294" s="1">
        <v>2017.0</v>
      </c>
      <c r="D294" s="1" t="s">
        <v>3194</v>
      </c>
      <c r="E294" s="1" t="s">
        <v>1270</v>
      </c>
      <c r="F294" s="1" t="s">
        <v>3195</v>
      </c>
      <c r="G294" s="1">
        <v>12.0</v>
      </c>
      <c r="H294" s="1" t="s">
        <v>1974</v>
      </c>
      <c r="I294" s="1" t="s">
        <v>1975</v>
      </c>
    </row>
    <row r="295" ht="15.75" customHeight="1">
      <c r="A295" s="1" t="s">
        <v>3196</v>
      </c>
      <c r="B295" s="1" t="s">
        <v>3197</v>
      </c>
      <c r="C295" s="1">
        <v>2015.0</v>
      </c>
      <c r="D295" s="1" t="s">
        <v>3198</v>
      </c>
      <c r="E295" s="1" t="s">
        <v>3199</v>
      </c>
      <c r="F295" s="1" t="s">
        <v>3200</v>
      </c>
      <c r="G295" s="1">
        <v>1.0</v>
      </c>
      <c r="H295" s="1" t="s">
        <v>1974</v>
      </c>
      <c r="I295" s="1" t="s">
        <v>1975</v>
      </c>
    </row>
    <row r="296" ht="15.75" customHeight="1">
      <c r="A296" s="1" t="s">
        <v>1676</v>
      </c>
      <c r="B296" s="1" t="s">
        <v>3201</v>
      </c>
      <c r="C296" s="1">
        <v>2002.0</v>
      </c>
      <c r="D296" s="1" t="s">
        <v>3202</v>
      </c>
      <c r="E296" s="1" t="s">
        <v>1678</v>
      </c>
      <c r="F296" s="1" t="s">
        <v>3203</v>
      </c>
      <c r="G296" s="1">
        <v>1.0</v>
      </c>
      <c r="H296" s="1" t="s">
        <v>1974</v>
      </c>
      <c r="I296" s="1" t="s">
        <v>1975</v>
      </c>
    </row>
    <row r="297" ht="15.75" customHeight="1">
      <c r="A297" s="1" t="s">
        <v>3204</v>
      </c>
      <c r="B297" s="1" t="s">
        <v>3205</v>
      </c>
      <c r="C297" s="1">
        <v>2021.0</v>
      </c>
      <c r="D297" s="1" t="s">
        <v>3206</v>
      </c>
      <c r="E297" s="1" t="s">
        <v>3207</v>
      </c>
      <c r="F297" s="1" t="s">
        <v>3208</v>
      </c>
      <c r="H297" s="1" t="s">
        <v>1974</v>
      </c>
      <c r="I297" s="1" t="s">
        <v>2101</v>
      </c>
    </row>
    <row r="298" ht="15.75" customHeight="1">
      <c r="A298" s="1" t="s">
        <v>3209</v>
      </c>
      <c r="B298" s="1" t="s">
        <v>3210</v>
      </c>
      <c r="C298" s="1">
        <v>2024.0</v>
      </c>
      <c r="D298" s="1" t="s">
        <v>3211</v>
      </c>
      <c r="E298" s="1" t="s">
        <v>3212</v>
      </c>
      <c r="F298" s="1" t="s">
        <v>3213</v>
      </c>
      <c r="G298" s="1">
        <v>1.0</v>
      </c>
      <c r="H298" s="1" t="s">
        <v>1974</v>
      </c>
      <c r="I298" s="1" t="s">
        <v>2101</v>
      </c>
    </row>
    <row r="299" ht="15.75" customHeight="1">
      <c r="A299" s="1" t="s">
        <v>3214</v>
      </c>
      <c r="B299" s="1" t="s">
        <v>3215</v>
      </c>
      <c r="C299" s="1">
        <v>1984.0</v>
      </c>
      <c r="D299" s="1" t="s">
        <v>1930</v>
      </c>
      <c r="E299" s="1" t="s">
        <v>1931</v>
      </c>
      <c r="F299" s="1" t="s">
        <v>3216</v>
      </c>
      <c r="G299" s="1">
        <v>8.0</v>
      </c>
      <c r="H299" s="1" t="s">
        <v>1974</v>
      </c>
      <c r="I299" s="1" t="s">
        <v>2101</v>
      </c>
    </row>
    <row r="300" ht="15.75" customHeight="1">
      <c r="A300" s="1" t="s">
        <v>3217</v>
      </c>
      <c r="B300" s="1" t="s">
        <v>3218</v>
      </c>
      <c r="C300" s="1">
        <v>2023.0</v>
      </c>
      <c r="D300" s="1" t="s">
        <v>3219</v>
      </c>
      <c r="E300" s="1" t="s">
        <v>3220</v>
      </c>
      <c r="F300" s="1" t="s">
        <v>3221</v>
      </c>
      <c r="G300" s="1">
        <v>1.0</v>
      </c>
      <c r="H300" s="1" t="s">
        <v>1974</v>
      </c>
      <c r="I300" s="1" t="s">
        <v>2101</v>
      </c>
    </row>
    <row r="301" ht="15.75" customHeight="1">
      <c r="A301" s="1" t="s">
        <v>3222</v>
      </c>
      <c r="B301" s="1" t="s">
        <v>3223</v>
      </c>
      <c r="C301" s="1">
        <v>2019.0</v>
      </c>
      <c r="D301" s="1" t="s">
        <v>3224</v>
      </c>
      <c r="E301" s="1" t="s">
        <v>3225</v>
      </c>
      <c r="F301" s="1" t="s">
        <v>3226</v>
      </c>
      <c r="H301" s="1" t="s">
        <v>1974</v>
      </c>
      <c r="I301" s="1" t="s">
        <v>1975</v>
      </c>
    </row>
    <row r="302" ht="15.75" customHeight="1">
      <c r="A302" s="1" t="s">
        <v>37</v>
      </c>
      <c r="B302" s="1" t="s">
        <v>3227</v>
      </c>
      <c r="C302" s="1">
        <v>2023.0</v>
      </c>
      <c r="D302" s="1" t="s">
        <v>39</v>
      </c>
      <c r="E302" s="1" t="s">
        <v>40</v>
      </c>
      <c r="F302" s="1" t="s">
        <v>3228</v>
      </c>
      <c r="G302" s="1">
        <v>4.0</v>
      </c>
      <c r="H302" s="1" t="s">
        <v>1974</v>
      </c>
      <c r="I302" s="1" t="s">
        <v>2101</v>
      </c>
    </row>
    <row r="303" ht="15.75" customHeight="1">
      <c r="A303" s="1" t="s">
        <v>1797</v>
      </c>
      <c r="B303" s="1" t="s">
        <v>3229</v>
      </c>
      <c r="C303" s="1">
        <v>2001.0</v>
      </c>
      <c r="D303" s="1" t="s">
        <v>3230</v>
      </c>
      <c r="E303" s="1" t="s">
        <v>1800</v>
      </c>
      <c r="F303" s="1" t="s">
        <v>3231</v>
      </c>
      <c r="G303" s="1">
        <v>70.0</v>
      </c>
      <c r="H303" s="1" t="s">
        <v>1974</v>
      </c>
      <c r="I303" s="1" t="s">
        <v>1975</v>
      </c>
    </row>
    <row r="304" ht="15.75" customHeight="1">
      <c r="A304" s="1" t="s">
        <v>3232</v>
      </c>
      <c r="B304" s="1" t="s">
        <v>3233</v>
      </c>
      <c r="C304" s="1">
        <v>2024.0</v>
      </c>
      <c r="D304" s="1" t="s">
        <v>3234</v>
      </c>
      <c r="E304" s="1" t="s">
        <v>3235</v>
      </c>
      <c r="F304" s="1" t="s">
        <v>3236</v>
      </c>
      <c r="H304" s="1" t="s">
        <v>1974</v>
      </c>
      <c r="I304" s="1" t="s">
        <v>2101</v>
      </c>
    </row>
    <row r="305" ht="15.75" customHeight="1">
      <c r="A305" s="1" t="s">
        <v>3237</v>
      </c>
      <c r="B305" s="1" t="s">
        <v>3238</v>
      </c>
      <c r="C305" s="1">
        <v>2024.0</v>
      </c>
      <c r="D305" s="1" t="s">
        <v>3206</v>
      </c>
      <c r="E305" s="1" t="s">
        <v>3239</v>
      </c>
      <c r="F305" s="1" t="s">
        <v>3240</v>
      </c>
      <c r="H305" s="1" t="s">
        <v>1974</v>
      </c>
      <c r="I305" s="1" t="s">
        <v>2889</v>
      </c>
    </row>
    <row r="306" ht="15.75" customHeight="1">
      <c r="A306" s="1" t="s">
        <v>1182</v>
      </c>
      <c r="B306" s="1" t="s">
        <v>3241</v>
      </c>
      <c r="C306" s="1">
        <v>2017.0</v>
      </c>
      <c r="D306" s="1" t="s">
        <v>3242</v>
      </c>
      <c r="E306" s="1" t="s">
        <v>1185</v>
      </c>
      <c r="F306" s="1" t="s">
        <v>3243</v>
      </c>
      <c r="G306" s="1">
        <v>9.0</v>
      </c>
      <c r="H306" s="1" t="s">
        <v>1974</v>
      </c>
      <c r="I306" s="1" t="s">
        <v>1975</v>
      </c>
    </row>
    <row r="307" ht="15.75" customHeight="1">
      <c r="A307" s="1" t="s">
        <v>237</v>
      </c>
      <c r="B307" s="1" t="s">
        <v>3244</v>
      </c>
      <c r="C307" s="1">
        <v>2024.0</v>
      </c>
      <c r="D307" s="1" t="s">
        <v>239</v>
      </c>
      <c r="E307" s="1" t="s">
        <v>240</v>
      </c>
      <c r="F307" s="1" t="s">
        <v>3245</v>
      </c>
      <c r="H307" s="1" t="s">
        <v>1974</v>
      </c>
      <c r="I307" s="1" t="s">
        <v>2101</v>
      </c>
    </row>
    <row r="308" ht="15.75" customHeight="1">
      <c r="A308" s="1" t="s">
        <v>876</v>
      </c>
      <c r="B308" s="1" t="s">
        <v>3246</v>
      </c>
      <c r="C308" s="1">
        <v>2020.0</v>
      </c>
      <c r="D308" s="1" t="s">
        <v>3247</v>
      </c>
      <c r="E308" s="1" t="s">
        <v>879</v>
      </c>
      <c r="F308" s="1" t="s">
        <v>3248</v>
      </c>
      <c r="G308" s="1">
        <v>1.0</v>
      </c>
      <c r="H308" s="1" t="s">
        <v>1974</v>
      </c>
      <c r="I308" s="1" t="s">
        <v>1975</v>
      </c>
    </row>
    <row r="309" ht="15.75" customHeight="1">
      <c r="A309" s="1" t="s">
        <v>1146</v>
      </c>
      <c r="B309" s="1" t="s">
        <v>3249</v>
      </c>
      <c r="C309" s="1">
        <v>2015.0</v>
      </c>
      <c r="D309" s="1" t="s">
        <v>1148</v>
      </c>
      <c r="E309" s="1" t="s">
        <v>1149</v>
      </c>
      <c r="F309" s="1" t="s">
        <v>3250</v>
      </c>
      <c r="G309" s="1">
        <v>12.0</v>
      </c>
      <c r="H309" s="1" t="s">
        <v>1974</v>
      </c>
      <c r="I309" s="1" t="s">
        <v>1975</v>
      </c>
    </row>
    <row r="310" ht="15.75" customHeight="1">
      <c r="A310" s="1" t="s">
        <v>3251</v>
      </c>
      <c r="B310" s="1" t="s">
        <v>3252</v>
      </c>
      <c r="C310" s="1">
        <v>2013.0</v>
      </c>
      <c r="D310" s="1" t="s">
        <v>3253</v>
      </c>
      <c r="E310" s="1" t="s">
        <v>3254</v>
      </c>
      <c r="F310" s="1" t="s">
        <v>3255</v>
      </c>
      <c r="G310" s="1">
        <v>6.0</v>
      </c>
      <c r="H310" s="1" t="s">
        <v>1974</v>
      </c>
      <c r="I310" s="1" t="s">
        <v>1975</v>
      </c>
    </row>
    <row r="311" ht="15.75" customHeight="1">
      <c r="A311" s="1" t="s">
        <v>3256</v>
      </c>
      <c r="B311" s="1" t="s">
        <v>3257</v>
      </c>
      <c r="C311" s="1">
        <v>2021.0</v>
      </c>
      <c r="D311" s="1" t="s">
        <v>3258</v>
      </c>
      <c r="E311" s="1" t="s">
        <v>3259</v>
      </c>
      <c r="F311" s="1" t="s">
        <v>3260</v>
      </c>
      <c r="H311" s="1" t="s">
        <v>1974</v>
      </c>
      <c r="I311" s="1" t="s">
        <v>1975</v>
      </c>
    </row>
    <row r="312" ht="15.75" customHeight="1">
      <c r="A312" s="1" t="s">
        <v>3261</v>
      </c>
      <c r="B312" s="1" t="s">
        <v>3262</v>
      </c>
      <c r="C312" s="1">
        <v>2007.0</v>
      </c>
      <c r="D312" s="1" t="s">
        <v>3263</v>
      </c>
      <c r="E312" s="1" t="s">
        <v>3264</v>
      </c>
      <c r="F312" s="1" t="s">
        <v>3265</v>
      </c>
      <c r="G312" s="1">
        <v>23.0</v>
      </c>
      <c r="H312" s="1" t="s">
        <v>1974</v>
      </c>
      <c r="I312" s="1" t="s">
        <v>1975</v>
      </c>
    </row>
    <row r="313" ht="15.75" customHeight="1">
      <c r="A313" s="1" t="s">
        <v>3266</v>
      </c>
      <c r="B313" s="1" t="s">
        <v>3267</v>
      </c>
      <c r="C313" s="1">
        <v>2015.0</v>
      </c>
      <c r="D313" s="1" t="s">
        <v>3268</v>
      </c>
      <c r="E313" s="1" t="s">
        <v>3269</v>
      </c>
      <c r="F313" s="1" t="s">
        <v>3270</v>
      </c>
      <c r="G313" s="1">
        <v>1.0</v>
      </c>
      <c r="H313" s="1" t="s">
        <v>1974</v>
      </c>
      <c r="I313" s="1" t="s">
        <v>1975</v>
      </c>
    </row>
    <row r="314" ht="15.75" customHeight="1">
      <c r="A314" s="1" t="s">
        <v>3271</v>
      </c>
      <c r="B314" s="1" t="s">
        <v>3272</v>
      </c>
      <c r="C314" s="1">
        <v>2008.0</v>
      </c>
      <c r="D314" s="1" t="s">
        <v>3273</v>
      </c>
      <c r="E314" s="1" t="s">
        <v>3274</v>
      </c>
      <c r="F314" s="1" t="s">
        <v>3275</v>
      </c>
      <c r="H314" s="1" t="s">
        <v>1974</v>
      </c>
      <c r="I314" s="1" t="s">
        <v>1975</v>
      </c>
    </row>
    <row r="315" ht="15.75" customHeight="1">
      <c r="A315" s="1" t="s">
        <v>3276</v>
      </c>
      <c r="B315" s="1" t="s">
        <v>3277</v>
      </c>
      <c r="C315" s="1">
        <v>2015.0</v>
      </c>
      <c r="D315" s="1" t="s">
        <v>2083</v>
      </c>
      <c r="E315" s="1" t="s">
        <v>1320</v>
      </c>
      <c r="F315" s="1" t="s">
        <v>3278</v>
      </c>
      <c r="G315" s="1">
        <v>18.0</v>
      </c>
      <c r="H315" s="1" t="s">
        <v>1974</v>
      </c>
      <c r="I315" s="1" t="s">
        <v>1975</v>
      </c>
    </row>
    <row r="316" ht="15.75" customHeight="1">
      <c r="A316" s="1" t="s">
        <v>3279</v>
      </c>
      <c r="B316" s="1" t="s">
        <v>3280</v>
      </c>
      <c r="C316" s="1">
        <v>2021.0</v>
      </c>
      <c r="D316" s="1" t="s">
        <v>3281</v>
      </c>
      <c r="E316" s="1" t="s">
        <v>3282</v>
      </c>
      <c r="F316" s="1" t="s">
        <v>3283</v>
      </c>
      <c r="G316" s="1">
        <v>15.0</v>
      </c>
      <c r="H316" s="1" t="s">
        <v>1974</v>
      </c>
      <c r="I316" s="1" t="s">
        <v>2101</v>
      </c>
    </row>
    <row r="317" ht="15.75" customHeight="1">
      <c r="A317" s="1" t="s">
        <v>1142</v>
      </c>
      <c r="B317" s="1" t="s">
        <v>3284</v>
      </c>
      <c r="C317" s="1">
        <v>2016.0</v>
      </c>
      <c r="D317" s="1" t="s">
        <v>129</v>
      </c>
      <c r="E317" s="1" t="s">
        <v>1144</v>
      </c>
      <c r="F317" s="1" t="s">
        <v>3285</v>
      </c>
      <c r="G317" s="1">
        <v>4.0</v>
      </c>
      <c r="H317" s="1" t="s">
        <v>1974</v>
      </c>
      <c r="I317" s="1" t="s">
        <v>2101</v>
      </c>
    </row>
    <row r="318" ht="15.75" customHeight="1">
      <c r="A318" s="1" t="s">
        <v>3286</v>
      </c>
      <c r="B318" s="1" t="s">
        <v>3287</v>
      </c>
      <c r="C318" s="1">
        <v>2023.0</v>
      </c>
      <c r="D318" s="1" t="s">
        <v>3288</v>
      </c>
      <c r="E318" s="1" t="s">
        <v>3289</v>
      </c>
      <c r="F318" s="1" t="s">
        <v>3290</v>
      </c>
      <c r="G318" s="1">
        <v>3.0</v>
      </c>
      <c r="H318" s="1" t="s">
        <v>1974</v>
      </c>
      <c r="I318" s="1" t="s">
        <v>1975</v>
      </c>
    </row>
    <row r="319" ht="15.75" customHeight="1">
      <c r="A319" s="1" t="s">
        <v>3291</v>
      </c>
      <c r="B319" s="1" t="s">
        <v>3292</v>
      </c>
      <c r="C319" s="1">
        <v>2007.0</v>
      </c>
      <c r="D319" s="1" t="s">
        <v>3293</v>
      </c>
      <c r="E319" s="1" t="s">
        <v>3294</v>
      </c>
      <c r="F319" s="1" t="s">
        <v>3295</v>
      </c>
      <c r="G319" s="1">
        <v>1.0</v>
      </c>
      <c r="H319" s="1" t="s">
        <v>1974</v>
      </c>
      <c r="I319" s="1" t="s">
        <v>1975</v>
      </c>
    </row>
    <row r="320" ht="15.75" customHeight="1">
      <c r="A320" s="1" t="s">
        <v>3296</v>
      </c>
      <c r="B320" s="1" t="s">
        <v>3297</v>
      </c>
      <c r="C320" s="1">
        <v>2017.0</v>
      </c>
      <c r="D320" s="1" t="s">
        <v>3298</v>
      </c>
      <c r="E320" s="1" t="s">
        <v>3299</v>
      </c>
      <c r="F320" s="1" t="s">
        <v>3300</v>
      </c>
      <c r="H320" s="1" t="s">
        <v>1974</v>
      </c>
      <c r="I320" s="1" t="s">
        <v>1975</v>
      </c>
    </row>
    <row r="321" ht="15.75" customHeight="1">
      <c r="A321" s="1" t="s">
        <v>3301</v>
      </c>
      <c r="B321" s="1" t="s">
        <v>3302</v>
      </c>
      <c r="C321" s="1">
        <v>2008.0</v>
      </c>
      <c r="D321" s="1" t="s">
        <v>3303</v>
      </c>
      <c r="E321" s="1" t="s">
        <v>3304</v>
      </c>
      <c r="F321" s="1" t="s">
        <v>3305</v>
      </c>
      <c r="G321" s="1">
        <v>35.0</v>
      </c>
      <c r="H321" s="1" t="s">
        <v>1974</v>
      </c>
      <c r="I321" s="1" t="s">
        <v>2101</v>
      </c>
    </row>
    <row r="322" ht="15.75" customHeight="1">
      <c r="A322" s="1" t="s">
        <v>3306</v>
      </c>
      <c r="B322" s="1" t="s">
        <v>3307</v>
      </c>
      <c r="C322" s="1">
        <v>2024.0</v>
      </c>
      <c r="D322" s="1" t="s">
        <v>3308</v>
      </c>
      <c r="E322" s="1" t="s">
        <v>3309</v>
      </c>
      <c r="F322" s="1" t="s">
        <v>3310</v>
      </c>
      <c r="H322" s="1" t="s">
        <v>1974</v>
      </c>
      <c r="I322" s="1" t="s">
        <v>2101</v>
      </c>
    </row>
    <row r="323" ht="15.75" customHeight="1">
      <c r="A323" s="1" t="s">
        <v>89</v>
      </c>
      <c r="B323" s="1" t="s">
        <v>3311</v>
      </c>
      <c r="C323" s="1">
        <v>2024.0</v>
      </c>
      <c r="D323" s="1" t="s">
        <v>91</v>
      </c>
      <c r="E323" s="1" t="s">
        <v>92</v>
      </c>
      <c r="F323" s="1" t="s">
        <v>3312</v>
      </c>
      <c r="H323" s="1" t="s">
        <v>1974</v>
      </c>
      <c r="I323" s="1" t="s">
        <v>2889</v>
      </c>
    </row>
    <row r="324" ht="15.75" customHeight="1">
      <c r="A324" s="1" t="s">
        <v>3313</v>
      </c>
      <c r="B324" s="1" t="s">
        <v>3314</v>
      </c>
      <c r="C324" s="1">
        <v>2010.0</v>
      </c>
      <c r="D324" s="1" t="s">
        <v>3315</v>
      </c>
      <c r="E324" s="1" t="s">
        <v>3316</v>
      </c>
      <c r="F324" s="1" t="s">
        <v>3317</v>
      </c>
      <c r="G324" s="1">
        <v>20.0</v>
      </c>
      <c r="H324" s="1" t="s">
        <v>1974</v>
      </c>
      <c r="I324" s="1" t="s">
        <v>1975</v>
      </c>
    </row>
    <row r="325" ht="15.75" customHeight="1">
      <c r="A325" s="1" t="s">
        <v>3318</v>
      </c>
      <c r="B325" s="1" t="s">
        <v>3319</v>
      </c>
      <c r="C325" s="1">
        <v>2013.0</v>
      </c>
      <c r="D325" s="1" t="s">
        <v>3320</v>
      </c>
      <c r="E325" s="1" t="s">
        <v>1355</v>
      </c>
      <c r="F325" s="1" t="s">
        <v>3321</v>
      </c>
      <c r="G325" s="1">
        <v>4.0</v>
      </c>
      <c r="H325" s="1" t="s">
        <v>1974</v>
      </c>
      <c r="I325" s="1" t="s">
        <v>1975</v>
      </c>
    </row>
    <row r="326" ht="15.75" customHeight="1">
      <c r="A326" s="1" t="s">
        <v>3322</v>
      </c>
      <c r="B326" s="1" t="s">
        <v>3323</v>
      </c>
      <c r="C326" s="1">
        <v>2001.0</v>
      </c>
      <c r="D326" s="1" t="s">
        <v>3324</v>
      </c>
      <c r="E326" s="1" t="s">
        <v>3325</v>
      </c>
      <c r="F326" s="1" t="s">
        <v>3326</v>
      </c>
      <c r="G326" s="1">
        <v>2.0</v>
      </c>
      <c r="H326" s="1" t="s">
        <v>1974</v>
      </c>
      <c r="I326" s="1" t="s">
        <v>1975</v>
      </c>
    </row>
    <row r="327" ht="15.75" customHeight="1">
      <c r="A327" s="1" t="s">
        <v>3327</v>
      </c>
      <c r="B327" s="1" t="s">
        <v>3328</v>
      </c>
      <c r="C327" s="1">
        <v>2019.0</v>
      </c>
      <c r="D327" s="1" t="s">
        <v>3329</v>
      </c>
      <c r="E327" s="1" t="s">
        <v>3330</v>
      </c>
      <c r="F327" s="1" t="s">
        <v>3331</v>
      </c>
      <c r="G327" s="1">
        <v>7.0</v>
      </c>
      <c r="H327" s="1" t="s">
        <v>1974</v>
      </c>
      <c r="I327" s="1" t="s">
        <v>2101</v>
      </c>
    </row>
    <row r="328" ht="15.75" customHeight="1">
      <c r="A328" s="1" t="s">
        <v>1132</v>
      </c>
      <c r="B328" s="1" t="s">
        <v>3332</v>
      </c>
      <c r="C328" s="1">
        <v>2013.0</v>
      </c>
      <c r="D328" s="1" t="s">
        <v>3333</v>
      </c>
      <c r="E328" s="1" t="s">
        <v>1135</v>
      </c>
      <c r="F328" s="1" t="s">
        <v>3334</v>
      </c>
      <c r="G328" s="1">
        <v>7.0</v>
      </c>
      <c r="H328" s="1" t="s">
        <v>1974</v>
      </c>
      <c r="I328" s="1" t="s">
        <v>1975</v>
      </c>
    </row>
    <row r="329" ht="15.75" customHeight="1">
      <c r="A329" s="1" t="s">
        <v>3335</v>
      </c>
      <c r="B329" s="1" t="s">
        <v>3336</v>
      </c>
      <c r="C329" s="1">
        <v>2004.0</v>
      </c>
      <c r="D329" s="1" t="s">
        <v>3337</v>
      </c>
      <c r="E329" s="1" t="s">
        <v>3338</v>
      </c>
      <c r="F329" s="1" t="s">
        <v>3339</v>
      </c>
      <c r="G329" s="1">
        <v>21.0</v>
      </c>
      <c r="H329" s="1" t="s">
        <v>1974</v>
      </c>
      <c r="I329" s="1" t="s">
        <v>1975</v>
      </c>
    </row>
    <row r="330" ht="15.75" customHeight="1">
      <c r="A330" s="1" t="s">
        <v>3340</v>
      </c>
      <c r="B330" s="1" t="s">
        <v>3341</v>
      </c>
      <c r="C330" s="1">
        <v>1998.0</v>
      </c>
      <c r="D330" s="1" t="s">
        <v>3342</v>
      </c>
      <c r="E330" s="1" t="s">
        <v>3343</v>
      </c>
      <c r="F330" s="1" t="s">
        <v>3344</v>
      </c>
      <c r="G330" s="1">
        <v>5.0</v>
      </c>
      <c r="H330" s="1" t="s">
        <v>1974</v>
      </c>
      <c r="I330" s="1" t="s">
        <v>1975</v>
      </c>
    </row>
    <row r="331" ht="15.75" customHeight="1">
      <c r="A331" s="1" t="s">
        <v>834</v>
      </c>
      <c r="B331" s="1" t="s">
        <v>3345</v>
      </c>
      <c r="C331" s="1">
        <v>2021.0</v>
      </c>
      <c r="D331" s="1" t="s">
        <v>3346</v>
      </c>
      <c r="E331" s="1" t="s">
        <v>837</v>
      </c>
      <c r="F331" s="1" t="s">
        <v>3347</v>
      </c>
      <c r="G331" s="1">
        <v>1.0</v>
      </c>
      <c r="H331" s="1" t="s">
        <v>1974</v>
      </c>
      <c r="I331" s="1" t="s">
        <v>1975</v>
      </c>
    </row>
    <row r="332" ht="15.75" customHeight="1">
      <c r="A332" s="1" t="s">
        <v>1376</v>
      </c>
      <c r="B332" s="1" t="s">
        <v>3348</v>
      </c>
      <c r="C332" s="1">
        <v>2013.0</v>
      </c>
      <c r="D332" s="1" t="s">
        <v>3349</v>
      </c>
      <c r="E332" s="1" t="s">
        <v>1379</v>
      </c>
      <c r="F332" s="1" t="s">
        <v>3350</v>
      </c>
      <c r="H332" s="1" t="s">
        <v>1974</v>
      </c>
      <c r="I332" s="1" t="s">
        <v>1975</v>
      </c>
    </row>
    <row r="333" ht="15.75" customHeight="1">
      <c r="A333" s="1" t="s">
        <v>3351</v>
      </c>
      <c r="B333" s="1" t="s">
        <v>3352</v>
      </c>
      <c r="C333" s="1">
        <v>2013.0</v>
      </c>
      <c r="D333" s="1" t="s">
        <v>3329</v>
      </c>
      <c r="E333" s="1" t="s">
        <v>3353</v>
      </c>
      <c r="F333" s="1" t="s">
        <v>3354</v>
      </c>
      <c r="G333" s="1">
        <v>6.0</v>
      </c>
      <c r="H333" s="1" t="s">
        <v>1974</v>
      </c>
      <c r="I333" s="1" t="s">
        <v>2101</v>
      </c>
    </row>
    <row r="334" ht="15.75" customHeight="1">
      <c r="A334" s="1" t="s">
        <v>3355</v>
      </c>
      <c r="B334" s="1" t="s">
        <v>3356</v>
      </c>
      <c r="C334" s="1">
        <v>2012.0</v>
      </c>
      <c r="D334" s="1" t="s">
        <v>39</v>
      </c>
      <c r="E334" s="1" t="s">
        <v>3357</v>
      </c>
      <c r="F334" s="1" t="s">
        <v>3358</v>
      </c>
      <c r="G334" s="1">
        <v>11.0</v>
      </c>
      <c r="H334" s="1" t="s">
        <v>1974</v>
      </c>
      <c r="I334" s="1" t="s">
        <v>2101</v>
      </c>
    </row>
    <row r="335" ht="15.75" customHeight="1">
      <c r="A335" s="1" t="s">
        <v>3359</v>
      </c>
      <c r="B335" s="1" t="s">
        <v>3360</v>
      </c>
      <c r="C335" s="1">
        <v>2023.0</v>
      </c>
      <c r="D335" s="1" t="s">
        <v>3042</v>
      </c>
      <c r="E335" s="1" t="s">
        <v>3361</v>
      </c>
      <c r="F335" s="1" t="s">
        <v>3362</v>
      </c>
      <c r="G335" s="1">
        <v>11.0</v>
      </c>
      <c r="H335" s="1" t="s">
        <v>1974</v>
      </c>
      <c r="I335" s="1" t="s">
        <v>2889</v>
      </c>
    </row>
    <row r="336" ht="15.75" customHeight="1">
      <c r="A336" s="1" t="s">
        <v>3363</v>
      </c>
      <c r="B336" s="1" t="s">
        <v>3364</v>
      </c>
      <c r="C336" s="1">
        <v>2010.0</v>
      </c>
      <c r="D336" s="1" t="s">
        <v>3365</v>
      </c>
      <c r="E336" s="1" t="s">
        <v>3366</v>
      </c>
      <c r="F336" s="1" t="s">
        <v>3367</v>
      </c>
      <c r="G336" s="1">
        <v>3.0</v>
      </c>
      <c r="H336" s="1" t="s">
        <v>1974</v>
      </c>
      <c r="I336" s="1" t="s">
        <v>1975</v>
      </c>
    </row>
    <row r="337" ht="15.75" customHeight="1">
      <c r="A337" s="1" t="s">
        <v>3368</v>
      </c>
      <c r="B337" s="1" t="s">
        <v>3369</v>
      </c>
      <c r="C337" s="1">
        <v>2007.0</v>
      </c>
      <c r="D337" s="1" t="s">
        <v>3370</v>
      </c>
      <c r="E337" s="1" t="s">
        <v>3371</v>
      </c>
      <c r="F337" s="1" t="s">
        <v>3372</v>
      </c>
      <c r="G337" s="1">
        <v>96.0</v>
      </c>
      <c r="H337" s="1" t="s">
        <v>1974</v>
      </c>
      <c r="I337" s="1" t="s">
        <v>1975</v>
      </c>
    </row>
    <row r="338" ht="15.75" customHeight="1">
      <c r="A338" s="1" t="s">
        <v>3373</v>
      </c>
      <c r="B338" s="1" t="s">
        <v>3374</v>
      </c>
      <c r="C338" s="1">
        <v>2019.0</v>
      </c>
      <c r="D338" s="1" t="s">
        <v>3375</v>
      </c>
      <c r="E338" s="1" t="s">
        <v>620</v>
      </c>
      <c r="F338" s="1" t="s">
        <v>3376</v>
      </c>
      <c r="H338" s="1" t="s">
        <v>1974</v>
      </c>
      <c r="I338" s="1" t="s">
        <v>1975</v>
      </c>
    </row>
    <row r="339" ht="15.75" customHeight="1">
      <c r="A339" s="1" t="s">
        <v>3377</v>
      </c>
      <c r="B339" s="1" t="s">
        <v>3378</v>
      </c>
      <c r="C339" s="1">
        <v>2019.0</v>
      </c>
      <c r="D339" s="1" t="s">
        <v>3379</v>
      </c>
      <c r="E339" s="1" t="s">
        <v>763</v>
      </c>
      <c r="F339" s="1" t="s">
        <v>3380</v>
      </c>
      <c r="G339" s="1">
        <v>6.0</v>
      </c>
      <c r="H339" s="1" t="s">
        <v>1974</v>
      </c>
      <c r="I339" s="1" t="s">
        <v>1975</v>
      </c>
    </row>
    <row r="340" ht="15.75" customHeight="1">
      <c r="A340" s="1" t="s">
        <v>1827</v>
      </c>
      <c r="B340" s="1" t="s">
        <v>3381</v>
      </c>
      <c r="C340" s="1">
        <v>2009.0</v>
      </c>
      <c r="D340" s="1" t="s">
        <v>3382</v>
      </c>
      <c r="E340" s="1" t="s">
        <v>1830</v>
      </c>
      <c r="F340" s="1" t="s">
        <v>3383</v>
      </c>
      <c r="G340" s="1">
        <v>5.0</v>
      </c>
      <c r="H340" s="1" t="s">
        <v>1974</v>
      </c>
      <c r="I340" s="1" t="s">
        <v>1975</v>
      </c>
    </row>
    <row r="341" ht="15.75" customHeight="1">
      <c r="A341" s="1" t="s">
        <v>1730</v>
      </c>
      <c r="B341" s="1" t="s">
        <v>3384</v>
      </c>
      <c r="C341" s="1">
        <v>2002.0</v>
      </c>
      <c r="D341" s="1" t="s">
        <v>91</v>
      </c>
      <c r="E341" s="1" t="s">
        <v>1732</v>
      </c>
      <c r="F341" s="1" t="s">
        <v>3385</v>
      </c>
      <c r="G341" s="1">
        <v>1.0</v>
      </c>
      <c r="H341" s="1" t="s">
        <v>1974</v>
      </c>
      <c r="I341" s="1" t="s">
        <v>2101</v>
      </c>
    </row>
    <row r="342" ht="15.75" customHeight="1">
      <c r="A342" s="1" t="s">
        <v>3386</v>
      </c>
      <c r="B342" s="1" t="s">
        <v>3387</v>
      </c>
      <c r="C342" s="1">
        <v>2006.0</v>
      </c>
      <c r="D342" s="1" t="s">
        <v>3388</v>
      </c>
      <c r="E342" s="1" t="s">
        <v>3389</v>
      </c>
      <c r="F342" s="1" t="s">
        <v>3390</v>
      </c>
      <c r="G342" s="1">
        <v>2.0</v>
      </c>
      <c r="H342" s="1" t="s">
        <v>1974</v>
      </c>
      <c r="I342" s="1" t="s">
        <v>2287</v>
      </c>
    </row>
    <row r="343" ht="15.75" customHeight="1">
      <c r="A343" s="1" t="s">
        <v>3391</v>
      </c>
      <c r="C343" s="1">
        <v>2008.0</v>
      </c>
      <c r="D343" s="1" t="s">
        <v>3392</v>
      </c>
      <c r="E343" s="1" t="s">
        <v>3393</v>
      </c>
      <c r="F343" s="1" t="s">
        <v>3394</v>
      </c>
      <c r="H343" s="1" t="s">
        <v>1974</v>
      </c>
      <c r="I343" s="1" t="s">
        <v>1975</v>
      </c>
    </row>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9.44"/>
    <col customWidth="1" min="2" max="3" width="3.0"/>
    <col customWidth="1" min="4" max="4" width="13.33"/>
    <col customWidth="1" min="5" max="7" width="3.0"/>
    <col customWidth="1" min="8" max="8" width="11.56"/>
    <col customWidth="1" min="9" max="26" width="3.0"/>
  </cols>
  <sheetData>
    <row r="1" ht="15.75" customHeight="1">
      <c r="A1" s="1" t="s">
        <v>0</v>
      </c>
      <c r="B1" s="1" t="s">
        <v>1</v>
      </c>
      <c r="C1" s="1" t="s">
        <v>3395</v>
      </c>
      <c r="D1" s="1" t="s">
        <v>3396</v>
      </c>
      <c r="E1" s="1" t="s">
        <v>4</v>
      </c>
      <c r="F1" s="1" t="s">
        <v>3397</v>
      </c>
      <c r="G1" s="1" t="s">
        <v>3398</v>
      </c>
      <c r="H1" s="1" t="s">
        <v>1969</v>
      </c>
      <c r="I1" s="1" t="s">
        <v>3399</v>
      </c>
    </row>
    <row r="2" ht="15.75" customHeight="1">
      <c r="A2" s="1" t="s">
        <v>1627</v>
      </c>
      <c r="B2" s="1" t="s">
        <v>3400</v>
      </c>
      <c r="C2" s="1">
        <v>2010.0</v>
      </c>
      <c r="D2" s="1" t="s">
        <v>3401</v>
      </c>
      <c r="E2" s="1" t="s">
        <v>1630</v>
      </c>
      <c r="F2" s="1" t="s">
        <v>3402</v>
      </c>
      <c r="G2" s="1" t="s">
        <v>3403</v>
      </c>
      <c r="H2" s="1" t="s">
        <v>3404</v>
      </c>
      <c r="I2" s="1" t="s">
        <v>3405</v>
      </c>
    </row>
    <row r="3" ht="15.75" customHeight="1">
      <c r="A3" s="1" t="s">
        <v>1996</v>
      </c>
      <c r="B3" s="1" t="s">
        <v>3406</v>
      </c>
      <c r="C3" s="1">
        <v>2021.0</v>
      </c>
      <c r="D3" s="1" t="s">
        <v>3407</v>
      </c>
      <c r="E3" s="1" t="s">
        <v>667</v>
      </c>
      <c r="F3" s="1" t="s">
        <v>3408</v>
      </c>
      <c r="G3" s="1" t="s">
        <v>3403</v>
      </c>
      <c r="H3" s="1" t="s">
        <v>3409</v>
      </c>
      <c r="I3" s="1" t="s">
        <v>3405</v>
      </c>
    </row>
    <row r="4" ht="15.75" customHeight="1">
      <c r="A4" s="1" t="s">
        <v>3410</v>
      </c>
      <c r="B4" s="1" t="s">
        <v>3406</v>
      </c>
      <c r="C4" s="1">
        <v>2021.0</v>
      </c>
      <c r="D4" s="1" t="s">
        <v>3411</v>
      </c>
      <c r="E4" s="1" t="s">
        <v>699</v>
      </c>
      <c r="F4" s="1" t="s">
        <v>3412</v>
      </c>
      <c r="G4" s="1" t="s">
        <v>3403</v>
      </c>
      <c r="H4" s="1" t="s">
        <v>3409</v>
      </c>
      <c r="I4" s="1" t="s">
        <v>3405</v>
      </c>
    </row>
    <row r="5" ht="15.75" customHeight="1">
      <c r="A5" s="1" t="s">
        <v>122</v>
      </c>
      <c r="B5" s="1" t="s">
        <v>3413</v>
      </c>
      <c r="C5" s="1">
        <v>2023.0</v>
      </c>
      <c r="D5" s="1" t="s">
        <v>3414</v>
      </c>
      <c r="E5" s="1" t="s">
        <v>125</v>
      </c>
      <c r="F5" s="1" t="s">
        <v>3415</v>
      </c>
      <c r="G5" s="1" t="s">
        <v>3403</v>
      </c>
      <c r="H5" s="1" t="s">
        <v>3404</v>
      </c>
      <c r="I5" s="1" t="s">
        <v>3416</v>
      </c>
    </row>
    <row r="6" ht="15.75" customHeight="1">
      <c r="A6" s="1" t="s">
        <v>1789</v>
      </c>
      <c r="B6" s="1" t="s">
        <v>3400</v>
      </c>
      <c r="C6" s="1">
        <v>2011.0</v>
      </c>
      <c r="D6" s="1" t="s">
        <v>3417</v>
      </c>
      <c r="E6" s="1" t="s">
        <v>1791</v>
      </c>
      <c r="F6" s="1" t="s">
        <v>3418</v>
      </c>
      <c r="G6" s="1" t="s">
        <v>3403</v>
      </c>
      <c r="H6" s="1" t="s">
        <v>3404</v>
      </c>
      <c r="I6" s="1" t="s">
        <v>3405</v>
      </c>
    </row>
    <row r="7" ht="15.75" customHeight="1">
      <c r="A7" s="1" t="s">
        <v>76</v>
      </c>
      <c r="B7" s="1" t="s">
        <v>3419</v>
      </c>
      <c r="C7" s="1">
        <v>2023.0</v>
      </c>
      <c r="D7" s="1" t="s">
        <v>3420</v>
      </c>
      <c r="E7" s="1" t="s">
        <v>79</v>
      </c>
      <c r="F7" s="1" t="s">
        <v>3421</v>
      </c>
      <c r="G7" s="1" t="s">
        <v>3403</v>
      </c>
      <c r="H7" s="1" t="s">
        <v>3409</v>
      </c>
      <c r="I7" s="1" t="s">
        <v>3405</v>
      </c>
    </row>
    <row r="8" ht="15.75" customHeight="1">
      <c r="A8" s="1" t="s">
        <v>3422</v>
      </c>
      <c r="B8" s="1" t="s">
        <v>3423</v>
      </c>
      <c r="C8" s="1">
        <v>2023.0</v>
      </c>
      <c r="D8" s="1" t="s">
        <v>3424</v>
      </c>
      <c r="E8" s="1" t="s">
        <v>3425</v>
      </c>
      <c r="F8" s="1" t="s">
        <v>3426</v>
      </c>
      <c r="G8" s="1" t="s">
        <v>3403</v>
      </c>
      <c r="H8" s="1" t="s">
        <v>3404</v>
      </c>
      <c r="I8" s="1" t="s">
        <v>3405</v>
      </c>
    </row>
    <row r="9" ht="15.75" customHeight="1">
      <c r="A9" s="1" t="s">
        <v>3427</v>
      </c>
      <c r="B9" s="1" t="s">
        <v>3428</v>
      </c>
      <c r="C9" s="1">
        <v>2024.0</v>
      </c>
      <c r="D9" s="1" t="s">
        <v>3414</v>
      </c>
      <c r="E9" s="1" t="s">
        <v>3429</v>
      </c>
      <c r="F9" s="1" t="s">
        <v>3430</v>
      </c>
      <c r="G9" s="1" t="s">
        <v>3403</v>
      </c>
      <c r="H9" s="1" t="s">
        <v>3404</v>
      </c>
      <c r="I9" s="1" t="s">
        <v>3416</v>
      </c>
    </row>
    <row r="10" ht="15.75" customHeight="1">
      <c r="A10" s="1" t="s">
        <v>3431</v>
      </c>
      <c r="B10" s="1" t="s">
        <v>3432</v>
      </c>
      <c r="C10" s="1">
        <v>2009.0</v>
      </c>
      <c r="D10" s="1" t="s">
        <v>3433</v>
      </c>
      <c r="E10" s="1" t="s">
        <v>1594</v>
      </c>
      <c r="F10" s="1" t="s">
        <v>3434</v>
      </c>
      <c r="G10" s="1" t="s">
        <v>3403</v>
      </c>
      <c r="H10" s="1" t="s">
        <v>3435</v>
      </c>
      <c r="I10" s="1" t="s">
        <v>3405</v>
      </c>
    </row>
    <row r="11" ht="15.75" customHeight="1">
      <c r="A11" s="1" t="s">
        <v>558</v>
      </c>
      <c r="B11" s="1" t="s">
        <v>3436</v>
      </c>
      <c r="C11" s="1">
        <v>2020.0</v>
      </c>
      <c r="D11" s="1" t="s">
        <v>3437</v>
      </c>
      <c r="E11" s="1" t="s">
        <v>560</v>
      </c>
      <c r="F11" s="1" t="s">
        <v>3438</v>
      </c>
      <c r="G11" s="1" t="s">
        <v>3403</v>
      </c>
      <c r="H11" s="1" t="s">
        <v>3404</v>
      </c>
      <c r="I11" s="1" t="s">
        <v>3405</v>
      </c>
    </row>
    <row r="12" ht="15.75" customHeight="1">
      <c r="A12" s="1" t="s">
        <v>256</v>
      </c>
      <c r="B12" s="1" t="s">
        <v>3439</v>
      </c>
      <c r="C12" s="1">
        <v>2024.0</v>
      </c>
      <c r="D12" s="1" t="s">
        <v>3440</v>
      </c>
      <c r="E12" s="1" t="s">
        <v>258</v>
      </c>
      <c r="F12" s="1" t="s">
        <v>3441</v>
      </c>
      <c r="G12" s="1" t="s">
        <v>3403</v>
      </c>
      <c r="H12" s="1" t="s">
        <v>3404</v>
      </c>
      <c r="I12" s="1" t="s">
        <v>3405</v>
      </c>
    </row>
    <row r="13" ht="15.75" customHeight="1">
      <c r="A13" s="1" t="s">
        <v>3442</v>
      </c>
      <c r="B13" s="1" t="s">
        <v>3443</v>
      </c>
      <c r="C13" s="1">
        <v>2021.0</v>
      </c>
      <c r="D13" s="1" t="s">
        <v>3444</v>
      </c>
      <c r="E13" s="1" t="s">
        <v>354</v>
      </c>
      <c r="F13" s="1" t="s">
        <v>3445</v>
      </c>
      <c r="G13" s="1" t="s">
        <v>3403</v>
      </c>
      <c r="H13" s="1" t="s">
        <v>3404</v>
      </c>
      <c r="I13" s="1" t="s">
        <v>3405</v>
      </c>
    </row>
    <row r="14" ht="15.75" customHeight="1">
      <c r="A14" s="1" t="s">
        <v>890</v>
      </c>
      <c r="B14" s="1" t="s">
        <v>3446</v>
      </c>
      <c r="C14" s="1">
        <v>2020.0</v>
      </c>
      <c r="D14" s="1" t="s">
        <v>3447</v>
      </c>
      <c r="E14" s="1" t="s">
        <v>892</v>
      </c>
      <c r="F14" s="1" t="s">
        <v>3448</v>
      </c>
      <c r="G14" s="1" t="s">
        <v>3403</v>
      </c>
      <c r="H14" s="1" t="s">
        <v>3404</v>
      </c>
      <c r="I14" s="1" t="s">
        <v>3405</v>
      </c>
    </row>
    <row r="15" ht="15.75" customHeight="1">
      <c r="A15" s="1" t="s">
        <v>3449</v>
      </c>
      <c r="B15" s="1" t="s">
        <v>3450</v>
      </c>
      <c r="C15" s="1">
        <v>2019.0</v>
      </c>
      <c r="D15" s="1" t="s">
        <v>3451</v>
      </c>
      <c r="E15" s="1" t="s">
        <v>922</v>
      </c>
      <c r="F15" s="1" t="s">
        <v>3452</v>
      </c>
      <c r="G15" s="1" t="s">
        <v>3403</v>
      </c>
      <c r="H15" s="1" t="s">
        <v>3409</v>
      </c>
      <c r="I15" s="1" t="s">
        <v>3405</v>
      </c>
    </row>
    <row r="16" ht="15.75" customHeight="1">
      <c r="A16" s="1" t="s">
        <v>3453</v>
      </c>
      <c r="B16" s="1" t="s">
        <v>3454</v>
      </c>
      <c r="C16" s="1">
        <v>2022.0</v>
      </c>
      <c r="D16" s="1" t="s">
        <v>3455</v>
      </c>
      <c r="E16" s="1" t="s">
        <v>389</v>
      </c>
      <c r="F16" s="1" t="s">
        <v>3456</v>
      </c>
      <c r="G16" s="1" t="s">
        <v>3403</v>
      </c>
      <c r="H16" s="1" t="s">
        <v>3404</v>
      </c>
      <c r="I16" s="1" t="s">
        <v>3405</v>
      </c>
    </row>
    <row r="17" ht="15.75" customHeight="1">
      <c r="A17" s="1" t="s">
        <v>290</v>
      </c>
      <c r="B17" s="1" t="s">
        <v>3457</v>
      </c>
      <c r="C17" s="1">
        <v>2022.0</v>
      </c>
      <c r="D17" s="1" t="s">
        <v>3458</v>
      </c>
      <c r="E17" s="1" t="s">
        <v>293</v>
      </c>
      <c r="F17" s="1" t="s">
        <v>3459</v>
      </c>
      <c r="G17" s="1" t="s">
        <v>3403</v>
      </c>
      <c r="H17" s="1" t="s">
        <v>3404</v>
      </c>
      <c r="I17" s="1" t="s">
        <v>3405</v>
      </c>
    </row>
    <row r="18" ht="15.75" customHeight="1">
      <c r="A18" s="1" t="s">
        <v>3460</v>
      </c>
      <c r="B18" s="1" t="s">
        <v>3461</v>
      </c>
      <c r="C18" s="1">
        <v>2020.0</v>
      </c>
      <c r="D18" s="1" t="s">
        <v>3462</v>
      </c>
      <c r="E18" s="1" t="s">
        <v>901</v>
      </c>
      <c r="F18" s="1" t="s">
        <v>3463</v>
      </c>
      <c r="G18" s="1" t="s">
        <v>3403</v>
      </c>
      <c r="H18" s="1" t="s">
        <v>3404</v>
      </c>
      <c r="I18" s="1" t="s">
        <v>3405</v>
      </c>
    </row>
    <row r="19" ht="15.75" customHeight="1">
      <c r="A19" s="1" t="s">
        <v>246</v>
      </c>
      <c r="B19" s="1" t="s">
        <v>3464</v>
      </c>
      <c r="C19" s="1">
        <v>2024.0</v>
      </c>
      <c r="D19" s="1" t="s">
        <v>3465</v>
      </c>
      <c r="E19" s="1" t="s">
        <v>249</v>
      </c>
      <c r="F19" s="1" t="s">
        <v>3466</v>
      </c>
      <c r="G19" s="1" t="s">
        <v>3403</v>
      </c>
      <c r="H19" s="1" t="s">
        <v>3409</v>
      </c>
      <c r="I19" s="1" t="s">
        <v>3405</v>
      </c>
    </row>
    <row r="20" ht="15.75" customHeight="1">
      <c r="A20" s="1" t="s">
        <v>3467</v>
      </c>
      <c r="B20" s="1" t="s">
        <v>3468</v>
      </c>
      <c r="C20" s="1">
        <v>2011.0</v>
      </c>
      <c r="D20" s="1" t="s">
        <v>3469</v>
      </c>
      <c r="E20" s="1" t="s">
        <v>1749</v>
      </c>
      <c r="F20" s="1" t="s">
        <v>3470</v>
      </c>
      <c r="G20" s="1" t="s">
        <v>3403</v>
      </c>
      <c r="H20" s="1" t="s">
        <v>3404</v>
      </c>
      <c r="I20" s="1" t="s">
        <v>3405</v>
      </c>
    </row>
    <row r="21" ht="15.75" customHeight="1">
      <c r="A21" s="1" t="s">
        <v>3471</v>
      </c>
      <c r="B21" s="1" t="s">
        <v>3472</v>
      </c>
      <c r="C21" s="1">
        <v>2017.0</v>
      </c>
      <c r="D21" s="1" t="s">
        <v>3473</v>
      </c>
      <c r="E21" s="1" t="s">
        <v>1290</v>
      </c>
      <c r="F21" s="1" t="s">
        <v>3474</v>
      </c>
      <c r="G21" s="1" t="s">
        <v>3403</v>
      </c>
      <c r="H21" s="1" t="s">
        <v>3404</v>
      </c>
      <c r="I21" s="1" t="s">
        <v>3405</v>
      </c>
    </row>
    <row r="22" ht="15.75" customHeight="1">
      <c r="A22" s="1" t="s">
        <v>305</v>
      </c>
      <c r="B22" s="1" t="s">
        <v>3475</v>
      </c>
      <c r="C22" s="1">
        <v>2023.0</v>
      </c>
      <c r="D22" s="1" t="s">
        <v>3476</v>
      </c>
      <c r="E22" s="1" t="s">
        <v>307</v>
      </c>
      <c r="F22" s="1" t="s">
        <v>3477</v>
      </c>
      <c r="G22" s="1" t="s">
        <v>3403</v>
      </c>
      <c r="H22" s="1" t="s">
        <v>3409</v>
      </c>
      <c r="I22" s="1" t="s">
        <v>3405</v>
      </c>
    </row>
    <row r="23" ht="15.75" customHeight="1">
      <c r="A23" s="1" t="s">
        <v>1440</v>
      </c>
      <c r="B23" s="1" t="s">
        <v>3478</v>
      </c>
      <c r="C23" s="1">
        <v>2011.0</v>
      </c>
      <c r="D23" s="1" t="s">
        <v>3479</v>
      </c>
      <c r="E23" s="1" t="s">
        <v>1443</v>
      </c>
      <c r="F23" s="1" t="s">
        <v>3480</v>
      </c>
      <c r="G23" s="1" t="s">
        <v>3403</v>
      </c>
      <c r="H23" s="1" t="s">
        <v>3404</v>
      </c>
      <c r="I23" s="1" t="s">
        <v>3405</v>
      </c>
    </row>
    <row r="24" ht="15.75" customHeight="1">
      <c r="A24" s="1" t="s">
        <v>3481</v>
      </c>
      <c r="B24" s="1" t="s">
        <v>3482</v>
      </c>
      <c r="C24" s="1">
        <v>2016.0</v>
      </c>
      <c r="D24" s="1" t="s">
        <v>3483</v>
      </c>
      <c r="E24" s="1" t="s">
        <v>1204</v>
      </c>
      <c r="F24" s="1" t="s">
        <v>3484</v>
      </c>
      <c r="G24" s="1" t="s">
        <v>3403</v>
      </c>
      <c r="H24" s="1" t="s">
        <v>3404</v>
      </c>
      <c r="I24" s="1" t="s">
        <v>3405</v>
      </c>
    </row>
    <row r="25" ht="15.75" customHeight="1">
      <c r="A25" s="1" t="s">
        <v>3485</v>
      </c>
      <c r="B25" s="1" t="s">
        <v>3486</v>
      </c>
      <c r="C25" s="1">
        <v>2012.0</v>
      </c>
      <c r="D25" s="1" t="s">
        <v>3487</v>
      </c>
      <c r="E25" s="1" t="s">
        <v>3488</v>
      </c>
      <c r="F25" s="1" t="s">
        <v>3489</v>
      </c>
      <c r="G25" s="1" t="s">
        <v>3403</v>
      </c>
      <c r="H25" s="1" t="s">
        <v>3404</v>
      </c>
      <c r="I25" s="1" t="s">
        <v>3405</v>
      </c>
    </row>
    <row r="26" ht="15.75" customHeight="1">
      <c r="A26" s="1" t="s">
        <v>3485</v>
      </c>
      <c r="B26" s="1" t="s">
        <v>3486</v>
      </c>
      <c r="C26" s="1">
        <v>2012.0</v>
      </c>
      <c r="D26" s="1" t="s">
        <v>3490</v>
      </c>
      <c r="E26" s="1" t="s">
        <v>3491</v>
      </c>
      <c r="F26" s="1" t="s">
        <v>3492</v>
      </c>
      <c r="G26" s="1" t="s">
        <v>3403</v>
      </c>
      <c r="H26" s="1" t="s">
        <v>3404</v>
      </c>
      <c r="I26" s="1" t="s">
        <v>3416</v>
      </c>
    </row>
    <row r="27" ht="15.75" customHeight="1">
      <c r="A27" s="1" t="s">
        <v>674</v>
      </c>
      <c r="B27" s="1" t="s">
        <v>3493</v>
      </c>
      <c r="C27" s="1">
        <v>2020.0</v>
      </c>
      <c r="D27" s="1" t="s">
        <v>3494</v>
      </c>
      <c r="E27" s="1" t="s">
        <v>676</v>
      </c>
      <c r="F27" s="1" t="s">
        <v>3495</v>
      </c>
      <c r="G27" s="1" t="s">
        <v>3403</v>
      </c>
      <c r="H27" s="1" t="s">
        <v>3404</v>
      </c>
      <c r="I27" s="1" t="s">
        <v>3405</v>
      </c>
    </row>
    <row r="28" ht="15.75" customHeight="1">
      <c r="A28" s="1" t="s">
        <v>3496</v>
      </c>
      <c r="B28" s="1" t="s">
        <v>3497</v>
      </c>
      <c r="C28" s="1">
        <v>2017.0</v>
      </c>
      <c r="D28" s="1" t="s">
        <v>3498</v>
      </c>
      <c r="E28" s="1" t="s">
        <v>1295</v>
      </c>
      <c r="F28" s="1" t="s">
        <v>3499</v>
      </c>
      <c r="G28" s="1" t="s">
        <v>3403</v>
      </c>
      <c r="H28" s="1" t="s">
        <v>3404</v>
      </c>
      <c r="I28" s="1" t="s">
        <v>3405</v>
      </c>
    </row>
    <row r="29" ht="15.75" customHeight="1">
      <c r="A29" s="1" t="s">
        <v>1827</v>
      </c>
      <c r="B29" s="1" t="s">
        <v>3500</v>
      </c>
      <c r="C29" s="1">
        <v>2009.0</v>
      </c>
      <c r="D29" s="1" t="s">
        <v>3501</v>
      </c>
      <c r="G29" s="1" t="s">
        <v>3403</v>
      </c>
      <c r="H29" s="1" t="s">
        <v>3409</v>
      </c>
      <c r="I29" s="1" t="s">
        <v>3405</v>
      </c>
    </row>
    <row r="30" ht="15.75" customHeight="1">
      <c r="A30" s="1" t="s">
        <v>3502</v>
      </c>
      <c r="B30" s="1" t="s">
        <v>3503</v>
      </c>
      <c r="C30" s="1">
        <v>2020.0</v>
      </c>
      <c r="D30" s="1" t="s">
        <v>3504</v>
      </c>
      <c r="E30" s="1" t="s">
        <v>3505</v>
      </c>
      <c r="F30" s="1" t="s">
        <v>3506</v>
      </c>
      <c r="G30" s="1" t="s">
        <v>3403</v>
      </c>
      <c r="H30" s="1" t="s">
        <v>3404</v>
      </c>
      <c r="I30" s="1" t="s">
        <v>3416</v>
      </c>
    </row>
    <row r="31" ht="15.75" customHeight="1">
      <c r="A31" s="1" t="s">
        <v>3507</v>
      </c>
      <c r="B31" s="1" t="s">
        <v>3508</v>
      </c>
      <c r="C31" s="1">
        <v>2019.0</v>
      </c>
      <c r="D31" s="1" t="s">
        <v>3509</v>
      </c>
      <c r="E31" s="1" t="s">
        <v>777</v>
      </c>
      <c r="F31" s="1" t="s">
        <v>3510</v>
      </c>
      <c r="G31" s="1" t="s">
        <v>3403</v>
      </c>
      <c r="H31" s="1" t="s">
        <v>3409</v>
      </c>
      <c r="I31" s="1" t="s">
        <v>3405</v>
      </c>
    </row>
    <row r="32" ht="15.75" customHeight="1">
      <c r="A32" s="1" t="s">
        <v>3511</v>
      </c>
      <c r="B32" s="1" t="s">
        <v>3512</v>
      </c>
      <c r="C32" s="1">
        <v>2020.0</v>
      </c>
      <c r="D32" s="1" t="s">
        <v>3513</v>
      </c>
      <c r="E32" s="1" t="s">
        <v>914</v>
      </c>
      <c r="F32" s="1" t="s">
        <v>3514</v>
      </c>
      <c r="G32" s="1" t="s">
        <v>3403</v>
      </c>
      <c r="H32" s="1" t="s">
        <v>3404</v>
      </c>
      <c r="I32" s="1" t="s">
        <v>3405</v>
      </c>
    </row>
    <row r="33" ht="15.75" customHeight="1">
      <c r="A33" s="1" t="s">
        <v>1119</v>
      </c>
      <c r="B33" s="1" t="s">
        <v>3515</v>
      </c>
      <c r="C33" s="1">
        <v>2015.0</v>
      </c>
      <c r="D33" s="1" t="s">
        <v>3516</v>
      </c>
      <c r="E33" s="1" t="s">
        <v>1122</v>
      </c>
      <c r="F33" s="1" t="s">
        <v>3517</v>
      </c>
      <c r="G33" s="1" t="s">
        <v>3403</v>
      </c>
      <c r="H33" s="1" t="s">
        <v>3404</v>
      </c>
      <c r="I33" s="1" t="s">
        <v>3405</v>
      </c>
    </row>
    <row r="34" ht="15.75" customHeight="1">
      <c r="A34" s="1" t="s">
        <v>3518</v>
      </c>
      <c r="B34" s="1" t="s">
        <v>3519</v>
      </c>
      <c r="C34" s="1">
        <v>1987.0</v>
      </c>
      <c r="D34" s="1" t="s">
        <v>3520</v>
      </c>
      <c r="G34" s="1" t="s">
        <v>3403</v>
      </c>
      <c r="H34" s="1" t="s">
        <v>3521</v>
      </c>
      <c r="I34" s="1" t="s">
        <v>3405</v>
      </c>
    </row>
    <row r="35" ht="15.75" customHeight="1">
      <c r="A35" s="1" t="s">
        <v>137</v>
      </c>
      <c r="B35" s="1" t="s">
        <v>3522</v>
      </c>
      <c r="C35" s="1">
        <v>2023.0</v>
      </c>
      <c r="D35" s="1" t="s">
        <v>3523</v>
      </c>
      <c r="E35" s="1" t="s">
        <v>140</v>
      </c>
      <c r="F35" s="1" t="s">
        <v>3524</v>
      </c>
      <c r="G35" s="1" t="s">
        <v>3403</v>
      </c>
      <c r="H35" s="1" t="s">
        <v>3404</v>
      </c>
      <c r="I35" s="1" t="s">
        <v>3416</v>
      </c>
    </row>
    <row r="36" ht="15.75" customHeight="1">
      <c r="A36" s="1" t="s">
        <v>1262</v>
      </c>
      <c r="B36" s="1" t="s">
        <v>3525</v>
      </c>
      <c r="C36" s="1">
        <v>2013.0</v>
      </c>
      <c r="D36" s="1" t="s">
        <v>3526</v>
      </c>
      <c r="E36" s="1" t="s">
        <v>1265</v>
      </c>
      <c r="F36" s="1" t="s">
        <v>3527</v>
      </c>
      <c r="G36" s="1" t="s">
        <v>3403</v>
      </c>
      <c r="H36" s="1" t="s">
        <v>3404</v>
      </c>
      <c r="I36" s="1" t="s">
        <v>3405</v>
      </c>
    </row>
    <row r="37" ht="15.75" customHeight="1">
      <c r="A37" s="1" t="s">
        <v>3528</v>
      </c>
      <c r="B37" s="1" t="s">
        <v>3529</v>
      </c>
      <c r="C37" s="1">
        <v>2021.0</v>
      </c>
      <c r="D37" s="1" t="s">
        <v>3530</v>
      </c>
      <c r="E37" s="1" t="s">
        <v>595</v>
      </c>
      <c r="F37" s="1" t="s">
        <v>3531</v>
      </c>
      <c r="G37" s="1" t="s">
        <v>3403</v>
      </c>
      <c r="H37" s="1" t="s">
        <v>3532</v>
      </c>
      <c r="I37" s="1" t="s">
        <v>3416</v>
      </c>
    </row>
    <row r="38" ht="15.75" customHeight="1">
      <c r="A38" s="1" t="s">
        <v>3533</v>
      </c>
      <c r="B38" s="1" t="s">
        <v>3534</v>
      </c>
      <c r="C38" s="1">
        <v>2020.0</v>
      </c>
      <c r="D38" s="1" t="s">
        <v>3535</v>
      </c>
      <c r="E38" s="1" t="s">
        <v>3536</v>
      </c>
      <c r="F38" s="1" t="s">
        <v>3537</v>
      </c>
      <c r="G38" s="1" t="s">
        <v>3403</v>
      </c>
      <c r="H38" s="1" t="s">
        <v>3404</v>
      </c>
      <c r="I38" s="1" t="s">
        <v>3405</v>
      </c>
    </row>
    <row r="39" ht="15.75" customHeight="1">
      <c r="A39" s="1" t="s">
        <v>3538</v>
      </c>
      <c r="B39" s="1" t="s">
        <v>3539</v>
      </c>
      <c r="C39" s="1">
        <v>2018.0</v>
      </c>
      <c r="D39" s="1" t="s">
        <v>3540</v>
      </c>
      <c r="E39" s="1" t="s">
        <v>491</v>
      </c>
      <c r="F39" s="1" t="s">
        <v>3541</v>
      </c>
      <c r="G39" s="1" t="s">
        <v>3403</v>
      </c>
      <c r="H39" s="1" t="s">
        <v>3404</v>
      </c>
      <c r="I39" s="1" t="s">
        <v>3405</v>
      </c>
    </row>
    <row r="40" ht="15.75" customHeight="1">
      <c r="A40" s="1" t="s">
        <v>3351</v>
      </c>
      <c r="B40" s="1" t="s">
        <v>3542</v>
      </c>
      <c r="C40" s="1">
        <v>2013.0</v>
      </c>
      <c r="D40" s="1" t="s">
        <v>3543</v>
      </c>
      <c r="E40" s="1" t="s">
        <v>3353</v>
      </c>
      <c r="F40" s="1" t="s">
        <v>3544</v>
      </c>
      <c r="G40" s="1" t="s">
        <v>3403</v>
      </c>
      <c r="H40" s="1" t="s">
        <v>3521</v>
      </c>
      <c r="I40" s="1" t="s">
        <v>3416</v>
      </c>
    </row>
    <row r="41" ht="15.75" customHeight="1">
      <c r="A41" s="1" t="s">
        <v>1548</v>
      </c>
      <c r="B41" s="1" t="s">
        <v>3545</v>
      </c>
      <c r="C41" s="1">
        <v>2003.0</v>
      </c>
      <c r="D41" s="1" t="s">
        <v>3546</v>
      </c>
      <c r="E41" s="1" t="s">
        <v>3547</v>
      </c>
      <c r="F41" s="1" t="s">
        <v>3548</v>
      </c>
      <c r="G41" s="1" t="s">
        <v>3403</v>
      </c>
      <c r="H41" s="1" t="s">
        <v>3404</v>
      </c>
      <c r="I41" s="1" t="s">
        <v>3405</v>
      </c>
    </row>
    <row r="42" ht="15.75" customHeight="1">
      <c r="A42" s="1" t="s">
        <v>1548</v>
      </c>
      <c r="B42" s="1" t="s">
        <v>3545</v>
      </c>
      <c r="C42" s="1">
        <v>2003.0</v>
      </c>
      <c r="D42" s="1" t="s">
        <v>3549</v>
      </c>
      <c r="E42" s="1" t="s">
        <v>1551</v>
      </c>
      <c r="F42" s="1" t="s">
        <v>3550</v>
      </c>
      <c r="G42" s="1" t="s">
        <v>3403</v>
      </c>
      <c r="H42" s="1" t="s">
        <v>3404</v>
      </c>
      <c r="I42" s="1" t="s">
        <v>3416</v>
      </c>
    </row>
    <row r="43" ht="15.75" customHeight="1">
      <c r="A43" s="1" t="s">
        <v>3551</v>
      </c>
      <c r="B43" s="1" t="s">
        <v>3552</v>
      </c>
      <c r="C43" s="1">
        <v>2007.0</v>
      </c>
      <c r="D43" s="1" t="s">
        <v>3553</v>
      </c>
      <c r="E43" s="1" t="s">
        <v>1682</v>
      </c>
      <c r="F43" s="1" t="s">
        <v>3554</v>
      </c>
      <c r="G43" s="1" t="s">
        <v>3403</v>
      </c>
      <c r="H43" s="1" t="s">
        <v>3404</v>
      </c>
      <c r="I43" s="1" t="s">
        <v>3405</v>
      </c>
    </row>
    <row r="44" ht="15.75" customHeight="1">
      <c r="A44" s="1" t="s">
        <v>3555</v>
      </c>
      <c r="B44" s="1" t="s">
        <v>3556</v>
      </c>
      <c r="C44" s="1">
        <v>2015.0</v>
      </c>
      <c r="D44" s="1" t="s">
        <v>3557</v>
      </c>
      <c r="G44" s="1" t="s">
        <v>3403</v>
      </c>
      <c r="H44" s="1" t="s">
        <v>3409</v>
      </c>
      <c r="I44" s="1" t="s">
        <v>3405</v>
      </c>
    </row>
    <row r="45" ht="15.75" customHeight="1">
      <c r="A45" s="1" t="s">
        <v>3558</v>
      </c>
      <c r="B45" s="1" t="s">
        <v>3559</v>
      </c>
      <c r="C45" s="1">
        <v>2017.0</v>
      </c>
      <c r="D45" s="1" t="s">
        <v>3560</v>
      </c>
      <c r="E45" s="1" t="s">
        <v>1195</v>
      </c>
      <c r="F45" s="1" t="s">
        <v>3561</v>
      </c>
      <c r="G45" s="1" t="s">
        <v>3403</v>
      </c>
      <c r="H45" s="1" t="s">
        <v>3404</v>
      </c>
      <c r="I45" s="1" t="s">
        <v>3416</v>
      </c>
    </row>
    <row r="46" ht="15.75" customHeight="1">
      <c r="A46" s="1" t="s">
        <v>3562</v>
      </c>
      <c r="B46" s="1" t="s">
        <v>3563</v>
      </c>
      <c r="C46" s="1">
        <v>2024.0</v>
      </c>
      <c r="D46" s="1" t="s">
        <v>3440</v>
      </c>
      <c r="E46" s="1" t="s">
        <v>3564</v>
      </c>
      <c r="F46" s="1" t="s">
        <v>3565</v>
      </c>
      <c r="G46" s="1" t="s">
        <v>3403</v>
      </c>
      <c r="H46" s="1" t="s">
        <v>3404</v>
      </c>
      <c r="I46" s="1" t="s">
        <v>3405</v>
      </c>
    </row>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72" width="8.33"/>
  </cols>
  <sheetData>
    <row r="1" ht="15.75" customHeight="1">
      <c r="A1" s="2" t="s">
        <v>3566</v>
      </c>
      <c r="B1" s="2" t="s">
        <v>1</v>
      </c>
      <c r="C1" s="2" t="s">
        <v>3567</v>
      </c>
      <c r="D1" s="2" t="s">
        <v>3568</v>
      </c>
      <c r="E1" s="2" t="s">
        <v>3569</v>
      </c>
      <c r="F1" s="2" t="s">
        <v>3570</v>
      </c>
      <c r="G1" s="2" t="s">
        <v>3571</v>
      </c>
      <c r="H1" s="2" t="s">
        <v>3572</v>
      </c>
      <c r="I1" s="2" t="s">
        <v>3573</v>
      </c>
      <c r="J1" s="2" t="s">
        <v>3574</v>
      </c>
      <c r="K1" s="2" t="s">
        <v>3575</v>
      </c>
      <c r="L1" s="2" t="s">
        <v>3576</v>
      </c>
      <c r="M1" s="2" t="s">
        <v>3577</v>
      </c>
      <c r="N1" s="2" t="s">
        <v>8</v>
      </c>
      <c r="O1" s="2" t="s">
        <v>3578</v>
      </c>
      <c r="P1" s="2" t="s">
        <v>3579</v>
      </c>
      <c r="Q1" s="2" t="s">
        <v>3580</v>
      </c>
      <c r="R1" s="2" t="s">
        <v>3581</v>
      </c>
      <c r="S1" s="2" t="s">
        <v>3582</v>
      </c>
      <c r="T1" s="2" t="s">
        <v>3583</v>
      </c>
      <c r="U1" s="2" t="s">
        <v>3584</v>
      </c>
      <c r="V1" s="2" t="s">
        <v>3585</v>
      </c>
      <c r="W1" s="2" t="s">
        <v>3586</v>
      </c>
      <c r="X1" s="2" t="s">
        <v>3587</v>
      </c>
      <c r="Y1" s="2" t="s">
        <v>3588</v>
      </c>
      <c r="Z1" s="2" t="s">
        <v>3589</v>
      </c>
      <c r="AA1" s="2" t="s">
        <v>3590</v>
      </c>
      <c r="AB1" s="2" t="s">
        <v>3591</v>
      </c>
      <c r="AC1" s="2" t="s">
        <v>3592</v>
      </c>
      <c r="AD1" s="2" t="s">
        <v>3593</v>
      </c>
      <c r="AE1" s="2" t="s">
        <v>3594</v>
      </c>
      <c r="AF1" s="2" t="s">
        <v>3595</v>
      </c>
      <c r="AG1" s="2" t="s">
        <v>3596</v>
      </c>
      <c r="AH1" s="2" t="s">
        <v>3597</v>
      </c>
      <c r="AI1" s="2" t="s">
        <v>3598</v>
      </c>
      <c r="AJ1" s="2" t="s">
        <v>3599</v>
      </c>
      <c r="AK1" s="2" t="s">
        <v>3600</v>
      </c>
      <c r="AL1" s="2" t="s">
        <v>1969</v>
      </c>
      <c r="AM1" s="2" t="s">
        <v>3601</v>
      </c>
      <c r="AN1" s="2" t="s">
        <v>3602</v>
      </c>
      <c r="AO1" s="2" t="s">
        <v>3603</v>
      </c>
      <c r="AP1" s="2" t="s">
        <v>3604</v>
      </c>
      <c r="AQ1" s="2" t="s">
        <v>3605</v>
      </c>
      <c r="AR1" s="2" t="s">
        <v>3606</v>
      </c>
      <c r="AS1" s="2" t="s">
        <v>3607</v>
      </c>
      <c r="AT1" s="2" t="s">
        <v>3608</v>
      </c>
      <c r="AU1" s="2" t="s">
        <v>1965</v>
      </c>
      <c r="AV1" s="2" t="s">
        <v>3609</v>
      </c>
      <c r="AW1" s="2" t="s">
        <v>3610</v>
      </c>
      <c r="AX1" s="2" t="s">
        <v>3611</v>
      </c>
      <c r="AY1" s="2" t="s">
        <v>3612</v>
      </c>
      <c r="AZ1" s="2" t="s">
        <v>3613</v>
      </c>
      <c r="BA1" s="2" t="s">
        <v>3614</v>
      </c>
      <c r="BB1" s="2" t="s">
        <v>3615</v>
      </c>
      <c r="BC1" s="2" t="s">
        <v>3616</v>
      </c>
      <c r="BD1" s="2" t="s">
        <v>3617</v>
      </c>
      <c r="BE1" s="2" t="s">
        <v>4</v>
      </c>
      <c r="BF1" s="2" t="s">
        <v>3618</v>
      </c>
      <c r="BG1" s="2" t="s">
        <v>3619</v>
      </c>
      <c r="BH1" s="2" t="s">
        <v>3620</v>
      </c>
      <c r="BI1" s="2" t="s">
        <v>3621</v>
      </c>
      <c r="BJ1" s="2" t="s">
        <v>3622</v>
      </c>
      <c r="BK1" s="2" t="s">
        <v>3623</v>
      </c>
      <c r="BL1" s="2" t="s">
        <v>3624</v>
      </c>
      <c r="BM1" s="2" t="s">
        <v>3625</v>
      </c>
      <c r="BN1" s="2" t="s">
        <v>3626</v>
      </c>
      <c r="BO1" s="2" t="s">
        <v>3627</v>
      </c>
      <c r="BP1" s="2" t="s">
        <v>3628</v>
      </c>
      <c r="BQ1" s="2" t="s">
        <v>3629</v>
      </c>
      <c r="BR1" s="2" t="s">
        <v>3630</v>
      </c>
      <c r="BS1" s="2" t="s">
        <v>3631</v>
      </c>
      <c r="BT1" s="2" t="s">
        <v>3632</v>
      </c>
    </row>
    <row r="2" ht="15.75" customHeight="1">
      <c r="A2" s="2" t="s">
        <v>3633</v>
      </c>
      <c r="B2" s="2" t="s">
        <v>3634</v>
      </c>
      <c r="C2" s="2" t="s">
        <v>3635</v>
      </c>
      <c r="D2" s="2" t="s">
        <v>3635</v>
      </c>
      <c r="E2" s="2" t="s">
        <v>3635</v>
      </c>
      <c r="F2" s="2" t="s">
        <v>3636</v>
      </c>
      <c r="G2" s="2" t="s">
        <v>3635</v>
      </c>
      <c r="H2" s="2" t="s">
        <v>3635</v>
      </c>
      <c r="I2" s="2" t="s">
        <v>122</v>
      </c>
      <c r="J2" s="2" t="s">
        <v>3637</v>
      </c>
      <c r="K2" s="2" t="s">
        <v>3635</v>
      </c>
      <c r="L2" s="2" t="s">
        <v>3635</v>
      </c>
      <c r="M2" s="2" t="s">
        <v>3638</v>
      </c>
      <c r="N2" s="2" t="s">
        <v>21</v>
      </c>
      <c r="O2" s="2" t="s">
        <v>3635</v>
      </c>
      <c r="P2" s="2" t="s">
        <v>3635</v>
      </c>
      <c r="Q2" s="2" t="s">
        <v>3635</v>
      </c>
      <c r="R2" s="2" t="s">
        <v>3635</v>
      </c>
      <c r="S2" s="2" t="s">
        <v>3635</v>
      </c>
      <c r="T2" s="2" t="s">
        <v>3639</v>
      </c>
      <c r="U2" s="2" t="s">
        <v>3640</v>
      </c>
      <c r="V2" s="2" t="s">
        <v>3641</v>
      </c>
      <c r="W2" s="2" t="s">
        <v>3642</v>
      </c>
      <c r="X2" s="2" t="s">
        <v>3643</v>
      </c>
      <c r="Y2" s="2" t="s">
        <v>3644</v>
      </c>
      <c r="Z2" s="2" t="s">
        <v>3645</v>
      </c>
      <c r="AA2" s="2" t="s">
        <v>3635</v>
      </c>
      <c r="AB2" s="2" t="s">
        <v>3646</v>
      </c>
      <c r="AC2" s="2" t="s">
        <v>3647</v>
      </c>
      <c r="AD2" s="2" t="s">
        <v>3648</v>
      </c>
      <c r="AE2" s="2" t="s">
        <v>3649</v>
      </c>
      <c r="AF2" s="2" t="s">
        <v>3635</v>
      </c>
      <c r="AG2" s="2">
        <v>113.0</v>
      </c>
      <c r="AH2" s="2">
        <v>0.0</v>
      </c>
      <c r="AI2" s="2">
        <v>0.0</v>
      </c>
      <c r="AJ2" s="2">
        <v>1.0</v>
      </c>
      <c r="AK2" s="2">
        <v>1.0</v>
      </c>
      <c r="AL2" s="2" t="s">
        <v>3650</v>
      </c>
      <c r="AM2" s="2" t="s">
        <v>3651</v>
      </c>
      <c r="AN2" s="2" t="s">
        <v>3652</v>
      </c>
      <c r="AO2" s="2" t="s">
        <v>3653</v>
      </c>
      <c r="AP2" s="2" t="s">
        <v>3654</v>
      </c>
      <c r="AQ2" s="2" t="s">
        <v>3635</v>
      </c>
      <c r="AR2" s="2" t="s">
        <v>3655</v>
      </c>
      <c r="AS2" s="2" t="s">
        <v>3414</v>
      </c>
      <c r="AT2" s="2" t="s">
        <v>3656</v>
      </c>
      <c r="AU2" s="2">
        <v>2024.0</v>
      </c>
      <c r="AV2" s="2">
        <v>33.0</v>
      </c>
      <c r="AW2" s="2">
        <v>1.0</v>
      </c>
      <c r="AX2" s="2" t="s">
        <v>3635</v>
      </c>
      <c r="AY2" s="2" t="s">
        <v>3635</v>
      </c>
      <c r="AZ2" s="2" t="s">
        <v>3635</v>
      </c>
      <c r="BA2" s="2" t="s">
        <v>3635</v>
      </c>
      <c r="BB2" s="2" t="s">
        <v>3635</v>
      </c>
      <c r="BC2" s="2" t="s">
        <v>3635</v>
      </c>
      <c r="BD2" s="2">
        <v>10.0</v>
      </c>
      <c r="BE2" s="2" t="s">
        <v>125</v>
      </c>
      <c r="BF2" s="3" t="str">
        <f>HYPERLINK("http://dx.doi.org/10.1145/3607184","http://dx.doi.org/10.1145/3607184")</f>
        <v>http://dx.doi.org/10.1145/3607184</v>
      </c>
      <c r="BG2" s="2" t="s">
        <v>3635</v>
      </c>
      <c r="BH2" s="2" t="s">
        <v>3635</v>
      </c>
      <c r="BI2" s="2">
        <v>42.0</v>
      </c>
      <c r="BJ2" s="2" t="s">
        <v>3657</v>
      </c>
      <c r="BK2" s="2" t="s">
        <v>3658</v>
      </c>
      <c r="BL2" s="2" t="s">
        <v>3659</v>
      </c>
      <c r="BM2" s="2" t="s">
        <v>3660</v>
      </c>
      <c r="BN2" s="2" t="s">
        <v>3635</v>
      </c>
      <c r="BO2" s="2" t="s">
        <v>3661</v>
      </c>
      <c r="BP2" s="2" t="s">
        <v>3635</v>
      </c>
      <c r="BQ2" s="2" t="s">
        <v>3635</v>
      </c>
      <c r="BR2" s="2" t="s">
        <v>3662</v>
      </c>
      <c r="BS2" s="2" t="s">
        <v>3663</v>
      </c>
      <c r="BT2" s="2" t="str">
        <f>HYPERLINK("https%3A%2F%2Fwww.webofscience.com%2Fwos%2Fwoscc%2Ffull-record%2FWOS:001168576700011","View Full Record in Web of Science")</f>
        <v>View Full Record in Web of Science</v>
      </c>
    </row>
    <row r="3" ht="15.75" customHeight="1">
      <c r="A3" s="2" t="s">
        <v>3664</v>
      </c>
      <c r="B3" s="2" t="s">
        <v>3665</v>
      </c>
      <c r="C3" s="2" t="s">
        <v>3635</v>
      </c>
      <c r="D3" s="2" t="s">
        <v>3635</v>
      </c>
      <c r="E3" s="2" t="s">
        <v>1974</v>
      </c>
      <c r="F3" s="2" t="s">
        <v>3666</v>
      </c>
      <c r="G3" s="2" t="s">
        <v>3635</v>
      </c>
      <c r="H3" s="2" t="s">
        <v>3635</v>
      </c>
      <c r="I3" s="2" t="s">
        <v>76</v>
      </c>
      <c r="J3" s="2" t="s">
        <v>3667</v>
      </c>
      <c r="K3" s="2" t="s">
        <v>3668</v>
      </c>
      <c r="L3" s="2" t="s">
        <v>3635</v>
      </c>
      <c r="M3" s="2" t="s">
        <v>3638</v>
      </c>
      <c r="N3" s="2" t="s">
        <v>3669</v>
      </c>
      <c r="O3" s="2" t="s">
        <v>3670</v>
      </c>
      <c r="P3" s="2" t="s">
        <v>3671</v>
      </c>
      <c r="Q3" s="2" t="s">
        <v>3672</v>
      </c>
      <c r="R3" s="2" t="s">
        <v>3673</v>
      </c>
      <c r="S3" s="2" t="s">
        <v>3635</v>
      </c>
      <c r="T3" s="2" t="s">
        <v>3674</v>
      </c>
      <c r="U3" s="2" t="s">
        <v>3635</v>
      </c>
      <c r="V3" s="2" t="s">
        <v>3675</v>
      </c>
      <c r="W3" s="2" t="s">
        <v>3676</v>
      </c>
      <c r="X3" s="2" t="s">
        <v>3677</v>
      </c>
      <c r="Y3" s="2" t="s">
        <v>3678</v>
      </c>
      <c r="Z3" s="2" t="s">
        <v>3679</v>
      </c>
      <c r="AA3" s="2" t="s">
        <v>3680</v>
      </c>
      <c r="AB3" s="2" t="s">
        <v>3681</v>
      </c>
      <c r="AC3" s="2" t="s">
        <v>3682</v>
      </c>
      <c r="AD3" s="2" t="s">
        <v>3683</v>
      </c>
      <c r="AE3" s="2" t="s">
        <v>3684</v>
      </c>
      <c r="AF3" s="2" t="s">
        <v>3635</v>
      </c>
      <c r="AG3" s="2">
        <v>38.0</v>
      </c>
      <c r="AH3" s="2">
        <v>0.0</v>
      </c>
      <c r="AI3" s="2">
        <v>0.0</v>
      </c>
      <c r="AJ3" s="2">
        <v>1.0</v>
      </c>
      <c r="AK3" s="2">
        <v>2.0</v>
      </c>
      <c r="AL3" s="2" t="s">
        <v>3685</v>
      </c>
      <c r="AM3" s="2" t="s">
        <v>3686</v>
      </c>
      <c r="AN3" s="2" t="s">
        <v>3687</v>
      </c>
      <c r="AO3" s="2" t="s">
        <v>3688</v>
      </c>
      <c r="AP3" s="2" t="s">
        <v>3635</v>
      </c>
      <c r="AQ3" s="2" t="s">
        <v>3689</v>
      </c>
      <c r="AR3" s="2" t="s">
        <v>3690</v>
      </c>
      <c r="AS3" s="2" t="s">
        <v>3635</v>
      </c>
      <c r="AT3" s="2" t="s">
        <v>3635</v>
      </c>
      <c r="AU3" s="2">
        <v>2023.0</v>
      </c>
      <c r="AV3" s="2" t="s">
        <v>3635</v>
      </c>
      <c r="AW3" s="2" t="s">
        <v>3635</v>
      </c>
      <c r="AX3" s="2" t="s">
        <v>3635</v>
      </c>
      <c r="AY3" s="2" t="s">
        <v>3635</v>
      </c>
      <c r="AZ3" s="2" t="s">
        <v>3635</v>
      </c>
      <c r="BA3" s="2" t="s">
        <v>3635</v>
      </c>
      <c r="BB3" s="2">
        <v>66.0</v>
      </c>
      <c r="BC3" s="2">
        <v>71.0</v>
      </c>
      <c r="BD3" s="2" t="s">
        <v>3635</v>
      </c>
      <c r="BE3" s="2" t="s">
        <v>79</v>
      </c>
      <c r="BF3" s="3" t="str">
        <f>HYPERLINK("http://dx.doi.org/10.1109/ICSE-NIER58687.2023.00018","http://dx.doi.org/10.1109/ICSE-NIER58687.2023.00018")</f>
        <v>http://dx.doi.org/10.1109/ICSE-NIER58687.2023.00018</v>
      </c>
      <c r="BG3" s="2" t="s">
        <v>3635</v>
      </c>
      <c r="BH3" s="2" t="s">
        <v>3635</v>
      </c>
      <c r="BI3" s="2">
        <v>6.0</v>
      </c>
      <c r="BJ3" s="2" t="s">
        <v>3691</v>
      </c>
      <c r="BK3" s="2" t="s">
        <v>3692</v>
      </c>
      <c r="BL3" s="2" t="s">
        <v>3659</v>
      </c>
      <c r="BM3" s="2" t="s">
        <v>3693</v>
      </c>
      <c r="BN3" s="2" t="s">
        <v>3635</v>
      </c>
      <c r="BO3" s="2" t="s">
        <v>3694</v>
      </c>
      <c r="BP3" s="2" t="s">
        <v>3635</v>
      </c>
      <c r="BQ3" s="2" t="s">
        <v>3635</v>
      </c>
      <c r="BR3" s="2" t="s">
        <v>3662</v>
      </c>
      <c r="BS3" s="2" t="s">
        <v>3695</v>
      </c>
      <c r="BT3" s="2" t="str">
        <f>HYPERLINK("https%3A%2F%2Fwww.webofscience.com%2Fwos%2Fwoscc%2Ffull-record%2FWOS:001032816400012","View Full Record in Web of Science")</f>
        <v>View Full Record in Web of Science</v>
      </c>
    </row>
    <row r="4" ht="15.75" customHeight="1">
      <c r="A4" s="2" t="s">
        <v>3633</v>
      </c>
      <c r="B4" s="2" t="s">
        <v>3696</v>
      </c>
      <c r="C4" s="2" t="s">
        <v>3635</v>
      </c>
      <c r="D4" s="2" t="s">
        <v>3635</v>
      </c>
      <c r="E4" s="2" t="s">
        <v>3635</v>
      </c>
      <c r="F4" s="2" t="s">
        <v>3697</v>
      </c>
      <c r="G4" s="2" t="s">
        <v>3635</v>
      </c>
      <c r="H4" s="2" t="s">
        <v>3635</v>
      </c>
      <c r="I4" s="2" t="s">
        <v>1100</v>
      </c>
      <c r="J4" s="2" t="s">
        <v>3698</v>
      </c>
      <c r="K4" s="2" t="s">
        <v>3635</v>
      </c>
      <c r="L4" s="2" t="s">
        <v>3635</v>
      </c>
      <c r="M4" s="2" t="s">
        <v>3638</v>
      </c>
      <c r="N4" s="2" t="s">
        <v>21</v>
      </c>
      <c r="O4" s="2" t="s">
        <v>3635</v>
      </c>
      <c r="P4" s="2" t="s">
        <v>3635</v>
      </c>
      <c r="Q4" s="2" t="s">
        <v>3635</v>
      </c>
      <c r="R4" s="2" t="s">
        <v>3635</v>
      </c>
      <c r="S4" s="2" t="s">
        <v>3635</v>
      </c>
      <c r="T4" s="2" t="s">
        <v>3699</v>
      </c>
      <c r="U4" s="2" t="s">
        <v>3700</v>
      </c>
      <c r="V4" s="2" t="s">
        <v>3701</v>
      </c>
      <c r="W4" s="2" t="s">
        <v>3702</v>
      </c>
      <c r="X4" s="2" t="s">
        <v>3703</v>
      </c>
      <c r="Y4" s="2" t="s">
        <v>3704</v>
      </c>
      <c r="Z4" s="2" t="s">
        <v>3705</v>
      </c>
      <c r="AA4" s="2" t="s">
        <v>3635</v>
      </c>
      <c r="AB4" s="2" t="s">
        <v>3635</v>
      </c>
      <c r="AC4" s="2" t="s">
        <v>3706</v>
      </c>
      <c r="AD4" s="2" t="s">
        <v>3707</v>
      </c>
      <c r="AE4" s="2" t="s">
        <v>3708</v>
      </c>
      <c r="AF4" s="2" t="s">
        <v>3635</v>
      </c>
      <c r="AG4" s="2">
        <v>48.0</v>
      </c>
      <c r="AH4" s="2">
        <v>6.0</v>
      </c>
      <c r="AI4" s="2">
        <v>7.0</v>
      </c>
      <c r="AJ4" s="2">
        <v>0.0</v>
      </c>
      <c r="AK4" s="2">
        <v>7.0</v>
      </c>
      <c r="AL4" s="2" t="s">
        <v>3709</v>
      </c>
      <c r="AM4" s="2" t="s">
        <v>3710</v>
      </c>
      <c r="AN4" s="2" t="s">
        <v>3711</v>
      </c>
      <c r="AO4" s="2" t="s">
        <v>3712</v>
      </c>
      <c r="AP4" s="2" t="s">
        <v>3713</v>
      </c>
      <c r="AQ4" s="2" t="s">
        <v>3635</v>
      </c>
      <c r="AR4" s="2" t="s">
        <v>3714</v>
      </c>
      <c r="AS4" s="2" t="s">
        <v>3715</v>
      </c>
      <c r="AT4" s="2" t="s">
        <v>3716</v>
      </c>
      <c r="AU4" s="2">
        <v>2017.0</v>
      </c>
      <c r="AV4" s="2">
        <v>27.0</v>
      </c>
      <c r="AW4" s="2">
        <v>6.0</v>
      </c>
      <c r="AX4" s="2" t="s">
        <v>3635</v>
      </c>
      <c r="AY4" s="2" t="s">
        <v>3635</v>
      </c>
      <c r="AZ4" s="2" t="s">
        <v>3717</v>
      </c>
      <c r="BA4" s="2" t="s">
        <v>3635</v>
      </c>
      <c r="BB4" s="2" t="s">
        <v>3635</v>
      </c>
      <c r="BC4" s="2" t="s">
        <v>3635</v>
      </c>
      <c r="BD4" s="2" t="s">
        <v>3718</v>
      </c>
      <c r="BE4" s="2" t="s">
        <v>1103</v>
      </c>
      <c r="BF4" s="3" t="str">
        <f>HYPERLINK("http://dx.doi.org/10.1002/stvr.1613","http://dx.doi.org/10.1002/stvr.1613")</f>
        <v>http://dx.doi.org/10.1002/stvr.1613</v>
      </c>
      <c r="BG4" s="2" t="s">
        <v>3635</v>
      </c>
      <c r="BH4" s="2" t="s">
        <v>3635</v>
      </c>
      <c r="BI4" s="2">
        <v>30.0</v>
      </c>
      <c r="BJ4" s="2" t="s">
        <v>3657</v>
      </c>
      <c r="BK4" s="2" t="s">
        <v>3658</v>
      </c>
      <c r="BL4" s="2" t="s">
        <v>3659</v>
      </c>
      <c r="BM4" s="2" t="s">
        <v>3719</v>
      </c>
      <c r="BN4" s="2" t="s">
        <v>3635</v>
      </c>
      <c r="BO4" s="2" t="s">
        <v>3635</v>
      </c>
      <c r="BP4" s="2" t="s">
        <v>3635</v>
      </c>
      <c r="BQ4" s="2" t="s">
        <v>3635</v>
      </c>
      <c r="BR4" s="2" t="s">
        <v>3662</v>
      </c>
      <c r="BS4" s="2" t="s">
        <v>3720</v>
      </c>
      <c r="BT4" s="2" t="str">
        <f>HYPERLINK("https%3A%2F%2Fwww.webofscience.com%2Fwos%2Fwoscc%2Ffull-record%2FWOS:000408810900001","View Full Record in Web of Science")</f>
        <v>View Full Record in Web of Science</v>
      </c>
    </row>
    <row r="5" ht="15.75" customHeight="1">
      <c r="A5" s="2" t="s">
        <v>3664</v>
      </c>
      <c r="B5" s="2" t="s">
        <v>3721</v>
      </c>
      <c r="C5" s="2" t="s">
        <v>3635</v>
      </c>
      <c r="D5" s="2" t="s">
        <v>3635</v>
      </c>
      <c r="E5" s="2" t="s">
        <v>1974</v>
      </c>
      <c r="F5" s="2" t="s">
        <v>3722</v>
      </c>
      <c r="G5" s="2" t="s">
        <v>3635</v>
      </c>
      <c r="H5" s="2" t="s">
        <v>3635</v>
      </c>
      <c r="I5" s="2" t="s">
        <v>3723</v>
      </c>
      <c r="J5" s="2" t="s">
        <v>3724</v>
      </c>
      <c r="K5" s="2" t="s">
        <v>3725</v>
      </c>
      <c r="L5" s="2" t="s">
        <v>3635</v>
      </c>
      <c r="M5" s="2" t="s">
        <v>3638</v>
      </c>
      <c r="N5" s="2" t="s">
        <v>3669</v>
      </c>
      <c r="O5" s="2" t="s">
        <v>3726</v>
      </c>
      <c r="P5" s="2" t="s">
        <v>3727</v>
      </c>
      <c r="Q5" s="2" t="s">
        <v>3728</v>
      </c>
      <c r="R5" s="2" t="s">
        <v>3729</v>
      </c>
      <c r="S5" s="2" t="s">
        <v>3635</v>
      </c>
      <c r="T5" s="2" t="s">
        <v>3635</v>
      </c>
      <c r="U5" s="2" t="s">
        <v>3635</v>
      </c>
      <c r="V5" s="2" t="s">
        <v>3730</v>
      </c>
      <c r="W5" s="2" t="s">
        <v>3731</v>
      </c>
      <c r="X5" s="2" t="s">
        <v>3732</v>
      </c>
      <c r="Y5" s="2" t="s">
        <v>3733</v>
      </c>
      <c r="Z5" s="2" t="s">
        <v>3734</v>
      </c>
      <c r="AA5" s="2" t="s">
        <v>3735</v>
      </c>
      <c r="AB5" s="2" t="s">
        <v>3736</v>
      </c>
      <c r="AC5" s="2" t="s">
        <v>3635</v>
      </c>
      <c r="AD5" s="2" t="s">
        <v>3635</v>
      </c>
      <c r="AE5" s="2" t="s">
        <v>3635</v>
      </c>
      <c r="AF5" s="2" t="s">
        <v>3635</v>
      </c>
      <c r="AG5" s="2">
        <v>85.0</v>
      </c>
      <c r="AH5" s="2">
        <v>0.0</v>
      </c>
      <c r="AI5" s="2">
        <v>0.0</v>
      </c>
      <c r="AJ5" s="2">
        <v>0.0</v>
      </c>
      <c r="AK5" s="2">
        <v>0.0</v>
      </c>
      <c r="AL5" s="2" t="s">
        <v>3685</v>
      </c>
      <c r="AM5" s="2" t="s">
        <v>3686</v>
      </c>
      <c r="AN5" s="2" t="s">
        <v>3687</v>
      </c>
      <c r="AO5" s="2" t="s">
        <v>3737</v>
      </c>
      <c r="AP5" s="2" t="s">
        <v>3635</v>
      </c>
      <c r="AQ5" s="2" t="s">
        <v>3738</v>
      </c>
      <c r="AR5" s="2" t="s">
        <v>3739</v>
      </c>
      <c r="AS5" s="2" t="s">
        <v>3635</v>
      </c>
      <c r="AT5" s="2" t="s">
        <v>3635</v>
      </c>
      <c r="AU5" s="2">
        <v>2023.0</v>
      </c>
      <c r="AV5" s="2" t="s">
        <v>3635</v>
      </c>
      <c r="AW5" s="2" t="s">
        <v>3635</v>
      </c>
      <c r="AX5" s="2" t="s">
        <v>3635</v>
      </c>
      <c r="AY5" s="2" t="s">
        <v>3635</v>
      </c>
      <c r="AZ5" s="2" t="s">
        <v>3635</v>
      </c>
      <c r="BA5" s="2" t="s">
        <v>3635</v>
      </c>
      <c r="BB5" s="2">
        <v>1454.0</v>
      </c>
      <c r="BC5" s="2">
        <v>1466.0</v>
      </c>
      <c r="BD5" s="2" t="s">
        <v>3635</v>
      </c>
      <c r="BE5" s="2" t="s">
        <v>369</v>
      </c>
      <c r="BF5" s="3" t="str">
        <f>HYPERLINK("http://dx.doi.org/10.1109/ASE56229.2023.00106","http://dx.doi.org/10.1109/ASE56229.2023.00106")</f>
        <v>http://dx.doi.org/10.1109/ASE56229.2023.00106</v>
      </c>
      <c r="BG5" s="2" t="s">
        <v>3635</v>
      </c>
      <c r="BH5" s="2" t="s">
        <v>3635</v>
      </c>
      <c r="BI5" s="2">
        <v>13.0</v>
      </c>
      <c r="BJ5" s="2" t="s">
        <v>3740</v>
      </c>
      <c r="BK5" s="2" t="s">
        <v>3692</v>
      </c>
      <c r="BL5" s="2" t="s">
        <v>3741</v>
      </c>
      <c r="BM5" s="2" t="s">
        <v>3742</v>
      </c>
      <c r="BN5" s="2" t="s">
        <v>3635</v>
      </c>
      <c r="BO5" s="2" t="s">
        <v>3694</v>
      </c>
      <c r="BP5" s="2" t="s">
        <v>3635</v>
      </c>
      <c r="BQ5" s="2" t="s">
        <v>3635</v>
      </c>
      <c r="BR5" s="2" t="s">
        <v>3662</v>
      </c>
      <c r="BS5" s="2" t="s">
        <v>3743</v>
      </c>
      <c r="BT5" s="2" t="str">
        <f>HYPERLINK("https%3A%2F%2Fwww.webofscience.com%2Fwos%2Fwoscc%2Ffull-record%2FWOS:001103357200116","View Full Record in Web of Science")</f>
        <v>View Full Record in Web of Science</v>
      </c>
    </row>
    <row r="6" ht="15.75" customHeight="1">
      <c r="A6" s="2" t="s">
        <v>3664</v>
      </c>
      <c r="B6" s="2" t="s">
        <v>3744</v>
      </c>
      <c r="C6" s="2" t="s">
        <v>3635</v>
      </c>
      <c r="D6" s="2" t="s">
        <v>3635</v>
      </c>
      <c r="E6" s="2" t="s">
        <v>1974</v>
      </c>
      <c r="F6" s="2" t="s">
        <v>3745</v>
      </c>
      <c r="G6" s="2" t="s">
        <v>3635</v>
      </c>
      <c r="H6" s="2" t="s">
        <v>3635</v>
      </c>
      <c r="I6" s="2" t="s">
        <v>246</v>
      </c>
      <c r="J6" s="2" t="s">
        <v>3746</v>
      </c>
      <c r="K6" s="2" t="s">
        <v>3747</v>
      </c>
      <c r="L6" s="2" t="s">
        <v>3635</v>
      </c>
      <c r="M6" s="2" t="s">
        <v>3638</v>
      </c>
      <c r="N6" s="2" t="s">
        <v>3669</v>
      </c>
      <c r="O6" s="2" t="s">
        <v>3748</v>
      </c>
      <c r="P6" s="2" t="s">
        <v>3749</v>
      </c>
      <c r="Q6" s="2" t="s">
        <v>3750</v>
      </c>
      <c r="R6" s="2" t="s">
        <v>3751</v>
      </c>
      <c r="S6" s="2" t="s">
        <v>3752</v>
      </c>
      <c r="T6" s="2" t="s">
        <v>3753</v>
      </c>
      <c r="U6" s="2" t="s">
        <v>3635</v>
      </c>
      <c r="V6" s="2" t="s">
        <v>3754</v>
      </c>
      <c r="W6" s="2" t="s">
        <v>3755</v>
      </c>
      <c r="X6" s="2" t="s">
        <v>3756</v>
      </c>
      <c r="Y6" s="2" t="s">
        <v>3757</v>
      </c>
      <c r="Z6" s="2" t="s">
        <v>3758</v>
      </c>
      <c r="AA6" s="2" t="s">
        <v>3635</v>
      </c>
      <c r="AB6" s="2" t="s">
        <v>3635</v>
      </c>
      <c r="AC6" s="2" t="s">
        <v>3759</v>
      </c>
      <c r="AD6" s="2" t="s">
        <v>3760</v>
      </c>
      <c r="AE6" s="2" t="s">
        <v>3761</v>
      </c>
      <c r="AF6" s="2" t="s">
        <v>3635</v>
      </c>
      <c r="AG6" s="2">
        <v>21.0</v>
      </c>
      <c r="AH6" s="2">
        <v>0.0</v>
      </c>
      <c r="AI6" s="2">
        <v>0.0</v>
      </c>
      <c r="AJ6" s="2">
        <v>0.0</v>
      </c>
      <c r="AK6" s="2">
        <v>0.0</v>
      </c>
      <c r="AL6" s="2" t="s">
        <v>1974</v>
      </c>
      <c r="AM6" s="2" t="s">
        <v>3651</v>
      </c>
      <c r="AN6" s="2" t="s">
        <v>3762</v>
      </c>
      <c r="AO6" s="2" t="s">
        <v>3763</v>
      </c>
      <c r="AP6" s="2" t="s">
        <v>3635</v>
      </c>
      <c r="AQ6" s="2" t="s">
        <v>3764</v>
      </c>
      <c r="AR6" s="2" t="s">
        <v>3765</v>
      </c>
      <c r="AS6" s="2" t="s">
        <v>3635</v>
      </c>
      <c r="AT6" s="2" t="s">
        <v>3635</v>
      </c>
      <c r="AU6" s="2">
        <v>2024.0</v>
      </c>
      <c r="AV6" s="2" t="s">
        <v>3635</v>
      </c>
      <c r="AW6" s="2" t="s">
        <v>3635</v>
      </c>
      <c r="AX6" s="2" t="s">
        <v>3635</v>
      </c>
      <c r="AY6" s="2" t="s">
        <v>3635</v>
      </c>
      <c r="AZ6" s="2" t="s">
        <v>3635</v>
      </c>
      <c r="BA6" s="2" t="s">
        <v>3635</v>
      </c>
      <c r="BB6" s="2">
        <v>933.0</v>
      </c>
      <c r="BC6" s="2">
        <v>938.0</v>
      </c>
      <c r="BD6" s="2" t="s">
        <v>3635</v>
      </c>
      <c r="BE6" s="2" t="s">
        <v>249</v>
      </c>
      <c r="BF6" s="3" t="str">
        <f>HYPERLINK("http://dx.doi.org/10.1109/ASP-DAC58780.2024.10473793","http://dx.doi.org/10.1109/ASP-DAC58780.2024.10473793")</f>
        <v>http://dx.doi.org/10.1109/ASP-DAC58780.2024.10473793</v>
      </c>
      <c r="BG6" s="2" t="s">
        <v>3635</v>
      </c>
      <c r="BH6" s="2" t="s">
        <v>3635</v>
      </c>
      <c r="BI6" s="2">
        <v>6.0</v>
      </c>
      <c r="BJ6" s="2" t="s">
        <v>3766</v>
      </c>
      <c r="BK6" s="2" t="s">
        <v>3692</v>
      </c>
      <c r="BL6" s="2" t="s">
        <v>3767</v>
      </c>
      <c r="BM6" s="2" t="s">
        <v>3768</v>
      </c>
      <c r="BN6" s="2" t="s">
        <v>3635</v>
      </c>
      <c r="BO6" s="2" t="s">
        <v>3635</v>
      </c>
      <c r="BP6" s="2" t="s">
        <v>3635</v>
      </c>
      <c r="BQ6" s="2" t="s">
        <v>3635</v>
      </c>
      <c r="BR6" s="2" t="s">
        <v>3662</v>
      </c>
      <c r="BS6" s="2" t="s">
        <v>3769</v>
      </c>
      <c r="BT6" s="2" t="str">
        <f>HYPERLINK("https%3A%2F%2Fwww.webofscience.com%2Fwos%2Fwoscc%2Ffull-record%2FWOS:001196002900150","View Full Record in Web of Science")</f>
        <v>View Full Record in Web of Science</v>
      </c>
    </row>
    <row r="7" ht="15.75" customHeight="1">
      <c r="A7" s="2" t="s">
        <v>3633</v>
      </c>
      <c r="B7" s="2" t="s">
        <v>3770</v>
      </c>
      <c r="C7" s="2" t="s">
        <v>3635</v>
      </c>
      <c r="D7" s="2" t="s">
        <v>3635</v>
      </c>
      <c r="E7" s="2" t="s">
        <v>3635</v>
      </c>
      <c r="F7" s="2" t="s">
        <v>3771</v>
      </c>
      <c r="G7" s="2" t="s">
        <v>3635</v>
      </c>
      <c r="H7" s="2" t="s">
        <v>3635</v>
      </c>
      <c r="I7" s="2" t="s">
        <v>170</v>
      </c>
      <c r="J7" s="2" t="s">
        <v>3772</v>
      </c>
      <c r="K7" s="2" t="s">
        <v>3635</v>
      </c>
      <c r="L7" s="2" t="s">
        <v>3635</v>
      </c>
      <c r="M7" s="2" t="s">
        <v>3638</v>
      </c>
      <c r="N7" s="2" t="s">
        <v>21</v>
      </c>
      <c r="O7" s="2" t="s">
        <v>3635</v>
      </c>
      <c r="P7" s="2" t="s">
        <v>3635</v>
      </c>
      <c r="Q7" s="2" t="s">
        <v>3635</v>
      </c>
      <c r="R7" s="2" t="s">
        <v>3635</v>
      </c>
      <c r="S7" s="2" t="s">
        <v>3635</v>
      </c>
      <c r="T7" s="2" t="s">
        <v>3773</v>
      </c>
      <c r="U7" s="2" t="s">
        <v>3635</v>
      </c>
      <c r="V7" s="2" t="s">
        <v>3774</v>
      </c>
      <c r="W7" s="2" t="s">
        <v>3775</v>
      </c>
      <c r="X7" s="2" t="s">
        <v>3776</v>
      </c>
      <c r="Y7" s="2" t="s">
        <v>3777</v>
      </c>
      <c r="Z7" s="2" t="s">
        <v>3778</v>
      </c>
      <c r="AA7" s="2" t="s">
        <v>3779</v>
      </c>
      <c r="AB7" s="2" t="s">
        <v>3780</v>
      </c>
      <c r="AC7" s="2" t="s">
        <v>3781</v>
      </c>
      <c r="AD7" s="2" t="s">
        <v>3782</v>
      </c>
      <c r="AE7" s="2" t="s">
        <v>3783</v>
      </c>
      <c r="AF7" s="2" t="s">
        <v>3635</v>
      </c>
      <c r="AG7" s="2">
        <v>39.0</v>
      </c>
      <c r="AH7" s="2">
        <v>0.0</v>
      </c>
      <c r="AI7" s="2">
        <v>0.0</v>
      </c>
      <c r="AJ7" s="2">
        <v>2.0</v>
      </c>
      <c r="AK7" s="2">
        <v>4.0</v>
      </c>
      <c r="AL7" s="2" t="s">
        <v>3784</v>
      </c>
      <c r="AM7" s="2" t="s">
        <v>3785</v>
      </c>
      <c r="AN7" s="2" t="s">
        <v>3786</v>
      </c>
      <c r="AO7" s="2" t="s">
        <v>3787</v>
      </c>
      <c r="AP7" s="2" t="s">
        <v>3635</v>
      </c>
      <c r="AQ7" s="2" t="s">
        <v>3635</v>
      </c>
      <c r="AR7" s="2" t="s">
        <v>3788</v>
      </c>
      <c r="AS7" s="2" t="s">
        <v>3789</v>
      </c>
      <c r="AT7" s="2" t="s">
        <v>3790</v>
      </c>
      <c r="AU7" s="2">
        <v>2023.0</v>
      </c>
      <c r="AV7" s="2">
        <v>8.0</v>
      </c>
      <c r="AW7" s="2">
        <v>7.0</v>
      </c>
      <c r="AX7" s="2" t="s">
        <v>3635</v>
      </c>
      <c r="AY7" s="2" t="s">
        <v>3635</v>
      </c>
      <c r="AZ7" s="2" t="s">
        <v>3635</v>
      </c>
      <c r="BA7" s="2" t="s">
        <v>3635</v>
      </c>
      <c r="BB7" s="2">
        <v>4115.0</v>
      </c>
      <c r="BC7" s="2">
        <v>4122.0</v>
      </c>
      <c r="BD7" s="2" t="s">
        <v>3635</v>
      </c>
      <c r="BE7" s="2" t="s">
        <v>173</v>
      </c>
      <c r="BF7" s="3" t="str">
        <f>HYPERLINK("http://dx.doi.org/10.1109/LRA.2023.3280810","http://dx.doi.org/10.1109/LRA.2023.3280810")</f>
        <v>http://dx.doi.org/10.1109/LRA.2023.3280810</v>
      </c>
      <c r="BG7" s="2" t="s">
        <v>3635</v>
      </c>
      <c r="BH7" s="2" t="s">
        <v>3635</v>
      </c>
      <c r="BI7" s="2">
        <v>8.0</v>
      </c>
      <c r="BJ7" s="2" t="s">
        <v>3791</v>
      </c>
      <c r="BK7" s="2" t="s">
        <v>3658</v>
      </c>
      <c r="BL7" s="2" t="s">
        <v>3791</v>
      </c>
      <c r="BM7" s="2" t="s">
        <v>3792</v>
      </c>
      <c r="BN7" s="2" t="s">
        <v>3635</v>
      </c>
      <c r="BO7" s="2" t="s">
        <v>3694</v>
      </c>
      <c r="BP7" s="2" t="s">
        <v>3635</v>
      </c>
      <c r="BQ7" s="2" t="s">
        <v>3635</v>
      </c>
      <c r="BR7" s="2" t="s">
        <v>3662</v>
      </c>
      <c r="BS7" s="2" t="s">
        <v>3793</v>
      </c>
      <c r="BT7" s="2" t="str">
        <f>HYPERLINK("https%3A%2F%2Fwww.webofscience.com%2Fwos%2Fwoscc%2Ffull-record%2FWOS:001004297800008","View Full Record in Web of Science")</f>
        <v>View Full Record in Web of Science</v>
      </c>
    </row>
    <row r="8" ht="15.75" customHeight="1">
      <c r="A8" s="2" t="s">
        <v>3633</v>
      </c>
      <c r="B8" s="2" t="s">
        <v>3794</v>
      </c>
      <c r="C8" s="2" t="s">
        <v>3635</v>
      </c>
      <c r="D8" s="2" t="s">
        <v>3635</v>
      </c>
      <c r="E8" s="2" t="s">
        <v>3635</v>
      </c>
      <c r="F8" s="2" t="s">
        <v>3795</v>
      </c>
      <c r="G8" s="2" t="s">
        <v>3635</v>
      </c>
      <c r="H8" s="2" t="s">
        <v>3635</v>
      </c>
      <c r="I8" s="2" t="s">
        <v>3796</v>
      </c>
      <c r="J8" s="2" t="s">
        <v>3797</v>
      </c>
      <c r="K8" s="2" t="s">
        <v>3635</v>
      </c>
      <c r="L8" s="2" t="s">
        <v>3635</v>
      </c>
      <c r="M8" s="2" t="s">
        <v>3638</v>
      </c>
      <c r="N8" s="2" t="s">
        <v>21</v>
      </c>
      <c r="O8" s="2" t="s">
        <v>3635</v>
      </c>
      <c r="P8" s="2" t="s">
        <v>3635</v>
      </c>
      <c r="Q8" s="2" t="s">
        <v>3635</v>
      </c>
      <c r="R8" s="2" t="s">
        <v>3635</v>
      </c>
      <c r="S8" s="2" t="s">
        <v>3635</v>
      </c>
      <c r="T8" s="2" t="s">
        <v>3798</v>
      </c>
      <c r="U8" s="2" t="s">
        <v>3635</v>
      </c>
      <c r="V8" s="2" t="s">
        <v>3799</v>
      </c>
      <c r="W8" s="2" t="s">
        <v>3800</v>
      </c>
      <c r="X8" s="2" t="s">
        <v>3801</v>
      </c>
      <c r="Y8" s="2" t="s">
        <v>3802</v>
      </c>
      <c r="Z8" s="2" t="s">
        <v>3803</v>
      </c>
      <c r="AA8" s="2" t="s">
        <v>3635</v>
      </c>
      <c r="AB8" s="2" t="s">
        <v>3635</v>
      </c>
      <c r="AC8" s="2" t="s">
        <v>3804</v>
      </c>
      <c r="AD8" s="2" t="s">
        <v>3805</v>
      </c>
      <c r="AE8" s="2" t="s">
        <v>3806</v>
      </c>
      <c r="AF8" s="2" t="s">
        <v>3635</v>
      </c>
      <c r="AG8" s="2">
        <v>29.0</v>
      </c>
      <c r="AH8" s="2">
        <v>3.0</v>
      </c>
      <c r="AI8" s="2">
        <v>3.0</v>
      </c>
      <c r="AJ8" s="2">
        <v>0.0</v>
      </c>
      <c r="AK8" s="2">
        <v>9.0</v>
      </c>
      <c r="AL8" s="2" t="s">
        <v>3807</v>
      </c>
      <c r="AM8" s="2" t="s">
        <v>3808</v>
      </c>
      <c r="AN8" s="2" t="s">
        <v>3809</v>
      </c>
      <c r="AO8" s="2" t="s">
        <v>3810</v>
      </c>
      <c r="AP8" s="2" t="s">
        <v>3811</v>
      </c>
      <c r="AQ8" s="2" t="s">
        <v>3635</v>
      </c>
      <c r="AR8" s="2" t="s">
        <v>3812</v>
      </c>
      <c r="AS8" s="2" t="s">
        <v>3813</v>
      </c>
      <c r="AT8" s="2" t="s">
        <v>3814</v>
      </c>
      <c r="AU8" s="2">
        <v>2019.0</v>
      </c>
      <c r="AV8" s="2">
        <v>162.0</v>
      </c>
      <c r="AW8" s="2" t="s">
        <v>3635</v>
      </c>
      <c r="AX8" s="2" t="s">
        <v>3635</v>
      </c>
      <c r="AY8" s="2" t="s">
        <v>3635</v>
      </c>
      <c r="AZ8" s="2" t="s">
        <v>3635</v>
      </c>
      <c r="BA8" s="2" t="s">
        <v>3635</v>
      </c>
      <c r="BB8" s="2" t="s">
        <v>3635</v>
      </c>
      <c r="BC8" s="2" t="s">
        <v>3635</v>
      </c>
      <c r="BD8" s="2">
        <v>106851.0</v>
      </c>
      <c r="BE8" s="2" t="s">
        <v>749</v>
      </c>
      <c r="BF8" s="3" t="str">
        <f>HYPERLINK("http://dx.doi.org/10.1016/j.comnet.2019.07.007","http://dx.doi.org/10.1016/j.comnet.2019.07.007")</f>
        <v>http://dx.doi.org/10.1016/j.comnet.2019.07.007</v>
      </c>
      <c r="BG8" s="2" t="s">
        <v>3635</v>
      </c>
      <c r="BH8" s="2" t="s">
        <v>3635</v>
      </c>
      <c r="BI8" s="2">
        <v>13.0</v>
      </c>
      <c r="BJ8" s="2" t="s">
        <v>3815</v>
      </c>
      <c r="BK8" s="2" t="s">
        <v>3658</v>
      </c>
      <c r="BL8" s="2" t="s">
        <v>3816</v>
      </c>
      <c r="BM8" s="2" t="s">
        <v>3817</v>
      </c>
      <c r="BN8" s="2" t="s">
        <v>3635</v>
      </c>
      <c r="BO8" s="2" t="s">
        <v>3635</v>
      </c>
      <c r="BP8" s="2" t="s">
        <v>3635</v>
      </c>
      <c r="BQ8" s="2" t="s">
        <v>3635</v>
      </c>
      <c r="BR8" s="2" t="s">
        <v>3662</v>
      </c>
      <c r="BS8" s="2" t="s">
        <v>3818</v>
      </c>
      <c r="BT8" s="2" t="str">
        <f>HYPERLINK("https%3A%2F%2Fwww.webofscience.com%2Fwos%2Fwoscc%2Ffull-record%2FWOS:000491684300006","View Full Record in Web of Science")</f>
        <v>View Full Record in Web of Science</v>
      </c>
    </row>
    <row r="9" ht="15.75" customHeight="1">
      <c r="A9" s="2" t="s">
        <v>3664</v>
      </c>
      <c r="B9" s="2" t="s">
        <v>3819</v>
      </c>
      <c r="C9" s="2" t="s">
        <v>3635</v>
      </c>
      <c r="D9" s="2" t="s">
        <v>3635</v>
      </c>
      <c r="E9" s="2" t="s">
        <v>1974</v>
      </c>
      <c r="F9" s="2" t="s">
        <v>3820</v>
      </c>
      <c r="G9" s="2" t="s">
        <v>3635</v>
      </c>
      <c r="H9" s="2" t="s">
        <v>3635</v>
      </c>
      <c r="I9" s="2" t="s">
        <v>2736</v>
      </c>
      <c r="J9" s="2" t="s">
        <v>3821</v>
      </c>
      <c r="K9" s="2" t="s">
        <v>3635</v>
      </c>
      <c r="L9" s="2" t="s">
        <v>3635</v>
      </c>
      <c r="M9" s="2" t="s">
        <v>3638</v>
      </c>
      <c r="N9" s="2" t="s">
        <v>3669</v>
      </c>
      <c r="O9" s="2" t="s">
        <v>3822</v>
      </c>
      <c r="P9" s="2" t="s">
        <v>3823</v>
      </c>
      <c r="Q9" s="2" t="s">
        <v>3824</v>
      </c>
      <c r="R9" s="2" t="s">
        <v>3825</v>
      </c>
      <c r="S9" s="2" t="s">
        <v>3635</v>
      </c>
      <c r="T9" s="2" t="s">
        <v>3635</v>
      </c>
      <c r="U9" s="2" t="s">
        <v>3635</v>
      </c>
      <c r="V9" s="2" t="s">
        <v>3826</v>
      </c>
      <c r="W9" s="2" t="s">
        <v>3827</v>
      </c>
      <c r="X9" s="2" t="s">
        <v>3828</v>
      </c>
      <c r="Y9" s="2" t="s">
        <v>3829</v>
      </c>
      <c r="Z9" s="2" t="s">
        <v>3830</v>
      </c>
      <c r="AA9" s="2" t="s">
        <v>3635</v>
      </c>
      <c r="AB9" s="2" t="s">
        <v>3635</v>
      </c>
      <c r="AC9" s="2" t="s">
        <v>3804</v>
      </c>
      <c r="AD9" s="2" t="s">
        <v>3805</v>
      </c>
      <c r="AE9" s="2" t="s">
        <v>3831</v>
      </c>
      <c r="AF9" s="2" t="s">
        <v>3635</v>
      </c>
      <c r="AG9" s="2">
        <v>23.0</v>
      </c>
      <c r="AH9" s="2">
        <v>5.0</v>
      </c>
      <c r="AI9" s="2">
        <v>5.0</v>
      </c>
      <c r="AJ9" s="2">
        <v>0.0</v>
      </c>
      <c r="AK9" s="2">
        <v>2.0</v>
      </c>
      <c r="AL9" s="2" t="s">
        <v>1974</v>
      </c>
      <c r="AM9" s="2" t="s">
        <v>3651</v>
      </c>
      <c r="AN9" s="2" t="s">
        <v>3762</v>
      </c>
      <c r="AO9" s="2" t="s">
        <v>3635</v>
      </c>
      <c r="AP9" s="2" t="s">
        <v>3635</v>
      </c>
      <c r="AQ9" s="2" t="s">
        <v>3832</v>
      </c>
      <c r="AR9" s="2" t="s">
        <v>3635</v>
      </c>
      <c r="AS9" s="2" t="s">
        <v>3635</v>
      </c>
      <c r="AT9" s="2" t="s">
        <v>3635</v>
      </c>
      <c r="AU9" s="2">
        <v>2019.0</v>
      </c>
      <c r="AV9" s="2" t="s">
        <v>3635</v>
      </c>
      <c r="AW9" s="2" t="s">
        <v>3635</v>
      </c>
      <c r="AX9" s="2" t="s">
        <v>3635</v>
      </c>
      <c r="AY9" s="2" t="s">
        <v>3635</v>
      </c>
      <c r="AZ9" s="2" t="s">
        <v>3635</v>
      </c>
      <c r="BA9" s="2" t="s">
        <v>3635</v>
      </c>
      <c r="BB9" s="2">
        <v>353.0</v>
      </c>
      <c r="BC9" s="2">
        <v>359.0</v>
      </c>
      <c r="BD9" s="2" t="s">
        <v>3635</v>
      </c>
      <c r="BE9" s="2" t="s">
        <v>3635</v>
      </c>
      <c r="BF9" s="2" t="s">
        <v>3635</v>
      </c>
      <c r="BG9" s="2" t="s">
        <v>3635</v>
      </c>
      <c r="BH9" s="2" t="s">
        <v>3635</v>
      </c>
      <c r="BI9" s="2">
        <v>7.0</v>
      </c>
      <c r="BJ9" s="2" t="s">
        <v>3833</v>
      </c>
      <c r="BK9" s="2" t="s">
        <v>3692</v>
      </c>
      <c r="BL9" s="2" t="s">
        <v>3659</v>
      </c>
      <c r="BM9" s="2" t="s">
        <v>3834</v>
      </c>
      <c r="BN9" s="2" t="s">
        <v>3635</v>
      </c>
      <c r="BO9" s="2" t="s">
        <v>3635</v>
      </c>
      <c r="BP9" s="2" t="s">
        <v>3635</v>
      </c>
      <c r="BQ9" s="2" t="s">
        <v>3635</v>
      </c>
      <c r="BR9" s="2" t="s">
        <v>3662</v>
      </c>
      <c r="BS9" s="2" t="s">
        <v>3835</v>
      </c>
      <c r="BT9" s="2" t="str">
        <f>HYPERLINK("https%3A%2F%2Fwww.webofscience.com%2Fwos%2Fwoscc%2Ffull-record%2FWOS:000469937200068","View Full Record in Web of Science")</f>
        <v>View Full Record in Web of Science</v>
      </c>
    </row>
    <row r="10" ht="15.75" customHeight="1">
      <c r="A10" s="2" t="s">
        <v>3664</v>
      </c>
      <c r="B10" s="2" t="s">
        <v>3836</v>
      </c>
      <c r="C10" s="2" t="s">
        <v>3635</v>
      </c>
      <c r="D10" s="2" t="s">
        <v>3635</v>
      </c>
      <c r="E10" s="2" t="s">
        <v>3837</v>
      </c>
      <c r="F10" s="2" t="s">
        <v>3838</v>
      </c>
      <c r="G10" s="2" t="s">
        <v>3635</v>
      </c>
      <c r="H10" s="2" t="s">
        <v>3635</v>
      </c>
      <c r="I10" s="2" t="s">
        <v>698</v>
      </c>
      <c r="J10" s="2" t="s">
        <v>3839</v>
      </c>
      <c r="K10" s="2" t="s">
        <v>3840</v>
      </c>
      <c r="L10" s="2" t="s">
        <v>3635</v>
      </c>
      <c r="M10" s="2" t="s">
        <v>3638</v>
      </c>
      <c r="N10" s="2" t="s">
        <v>3669</v>
      </c>
      <c r="O10" s="2" t="s">
        <v>3841</v>
      </c>
      <c r="P10" s="2" t="s">
        <v>3842</v>
      </c>
      <c r="Q10" s="2" t="s">
        <v>3843</v>
      </c>
      <c r="R10" s="2" t="s">
        <v>3844</v>
      </c>
      <c r="S10" s="2" t="s">
        <v>3635</v>
      </c>
      <c r="T10" s="2" t="s">
        <v>3635</v>
      </c>
      <c r="U10" s="2" t="s">
        <v>3635</v>
      </c>
      <c r="V10" s="2" t="s">
        <v>3845</v>
      </c>
      <c r="W10" s="2" t="s">
        <v>3846</v>
      </c>
      <c r="X10" s="2" t="s">
        <v>3847</v>
      </c>
      <c r="Y10" s="2" t="s">
        <v>3848</v>
      </c>
      <c r="Z10" s="2" t="s">
        <v>3849</v>
      </c>
      <c r="AA10" s="2" t="s">
        <v>3635</v>
      </c>
      <c r="AB10" s="2" t="s">
        <v>3635</v>
      </c>
      <c r="AC10" s="2" t="s">
        <v>3850</v>
      </c>
      <c r="AD10" s="2" t="s">
        <v>3851</v>
      </c>
      <c r="AE10" s="2" t="s">
        <v>3852</v>
      </c>
      <c r="AF10" s="2" t="s">
        <v>3635</v>
      </c>
      <c r="AG10" s="2">
        <v>11.0</v>
      </c>
      <c r="AH10" s="2">
        <v>0.0</v>
      </c>
      <c r="AI10" s="2">
        <v>1.0</v>
      </c>
      <c r="AJ10" s="2">
        <v>1.0</v>
      </c>
      <c r="AK10" s="2">
        <v>6.0</v>
      </c>
      <c r="AL10" s="2" t="s">
        <v>3685</v>
      </c>
      <c r="AM10" s="2" t="s">
        <v>3686</v>
      </c>
      <c r="AN10" s="2" t="s">
        <v>3687</v>
      </c>
      <c r="AO10" s="2" t="s">
        <v>3853</v>
      </c>
      <c r="AP10" s="2" t="s">
        <v>3635</v>
      </c>
      <c r="AQ10" s="2" t="s">
        <v>3854</v>
      </c>
      <c r="AR10" s="2" t="s">
        <v>3855</v>
      </c>
      <c r="AS10" s="2" t="s">
        <v>3635</v>
      </c>
      <c r="AT10" s="2" t="s">
        <v>3635</v>
      </c>
      <c r="AU10" s="2">
        <v>2021.0</v>
      </c>
      <c r="AV10" s="2" t="s">
        <v>3635</v>
      </c>
      <c r="AW10" s="2" t="s">
        <v>3635</v>
      </c>
      <c r="AX10" s="2" t="s">
        <v>3635</v>
      </c>
      <c r="AY10" s="2" t="s">
        <v>3635</v>
      </c>
      <c r="AZ10" s="2" t="s">
        <v>3635</v>
      </c>
      <c r="BA10" s="2" t="s">
        <v>3635</v>
      </c>
      <c r="BB10" s="2">
        <v>181.0</v>
      </c>
      <c r="BC10" s="2">
        <v>182.0</v>
      </c>
      <c r="BD10" s="2" t="s">
        <v>3635</v>
      </c>
      <c r="BE10" s="2" t="s">
        <v>699</v>
      </c>
      <c r="BF10" s="3" t="str">
        <f>HYPERLINK("http://dx.doi.org/10.1109/ICSE-Companion52605.2021.00078","http://dx.doi.org/10.1109/ICSE-Companion52605.2021.00078")</f>
        <v>http://dx.doi.org/10.1109/ICSE-Companion52605.2021.00078</v>
      </c>
      <c r="BG10" s="2" t="s">
        <v>3635</v>
      </c>
      <c r="BH10" s="2" t="s">
        <v>3635</v>
      </c>
      <c r="BI10" s="2">
        <v>2.0</v>
      </c>
      <c r="BJ10" s="2" t="s">
        <v>3691</v>
      </c>
      <c r="BK10" s="2" t="s">
        <v>3692</v>
      </c>
      <c r="BL10" s="2" t="s">
        <v>3659</v>
      </c>
      <c r="BM10" s="2" t="s">
        <v>3856</v>
      </c>
      <c r="BN10" s="2" t="s">
        <v>3635</v>
      </c>
      <c r="BO10" s="2" t="s">
        <v>3635</v>
      </c>
      <c r="BP10" s="2" t="s">
        <v>3635</v>
      </c>
      <c r="BQ10" s="2" t="s">
        <v>3635</v>
      </c>
      <c r="BR10" s="2" t="s">
        <v>3662</v>
      </c>
      <c r="BS10" s="2" t="s">
        <v>3857</v>
      </c>
      <c r="BT10" s="2" t="str">
        <f>HYPERLINK("https%3A%2F%2Fwww.webofscience.com%2Fwos%2Fwoscc%2Ffull-record%2FWOS:000706450400058","View Full Record in Web of Science")</f>
        <v>View Full Record in Web of Science</v>
      </c>
    </row>
    <row r="11" ht="15.75" customHeight="1">
      <c r="A11" s="2" t="s">
        <v>3664</v>
      </c>
      <c r="B11" s="2" t="s">
        <v>3858</v>
      </c>
      <c r="C11" s="2" t="s">
        <v>3635</v>
      </c>
      <c r="D11" s="2" t="s">
        <v>3635</v>
      </c>
      <c r="E11" s="2" t="s">
        <v>1974</v>
      </c>
      <c r="F11" s="2" t="s">
        <v>3859</v>
      </c>
      <c r="G11" s="2" t="s">
        <v>3635</v>
      </c>
      <c r="H11" s="2" t="s">
        <v>3635</v>
      </c>
      <c r="I11" s="2" t="s">
        <v>3860</v>
      </c>
      <c r="J11" s="2" t="s">
        <v>3861</v>
      </c>
      <c r="K11" s="2" t="s">
        <v>3862</v>
      </c>
      <c r="L11" s="2" t="s">
        <v>3635</v>
      </c>
      <c r="M11" s="2" t="s">
        <v>3638</v>
      </c>
      <c r="N11" s="2" t="s">
        <v>3669</v>
      </c>
      <c r="O11" s="2" t="s">
        <v>3863</v>
      </c>
      <c r="P11" s="2" t="s">
        <v>3864</v>
      </c>
      <c r="Q11" s="2" t="s">
        <v>3865</v>
      </c>
      <c r="R11" s="2" t="s">
        <v>3866</v>
      </c>
      <c r="S11" s="2" t="s">
        <v>3635</v>
      </c>
      <c r="T11" s="2" t="s">
        <v>3867</v>
      </c>
      <c r="U11" s="2" t="s">
        <v>3635</v>
      </c>
      <c r="V11" s="2" t="s">
        <v>3868</v>
      </c>
      <c r="W11" s="2" t="s">
        <v>3869</v>
      </c>
      <c r="X11" s="2" t="s">
        <v>3870</v>
      </c>
      <c r="Y11" s="2" t="s">
        <v>3871</v>
      </c>
      <c r="Z11" s="2" t="s">
        <v>3872</v>
      </c>
      <c r="AA11" s="2" t="s">
        <v>3873</v>
      </c>
      <c r="AB11" s="2" t="s">
        <v>3874</v>
      </c>
      <c r="AC11" s="2" t="s">
        <v>3635</v>
      </c>
      <c r="AD11" s="2" t="s">
        <v>3635</v>
      </c>
      <c r="AE11" s="2" t="s">
        <v>3635</v>
      </c>
      <c r="AF11" s="2" t="s">
        <v>3635</v>
      </c>
      <c r="AG11" s="2">
        <v>16.0</v>
      </c>
      <c r="AH11" s="2">
        <v>0.0</v>
      </c>
      <c r="AI11" s="2">
        <v>0.0</v>
      </c>
      <c r="AJ11" s="2">
        <v>0.0</v>
      </c>
      <c r="AK11" s="2">
        <v>4.0</v>
      </c>
      <c r="AL11" s="2" t="s">
        <v>3685</v>
      </c>
      <c r="AM11" s="2" t="s">
        <v>3686</v>
      </c>
      <c r="AN11" s="2" t="s">
        <v>3687</v>
      </c>
      <c r="AO11" s="2" t="s">
        <v>3875</v>
      </c>
      <c r="AP11" s="2" t="s">
        <v>3876</v>
      </c>
      <c r="AQ11" s="2" t="s">
        <v>3877</v>
      </c>
      <c r="AR11" s="2" t="s">
        <v>3878</v>
      </c>
      <c r="AS11" s="2" t="s">
        <v>3635</v>
      </c>
      <c r="AT11" s="2" t="s">
        <v>3635</v>
      </c>
      <c r="AU11" s="2">
        <v>2022.0</v>
      </c>
      <c r="AV11" s="2" t="s">
        <v>3635</v>
      </c>
      <c r="AW11" s="2" t="s">
        <v>3635</v>
      </c>
      <c r="AX11" s="2" t="s">
        <v>3635</v>
      </c>
      <c r="AY11" s="2" t="s">
        <v>3635</v>
      </c>
      <c r="AZ11" s="2" t="s">
        <v>3635</v>
      </c>
      <c r="BA11" s="2" t="s">
        <v>3635</v>
      </c>
      <c r="BB11" s="2">
        <v>499.0</v>
      </c>
      <c r="BC11" s="2">
        <v>508.0</v>
      </c>
      <c r="BD11" s="2" t="s">
        <v>3635</v>
      </c>
      <c r="BE11" s="2" t="s">
        <v>465</v>
      </c>
      <c r="BF11" s="3" t="str">
        <f>HYPERLINK("http://dx.doi.org/10.1109/QRS-C57518.2022.00080","http://dx.doi.org/10.1109/QRS-C57518.2022.00080")</f>
        <v>http://dx.doi.org/10.1109/QRS-C57518.2022.00080</v>
      </c>
      <c r="BG11" s="2" t="s">
        <v>3635</v>
      </c>
      <c r="BH11" s="2" t="s">
        <v>3635</v>
      </c>
      <c r="BI11" s="2">
        <v>10.0</v>
      </c>
      <c r="BJ11" s="2" t="s">
        <v>3691</v>
      </c>
      <c r="BK11" s="2" t="s">
        <v>3692</v>
      </c>
      <c r="BL11" s="2" t="s">
        <v>3659</v>
      </c>
      <c r="BM11" s="2" t="s">
        <v>3879</v>
      </c>
      <c r="BN11" s="2" t="s">
        <v>3635</v>
      </c>
      <c r="BO11" s="2" t="s">
        <v>3635</v>
      </c>
      <c r="BP11" s="2" t="s">
        <v>3635</v>
      </c>
      <c r="BQ11" s="2" t="s">
        <v>3635</v>
      </c>
      <c r="BR11" s="2" t="s">
        <v>3662</v>
      </c>
      <c r="BS11" s="2" t="s">
        <v>3880</v>
      </c>
      <c r="BT11" s="2" t="str">
        <f>HYPERLINK("https%3A%2F%2Fwww.webofscience.com%2Fwos%2Fwoscc%2Ffull-record%2FWOS:000981939100070","View Full Record in Web of Science")</f>
        <v>View Full Record in Web of Science</v>
      </c>
    </row>
    <row r="12" ht="15.75" customHeight="1">
      <c r="A12" s="2" t="s">
        <v>3664</v>
      </c>
      <c r="B12" s="2" t="s">
        <v>3881</v>
      </c>
      <c r="C12" s="2" t="s">
        <v>3635</v>
      </c>
      <c r="D12" s="2" t="s">
        <v>3635</v>
      </c>
      <c r="E12" s="2" t="s">
        <v>3882</v>
      </c>
      <c r="F12" s="2" t="s">
        <v>3883</v>
      </c>
      <c r="G12" s="2" t="s">
        <v>3635</v>
      </c>
      <c r="H12" s="2" t="s">
        <v>3635</v>
      </c>
      <c r="I12" s="2" t="s">
        <v>890</v>
      </c>
      <c r="J12" s="2" t="s">
        <v>3884</v>
      </c>
      <c r="K12" s="2" t="s">
        <v>3635</v>
      </c>
      <c r="L12" s="2" t="s">
        <v>3635</v>
      </c>
      <c r="M12" s="2" t="s">
        <v>3638</v>
      </c>
      <c r="N12" s="2" t="s">
        <v>3669</v>
      </c>
      <c r="O12" s="2" t="s">
        <v>3885</v>
      </c>
      <c r="P12" s="2" t="s">
        <v>3886</v>
      </c>
      <c r="Q12" s="2" t="s">
        <v>3843</v>
      </c>
      <c r="R12" s="2" t="s">
        <v>3887</v>
      </c>
      <c r="S12" s="2" t="s">
        <v>3635</v>
      </c>
      <c r="T12" s="2" t="s">
        <v>3888</v>
      </c>
      <c r="U12" s="2" t="s">
        <v>3635</v>
      </c>
      <c r="V12" s="2" t="s">
        <v>3889</v>
      </c>
      <c r="W12" s="2" t="s">
        <v>3890</v>
      </c>
      <c r="X12" s="2" t="s">
        <v>3891</v>
      </c>
      <c r="Y12" s="2" t="s">
        <v>3892</v>
      </c>
      <c r="Z12" s="2" t="s">
        <v>3893</v>
      </c>
      <c r="AA12" s="2" t="s">
        <v>3635</v>
      </c>
      <c r="AB12" s="2" t="s">
        <v>3635</v>
      </c>
      <c r="AC12" s="2" t="s">
        <v>3635</v>
      </c>
      <c r="AD12" s="2" t="s">
        <v>3635</v>
      </c>
      <c r="AE12" s="2" t="s">
        <v>3635</v>
      </c>
      <c r="AF12" s="2" t="s">
        <v>3635</v>
      </c>
      <c r="AG12" s="2">
        <v>4.0</v>
      </c>
      <c r="AH12" s="2">
        <v>1.0</v>
      </c>
      <c r="AI12" s="2">
        <v>2.0</v>
      </c>
      <c r="AJ12" s="2">
        <v>1.0</v>
      </c>
      <c r="AK12" s="2">
        <v>5.0</v>
      </c>
      <c r="AL12" s="2" t="s">
        <v>3650</v>
      </c>
      <c r="AM12" s="2" t="s">
        <v>3651</v>
      </c>
      <c r="AN12" s="2" t="s">
        <v>3894</v>
      </c>
      <c r="AO12" s="2" t="s">
        <v>3635</v>
      </c>
      <c r="AP12" s="2" t="s">
        <v>3635</v>
      </c>
      <c r="AQ12" s="2" t="s">
        <v>3895</v>
      </c>
      <c r="AR12" s="2" t="s">
        <v>3635</v>
      </c>
      <c r="AS12" s="2" t="s">
        <v>3635</v>
      </c>
      <c r="AT12" s="2" t="s">
        <v>3635</v>
      </c>
      <c r="AU12" s="2">
        <v>2020.0</v>
      </c>
      <c r="AV12" s="2" t="s">
        <v>3635</v>
      </c>
      <c r="AW12" s="2" t="s">
        <v>3635</v>
      </c>
      <c r="AX12" s="2" t="s">
        <v>3635</v>
      </c>
      <c r="AY12" s="2" t="s">
        <v>3635</v>
      </c>
      <c r="AZ12" s="2" t="s">
        <v>3635</v>
      </c>
      <c r="BA12" s="2" t="s">
        <v>3635</v>
      </c>
      <c r="BB12" s="2">
        <v>1479.0</v>
      </c>
      <c r="BC12" s="2">
        <v>1492.0</v>
      </c>
      <c r="BD12" s="2" t="s">
        <v>3635</v>
      </c>
      <c r="BE12" s="2" t="s">
        <v>892</v>
      </c>
      <c r="BF12" s="3" t="str">
        <f>HYPERLINK("http://dx.doi.org/10.1145/3318464.3386130","http://dx.doi.org/10.1145/3318464.3386130")</f>
        <v>http://dx.doi.org/10.1145/3318464.3386130</v>
      </c>
      <c r="BG12" s="2" t="s">
        <v>3635</v>
      </c>
      <c r="BH12" s="2" t="s">
        <v>3635</v>
      </c>
      <c r="BI12" s="2">
        <v>14.0</v>
      </c>
      <c r="BJ12" s="2" t="s">
        <v>3896</v>
      </c>
      <c r="BK12" s="2" t="s">
        <v>3692</v>
      </c>
      <c r="BL12" s="2" t="s">
        <v>3659</v>
      </c>
      <c r="BM12" s="2" t="s">
        <v>3897</v>
      </c>
      <c r="BN12" s="2" t="s">
        <v>3635</v>
      </c>
      <c r="BO12" s="2" t="s">
        <v>3635</v>
      </c>
      <c r="BP12" s="2" t="s">
        <v>3635</v>
      </c>
      <c r="BQ12" s="2" t="s">
        <v>3635</v>
      </c>
      <c r="BR12" s="2" t="s">
        <v>3662</v>
      </c>
      <c r="BS12" s="2" t="s">
        <v>3898</v>
      </c>
      <c r="BT12" s="2" t="str">
        <f>HYPERLINK("https%3A%2F%2Fwww.webofscience.com%2Fwos%2Fwoscc%2Ffull-record%2FWOS:000644433700098","View Full Record in Web of Science")</f>
        <v>View Full Record in Web of Science</v>
      </c>
    </row>
    <row r="13" ht="15.75" customHeight="1">
      <c r="A13" s="2" t="s">
        <v>3633</v>
      </c>
      <c r="B13" s="2" t="s">
        <v>3899</v>
      </c>
      <c r="C13" s="2" t="s">
        <v>3635</v>
      </c>
      <c r="D13" s="2" t="s">
        <v>3635</v>
      </c>
      <c r="E13" s="2" t="s">
        <v>3635</v>
      </c>
      <c r="F13" s="2" t="s">
        <v>3900</v>
      </c>
      <c r="G13" s="2" t="s">
        <v>3635</v>
      </c>
      <c r="H13" s="2" t="s">
        <v>3635</v>
      </c>
      <c r="I13" s="2" t="s">
        <v>3901</v>
      </c>
      <c r="J13" s="2" t="s">
        <v>3902</v>
      </c>
      <c r="K13" s="2" t="s">
        <v>3635</v>
      </c>
      <c r="L13" s="2" t="s">
        <v>3635</v>
      </c>
      <c r="M13" s="2" t="s">
        <v>3638</v>
      </c>
      <c r="N13" s="2" t="s">
        <v>21</v>
      </c>
      <c r="O13" s="2" t="s">
        <v>3635</v>
      </c>
      <c r="P13" s="2" t="s">
        <v>3635</v>
      </c>
      <c r="Q13" s="2" t="s">
        <v>3635</v>
      </c>
      <c r="R13" s="2" t="s">
        <v>3635</v>
      </c>
      <c r="S13" s="2" t="s">
        <v>3635</v>
      </c>
      <c r="T13" s="2" t="s">
        <v>3635</v>
      </c>
      <c r="U13" s="2" t="s">
        <v>3903</v>
      </c>
      <c r="V13" s="2" t="s">
        <v>3904</v>
      </c>
      <c r="W13" s="2" t="s">
        <v>3905</v>
      </c>
      <c r="X13" s="2" t="s">
        <v>3906</v>
      </c>
      <c r="Y13" s="2" t="s">
        <v>3907</v>
      </c>
      <c r="Z13" s="2" t="s">
        <v>3908</v>
      </c>
      <c r="AA13" s="2" t="s">
        <v>3909</v>
      </c>
      <c r="AB13" s="2" t="s">
        <v>3910</v>
      </c>
      <c r="AC13" s="2" t="s">
        <v>3911</v>
      </c>
      <c r="AD13" s="2" t="s">
        <v>3912</v>
      </c>
      <c r="AE13" s="2" t="s">
        <v>3913</v>
      </c>
      <c r="AF13" s="2" t="s">
        <v>3635</v>
      </c>
      <c r="AG13" s="2">
        <v>7.0</v>
      </c>
      <c r="AH13" s="2">
        <v>31.0</v>
      </c>
      <c r="AI13" s="2">
        <v>36.0</v>
      </c>
      <c r="AJ13" s="2">
        <v>1.0</v>
      </c>
      <c r="AK13" s="2">
        <v>14.0</v>
      </c>
      <c r="AL13" s="2" t="s">
        <v>3914</v>
      </c>
      <c r="AM13" s="2" t="s">
        <v>3915</v>
      </c>
      <c r="AN13" s="2" t="s">
        <v>3916</v>
      </c>
      <c r="AO13" s="2" t="s">
        <v>3917</v>
      </c>
      <c r="AP13" s="2" t="s">
        <v>3918</v>
      </c>
      <c r="AQ13" s="2" t="s">
        <v>3635</v>
      </c>
      <c r="AR13" s="2" t="s">
        <v>3902</v>
      </c>
      <c r="AS13" s="2" t="s">
        <v>18</v>
      </c>
      <c r="AT13" s="2" t="s">
        <v>3919</v>
      </c>
      <c r="AU13" s="2">
        <v>2016.0</v>
      </c>
      <c r="AV13" s="2">
        <v>32.0</v>
      </c>
      <c r="AW13" s="2">
        <v>15.0</v>
      </c>
      <c r="AX13" s="2" t="s">
        <v>3635</v>
      </c>
      <c r="AY13" s="2" t="s">
        <v>3635</v>
      </c>
      <c r="AZ13" s="2" t="s">
        <v>3635</v>
      </c>
      <c r="BA13" s="2" t="s">
        <v>3635</v>
      </c>
      <c r="BB13" s="2">
        <v>2364.0</v>
      </c>
      <c r="BC13" s="2">
        <v>2365.0</v>
      </c>
      <c r="BD13" s="2" t="s">
        <v>3635</v>
      </c>
      <c r="BE13" s="2" t="s">
        <v>1250</v>
      </c>
      <c r="BF13" s="3" t="str">
        <f>HYPERLINK("http://dx.doi.org/10.1093/bioinformatics/btw135","http://dx.doi.org/10.1093/bioinformatics/btw135")</f>
        <v>http://dx.doi.org/10.1093/bioinformatics/btw135</v>
      </c>
      <c r="BG13" s="2" t="s">
        <v>3635</v>
      </c>
      <c r="BH13" s="2" t="s">
        <v>3635</v>
      </c>
      <c r="BI13" s="2">
        <v>2.0</v>
      </c>
      <c r="BJ13" s="2" t="s">
        <v>3920</v>
      </c>
      <c r="BK13" s="2" t="s">
        <v>3658</v>
      </c>
      <c r="BL13" s="2" t="s">
        <v>3921</v>
      </c>
      <c r="BM13" s="2" t="s">
        <v>3922</v>
      </c>
      <c r="BN13" s="2">
        <v>2.7153715E7</v>
      </c>
      <c r="BO13" s="2" t="s">
        <v>3923</v>
      </c>
      <c r="BP13" s="2" t="s">
        <v>3635</v>
      </c>
      <c r="BQ13" s="2" t="s">
        <v>3635</v>
      </c>
      <c r="BR13" s="2" t="s">
        <v>3662</v>
      </c>
      <c r="BS13" s="2" t="s">
        <v>3924</v>
      </c>
      <c r="BT13" s="2" t="str">
        <f>HYPERLINK("https%3A%2F%2Fwww.webofscience.com%2Fwos%2Fwoscc%2Ffull-record%2FWOS:000383184500018","View Full Record in Web of Science")</f>
        <v>View Full Record in Web of Science</v>
      </c>
    </row>
    <row r="14" ht="15.75" customHeight="1">
      <c r="A14" s="2" t="s">
        <v>3664</v>
      </c>
      <c r="B14" s="2" t="s">
        <v>3925</v>
      </c>
      <c r="C14" s="2" t="s">
        <v>3635</v>
      </c>
      <c r="D14" s="2" t="s">
        <v>3635</v>
      </c>
      <c r="E14" s="2" t="s">
        <v>1974</v>
      </c>
      <c r="F14" s="2" t="s">
        <v>3926</v>
      </c>
      <c r="G14" s="2" t="s">
        <v>3635</v>
      </c>
      <c r="H14" s="2" t="s">
        <v>3635</v>
      </c>
      <c r="I14" s="2" t="s">
        <v>2340</v>
      </c>
      <c r="J14" s="2" t="s">
        <v>3927</v>
      </c>
      <c r="K14" s="2" t="s">
        <v>3928</v>
      </c>
      <c r="L14" s="2" t="s">
        <v>3635</v>
      </c>
      <c r="M14" s="2" t="s">
        <v>3638</v>
      </c>
      <c r="N14" s="2" t="s">
        <v>3669</v>
      </c>
      <c r="O14" s="2" t="s">
        <v>3929</v>
      </c>
      <c r="P14" s="2" t="s">
        <v>3930</v>
      </c>
      <c r="Q14" s="2" t="s">
        <v>3931</v>
      </c>
      <c r="R14" s="2" t="s">
        <v>3932</v>
      </c>
      <c r="S14" s="2" t="s">
        <v>3635</v>
      </c>
      <c r="T14" s="2" t="s">
        <v>3635</v>
      </c>
      <c r="U14" s="2" t="s">
        <v>3635</v>
      </c>
      <c r="V14" s="2" t="s">
        <v>3933</v>
      </c>
      <c r="W14" s="2" t="s">
        <v>3934</v>
      </c>
      <c r="X14" s="2" t="s">
        <v>3935</v>
      </c>
      <c r="Y14" s="2" t="s">
        <v>3936</v>
      </c>
      <c r="Z14" s="2" t="s">
        <v>3937</v>
      </c>
      <c r="AA14" s="2" t="s">
        <v>3938</v>
      </c>
      <c r="AB14" s="2" t="s">
        <v>3939</v>
      </c>
      <c r="AC14" s="2" t="s">
        <v>3635</v>
      </c>
      <c r="AD14" s="2" t="s">
        <v>3635</v>
      </c>
      <c r="AE14" s="2" t="s">
        <v>3635</v>
      </c>
      <c r="AF14" s="2" t="s">
        <v>3635</v>
      </c>
      <c r="AG14" s="2">
        <v>29.0</v>
      </c>
      <c r="AH14" s="2">
        <v>7.0</v>
      </c>
      <c r="AI14" s="2">
        <v>7.0</v>
      </c>
      <c r="AJ14" s="2">
        <v>0.0</v>
      </c>
      <c r="AK14" s="2">
        <v>1.0</v>
      </c>
      <c r="AL14" s="2" t="s">
        <v>1974</v>
      </c>
      <c r="AM14" s="2" t="s">
        <v>3651</v>
      </c>
      <c r="AN14" s="2" t="s">
        <v>3762</v>
      </c>
      <c r="AO14" s="2" t="s">
        <v>3940</v>
      </c>
      <c r="AP14" s="2" t="s">
        <v>3635</v>
      </c>
      <c r="AQ14" s="2" t="s">
        <v>3941</v>
      </c>
      <c r="AR14" s="2" t="s">
        <v>3942</v>
      </c>
      <c r="AS14" s="2" t="s">
        <v>3635</v>
      </c>
      <c r="AT14" s="2" t="s">
        <v>3635</v>
      </c>
      <c r="AU14" s="2">
        <v>2016.0</v>
      </c>
      <c r="AV14" s="2" t="s">
        <v>3635</v>
      </c>
      <c r="AW14" s="2" t="s">
        <v>3635</v>
      </c>
      <c r="AX14" s="2" t="s">
        <v>3635</v>
      </c>
      <c r="AY14" s="2" t="s">
        <v>3635</v>
      </c>
      <c r="AZ14" s="2" t="s">
        <v>3635</v>
      </c>
      <c r="BA14" s="2" t="s">
        <v>3635</v>
      </c>
      <c r="BB14" s="2">
        <v>97.0</v>
      </c>
      <c r="BC14" s="2">
        <v>106.0</v>
      </c>
      <c r="BD14" s="2" t="s">
        <v>3635</v>
      </c>
      <c r="BE14" s="2" t="s">
        <v>1393</v>
      </c>
      <c r="BF14" s="3" t="str">
        <f>HYPERLINK("http://dx.doi.org/10.1109/SCAM.2016.24","http://dx.doi.org/10.1109/SCAM.2016.24")</f>
        <v>http://dx.doi.org/10.1109/SCAM.2016.24</v>
      </c>
      <c r="BG14" s="2" t="s">
        <v>3635</v>
      </c>
      <c r="BH14" s="2" t="s">
        <v>3635</v>
      </c>
      <c r="BI14" s="2">
        <v>10.0</v>
      </c>
      <c r="BJ14" s="2" t="s">
        <v>3943</v>
      </c>
      <c r="BK14" s="2" t="s">
        <v>3692</v>
      </c>
      <c r="BL14" s="2" t="s">
        <v>3944</v>
      </c>
      <c r="BM14" s="2" t="s">
        <v>3945</v>
      </c>
      <c r="BN14" s="2" t="s">
        <v>3635</v>
      </c>
      <c r="BO14" s="2" t="s">
        <v>3694</v>
      </c>
      <c r="BP14" s="2" t="s">
        <v>3635</v>
      </c>
      <c r="BQ14" s="2" t="s">
        <v>3635</v>
      </c>
      <c r="BR14" s="2" t="s">
        <v>3662</v>
      </c>
      <c r="BS14" s="2" t="s">
        <v>3946</v>
      </c>
      <c r="BT14" s="2" t="str">
        <f>HYPERLINK("https%3A%2F%2Fwww.webofscience.com%2Fwos%2Fwoscc%2Ffull-record%2FWOS:000391207000013","View Full Record in Web of Science")</f>
        <v>View Full Record in Web of Science</v>
      </c>
    </row>
    <row r="15" ht="15.75" customHeight="1">
      <c r="A15" s="2" t="s">
        <v>3633</v>
      </c>
      <c r="B15" s="2" t="s">
        <v>3947</v>
      </c>
      <c r="C15" s="2" t="s">
        <v>3635</v>
      </c>
      <c r="D15" s="2" t="s">
        <v>3635</v>
      </c>
      <c r="E15" s="2" t="s">
        <v>3635</v>
      </c>
      <c r="F15" s="2" t="s">
        <v>3947</v>
      </c>
      <c r="G15" s="2" t="s">
        <v>3635</v>
      </c>
      <c r="H15" s="2" t="s">
        <v>3635</v>
      </c>
      <c r="I15" s="2" t="s">
        <v>1562</v>
      </c>
      <c r="J15" s="2" t="s">
        <v>3948</v>
      </c>
      <c r="K15" s="2" t="s">
        <v>3635</v>
      </c>
      <c r="L15" s="2" t="s">
        <v>3635</v>
      </c>
      <c r="M15" s="2" t="s">
        <v>3638</v>
      </c>
      <c r="N15" s="2" t="s">
        <v>21</v>
      </c>
      <c r="O15" s="2" t="s">
        <v>3635</v>
      </c>
      <c r="P15" s="2" t="s">
        <v>3635</v>
      </c>
      <c r="Q15" s="2" t="s">
        <v>3635</v>
      </c>
      <c r="R15" s="2" t="s">
        <v>3635</v>
      </c>
      <c r="S15" s="2" t="s">
        <v>3635</v>
      </c>
      <c r="T15" s="2" t="s">
        <v>3635</v>
      </c>
      <c r="U15" s="2" t="s">
        <v>3635</v>
      </c>
      <c r="V15" s="2" t="s">
        <v>3949</v>
      </c>
      <c r="W15" s="2" t="s">
        <v>3635</v>
      </c>
      <c r="X15" s="2" t="s">
        <v>3635</v>
      </c>
      <c r="Y15" s="2" t="s">
        <v>3635</v>
      </c>
      <c r="Z15" s="2" t="s">
        <v>3635</v>
      </c>
      <c r="AA15" s="2" t="s">
        <v>3635</v>
      </c>
      <c r="AB15" s="2" t="s">
        <v>3950</v>
      </c>
      <c r="AC15" s="2" t="s">
        <v>3635</v>
      </c>
      <c r="AD15" s="2" t="s">
        <v>3635</v>
      </c>
      <c r="AE15" s="2" t="s">
        <v>3635</v>
      </c>
      <c r="AF15" s="2" t="s">
        <v>3635</v>
      </c>
      <c r="AG15" s="2">
        <v>7.0</v>
      </c>
      <c r="AH15" s="2">
        <v>22.0</v>
      </c>
      <c r="AI15" s="2">
        <v>27.0</v>
      </c>
      <c r="AJ15" s="2">
        <v>0.0</v>
      </c>
      <c r="AK15" s="2">
        <v>0.0</v>
      </c>
      <c r="AL15" s="2" t="s">
        <v>3685</v>
      </c>
      <c r="AM15" s="2" t="s">
        <v>3686</v>
      </c>
      <c r="AN15" s="2" t="s">
        <v>3951</v>
      </c>
      <c r="AO15" s="2" t="s">
        <v>3952</v>
      </c>
      <c r="AP15" s="2" t="s">
        <v>3635</v>
      </c>
      <c r="AQ15" s="2" t="s">
        <v>3635</v>
      </c>
      <c r="AR15" s="2" t="s">
        <v>3948</v>
      </c>
      <c r="AS15" s="2" t="s">
        <v>1564</v>
      </c>
      <c r="AT15" s="2" t="s">
        <v>3953</v>
      </c>
      <c r="AU15" s="2">
        <v>2001.0</v>
      </c>
      <c r="AV15" s="2">
        <v>34.0</v>
      </c>
      <c r="AW15" s="2">
        <v>11.0</v>
      </c>
      <c r="AX15" s="2" t="s">
        <v>3635</v>
      </c>
      <c r="AY15" s="2" t="s">
        <v>3635</v>
      </c>
      <c r="AZ15" s="2" t="s">
        <v>3635</v>
      </c>
      <c r="BA15" s="2" t="s">
        <v>3635</v>
      </c>
      <c r="BB15" s="2">
        <v>26.0</v>
      </c>
      <c r="BC15" s="2" t="s">
        <v>3954</v>
      </c>
      <c r="BD15" s="2" t="s">
        <v>3635</v>
      </c>
      <c r="BE15" s="2" t="s">
        <v>1565</v>
      </c>
      <c r="BF15" s="3" t="str">
        <f>HYPERLINK("http://dx.doi.org/10.1109/2.963440","http://dx.doi.org/10.1109/2.963440")</f>
        <v>http://dx.doi.org/10.1109/2.963440</v>
      </c>
      <c r="BG15" s="2" t="s">
        <v>3635</v>
      </c>
      <c r="BH15" s="2" t="s">
        <v>3635</v>
      </c>
      <c r="BI15" s="2">
        <v>7.0</v>
      </c>
      <c r="BJ15" s="2" t="s">
        <v>3955</v>
      </c>
      <c r="BK15" s="2" t="s">
        <v>3658</v>
      </c>
      <c r="BL15" s="2" t="s">
        <v>3659</v>
      </c>
      <c r="BM15" s="2" t="s">
        <v>3956</v>
      </c>
      <c r="BN15" s="2" t="s">
        <v>3635</v>
      </c>
      <c r="BO15" s="2" t="s">
        <v>3635</v>
      </c>
      <c r="BP15" s="2" t="s">
        <v>3635</v>
      </c>
      <c r="BQ15" s="2" t="s">
        <v>3635</v>
      </c>
      <c r="BR15" s="2" t="s">
        <v>3662</v>
      </c>
      <c r="BS15" s="2" t="s">
        <v>3957</v>
      </c>
      <c r="BT15" s="2" t="str">
        <f>HYPERLINK("https%3A%2F%2Fwww.webofscience.com%2Fwos%2Fwoscc%2Ffull-record%2FWOS:000171886500017","View Full Record in Web of Science")</f>
        <v>View Full Record in Web of Science</v>
      </c>
    </row>
    <row r="16" ht="15.75" customHeight="1">
      <c r="A16" s="2" t="s">
        <v>3664</v>
      </c>
      <c r="B16" s="2" t="s">
        <v>3958</v>
      </c>
      <c r="C16" s="2" t="s">
        <v>3635</v>
      </c>
      <c r="D16" s="2" t="s">
        <v>3635</v>
      </c>
      <c r="E16" s="2" t="s">
        <v>1974</v>
      </c>
      <c r="F16" s="2" t="s">
        <v>3958</v>
      </c>
      <c r="G16" s="2" t="s">
        <v>3635</v>
      </c>
      <c r="H16" s="2" t="s">
        <v>3635</v>
      </c>
      <c r="I16" s="2" t="s">
        <v>3959</v>
      </c>
      <c r="J16" s="2" t="s">
        <v>3960</v>
      </c>
      <c r="K16" s="2" t="s">
        <v>3635</v>
      </c>
      <c r="L16" s="2" t="s">
        <v>3635</v>
      </c>
      <c r="M16" s="2" t="s">
        <v>3638</v>
      </c>
      <c r="N16" s="2" t="s">
        <v>3669</v>
      </c>
      <c r="O16" s="2" t="s">
        <v>3961</v>
      </c>
      <c r="P16" s="2" t="s">
        <v>3962</v>
      </c>
      <c r="Q16" s="2" t="s">
        <v>3963</v>
      </c>
      <c r="R16" s="2" t="s">
        <v>3964</v>
      </c>
      <c r="S16" s="2" t="s">
        <v>3635</v>
      </c>
      <c r="T16" s="2" t="s">
        <v>3635</v>
      </c>
      <c r="U16" s="2" t="s">
        <v>3635</v>
      </c>
      <c r="V16" s="2" t="s">
        <v>3965</v>
      </c>
      <c r="W16" s="2" t="s">
        <v>3635</v>
      </c>
      <c r="X16" s="2" t="s">
        <v>3635</v>
      </c>
      <c r="Y16" s="2" t="s">
        <v>3966</v>
      </c>
      <c r="Z16" s="2" t="s">
        <v>3635</v>
      </c>
      <c r="AA16" s="2" t="s">
        <v>3635</v>
      </c>
      <c r="AB16" s="2" t="s">
        <v>3635</v>
      </c>
      <c r="AC16" s="2" t="s">
        <v>3635</v>
      </c>
      <c r="AD16" s="2" t="s">
        <v>3635</v>
      </c>
      <c r="AE16" s="2" t="s">
        <v>3635</v>
      </c>
      <c r="AF16" s="2" t="s">
        <v>3635</v>
      </c>
      <c r="AG16" s="2">
        <v>0.0</v>
      </c>
      <c r="AH16" s="2">
        <v>0.0</v>
      </c>
      <c r="AI16" s="2">
        <v>0.0</v>
      </c>
      <c r="AJ16" s="2">
        <v>0.0</v>
      </c>
      <c r="AK16" s="2">
        <v>0.0</v>
      </c>
      <c r="AL16" s="2" t="s">
        <v>3967</v>
      </c>
      <c r="AM16" s="2" t="s">
        <v>3651</v>
      </c>
      <c r="AN16" s="2" t="s">
        <v>3968</v>
      </c>
      <c r="AO16" s="2" t="s">
        <v>3635</v>
      </c>
      <c r="AP16" s="2" t="s">
        <v>3635</v>
      </c>
      <c r="AQ16" s="2" t="s">
        <v>3969</v>
      </c>
      <c r="AR16" s="2" t="s">
        <v>3635</v>
      </c>
      <c r="AS16" s="2" t="s">
        <v>3635</v>
      </c>
      <c r="AT16" s="2" t="s">
        <v>3635</v>
      </c>
      <c r="AU16" s="2">
        <v>1996.0</v>
      </c>
      <c r="AV16" s="2" t="s">
        <v>3635</v>
      </c>
      <c r="AW16" s="2" t="s">
        <v>3635</v>
      </c>
      <c r="AX16" s="2" t="s">
        <v>3635</v>
      </c>
      <c r="AY16" s="2" t="s">
        <v>3635</v>
      </c>
      <c r="AZ16" s="2" t="s">
        <v>3635</v>
      </c>
      <c r="BA16" s="2" t="s">
        <v>3635</v>
      </c>
      <c r="BB16" s="2">
        <v>534.0</v>
      </c>
      <c r="BC16" s="2">
        <v>540.0</v>
      </c>
      <c r="BD16" s="2" t="s">
        <v>3635</v>
      </c>
      <c r="BE16" s="2" t="s">
        <v>3635</v>
      </c>
      <c r="BF16" s="2" t="s">
        <v>3635</v>
      </c>
      <c r="BG16" s="2" t="s">
        <v>3635</v>
      </c>
      <c r="BH16" s="2" t="s">
        <v>3635</v>
      </c>
      <c r="BI16" s="2">
        <v>3.0</v>
      </c>
      <c r="BJ16" s="2" t="s">
        <v>3970</v>
      </c>
      <c r="BK16" s="2" t="s">
        <v>3692</v>
      </c>
      <c r="BL16" s="2" t="s">
        <v>3971</v>
      </c>
      <c r="BM16" s="2" t="s">
        <v>3972</v>
      </c>
      <c r="BN16" s="2" t="s">
        <v>3635</v>
      </c>
      <c r="BO16" s="2" t="s">
        <v>3635</v>
      </c>
      <c r="BP16" s="2" t="s">
        <v>3635</v>
      </c>
      <c r="BQ16" s="2" t="s">
        <v>3635</v>
      </c>
      <c r="BR16" s="2" t="s">
        <v>3662</v>
      </c>
      <c r="BS16" s="2" t="s">
        <v>3973</v>
      </c>
      <c r="BT16" s="2" t="str">
        <f>HYPERLINK("https%3A%2F%2Fwww.webofscience.com%2Fwos%2Fwoscc%2Ffull-record%2FWOS:A1996BG78Y00089","View Full Record in Web of Science")</f>
        <v>View Full Record in Web of Science</v>
      </c>
    </row>
    <row r="17" ht="15.75" customHeight="1">
      <c r="A17" s="2" t="s">
        <v>3633</v>
      </c>
      <c r="B17" s="2" t="s">
        <v>3974</v>
      </c>
      <c r="C17" s="2" t="s">
        <v>3635</v>
      </c>
      <c r="D17" s="2" t="s">
        <v>3635</v>
      </c>
      <c r="E17" s="2" t="s">
        <v>3635</v>
      </c>
      <c r="F17" s="2" t="s">
        <v>3975</v>
      </c>
      <c r="G17" s="2" t="s">
        <v>3635</v>
      </c>
      <c r="H17" s="2" t="s">
        <v>3635</v>
      </c>
      <c r="I17" s="2" t="s">
        <v>3976</v>
      </c>
      <c r="J17" s="2" t="s">
        <v>3977</v>
      </c>
      <c r="K17" s="2" t="s">
        <v>3635</v>
      </c>
      <c r="L17" s="2" t="s">
        <v>3635</v>
      </c>
      <c r="M17" s="2" t="s">
        <v>3638</v>
      </c>
      <c r="N17" s="2" t="s">
        <v>21</v>
      </c>
      <c r="O17" s="2" t="s">
        <v>3635</v>
      </c>
      <c r="P17" s="2" t="s">
        <v>3635</v>
      </c>
      <c r="Q17" s="2" t="s">
        <v>3635</v>
      </c>
      <c r="R17" s="2" t="s">
        <v>3635</v>
      </c>
      <c r="S17" s="2" t="s">
        <v>3635</v>
      </c>
      <c r="T17" s="2" t="s">
        <v>3978</v>
      </c>
      <c r="U17" s="2" t="s">
        <v>3635</v>
      </c>
      <c r="V17" s="2" t="s">
        <v>3979</v>
      </c>
      <c r="W17" s="2" t="s">
        <v>3980</v>
      </c>
      <c r="X17" s="2" t="s">
        <v>3981</v>
      </c>
      <c r="Y17" s="2" t="s">
        <v>3982</v>
      </c>
      <c r="Z17" s="2" t="s">
        <v>3983</v>
      </c>
      <c r="AA17" s="2" t="s">
        <v>3984</v>
      </c>
      <c r="AB17" s="2" t="s">
        <v>3985</v>
      </c>
      <c r="AC17" s="2" t="s">
        <v>3635</v>
      </c>
      <c r="AD17" s="2" t="s">
        <v>3635</v>
      </c>
      <c r="AE17" s="2" t="s">
        <v>3635</v>
      </c>
      <c r="AF17" s="2" t="s">
        <v>3635</v>
      </c>
      <c r="AG17" s="2">
        <v>14.0</v>
      </c>
      <c r="AH17" s="2">
        <v>85.0</v>
      </c>
      <c r="AI17" s="2">
        <v>86.0</v>
      </c>
      <c r="AJ17" s="2">
        <v>0.0</v>
      </c>
      <c r="AK17" s="2">
        <v>0.0</v>
      </c>
      <c r="AL17" s="2" t="s">
        <v>3986</v>
      </c>
      <c r="AM17" s="2" t="s">
        <v>3987</v>
      </c>
      <c r="AN17" s="2" t="s">
        <v>3988</v>
      </c>
      <c r="AO17" s="2" t="s">
        <v>3989</v>
      </c>
      <c r="AP17" s="2" t="s">
        <v>3635</v>
      </c>
      <c r="AQ17" s="2" t="s">
        <v>3635</v>
      </c>
      <c r="AR17" s="2" t="s">
        <v>3990</v>
      </c>
      <c r="AS17" s="2" t="s">
        <v>3635</v>
      </c>
      <c r="AT17" s="2" t="s">
        <v>3635</v>
      </c>
      <c r="AU17" s="2">
        <v>2012.0</v>
      </c>
      <c r="AV17" s="2">
        <v>39.0</v>
      </c>
      <c r="AW17" s="2">
        <v>2.0</v>
      </c>
      <c r="AX17" s="2" t="s">
        <v>3635</v>
      </c>
      <c r="AY17" s="2" t="s">
        <v>3635</v>
      </c>
      <c r="AZ17" s="2" t="s">
        <v>3635</v>
      </c>
      <c r="BA17" s="2" t="s">
        <v>3635</v>
      </c>
      <c r="BB17" s="2">
        <v>144.0</v>
      </c>
      <c r="BC17" s="2" t="s">
        <v>3954</v>
      </c>
      <c r="BD17" s="2" t="s">
        <v>3635</v>
      </c>
      <c r="BE17" s="2" t="s">
        <v>3991</v>
      </c>
      <c r="BF17" s="3" t="str">
        <f>HYPERLINK("http://dx.doi.org/10.1108/01443581211222635","http://dx.doi.org/10.1108/01443581211222635")</f>
        <v>http://dx.doi.org/10.1108/01443581211222635</v>
      </c>
      <c r="BG17" s="2" t="s">
        <v>3635</v>
      </c>
      <c r="BH17" s="2" t="s">
        <v>3635</v>
      </c>
      <c r="BI17" s="2">
        <v>18.0</v>
      </c>
      <c r="BJ17" s="2" t="s">
        <v>3992</v>
      </c>
      <c r="BK17" s="2" t="s">
        <v>3993</v>
      </c>
      <c r="BL17" s="2" t="s">
        <v>3994</v>
      </c>
      <c r="BM17" s="2" t="s">
        <v>3995</v>
      </c>
      <c r="BN17" s="2" t="s">
        <v>3635</v>
      </c>
      <c r="BO17" s="2" t="s">
        <v>3694</v>
      </c>
      <c r="BP17" s="2" t="s">
        <v>3635</v>
      </c>
      <c r="BQ17" s="2" t="s">
        <v>3635</v>
      </c>
      <c r="BR17" s="2" t="s">
        <v>3662</v>
      </c>
      <c r="BS17" s="2" t="s">
        <v>3996</v>
      </c>
      <c r="BT17" s="2" t="str">
        <f>HYPERLINK("https%3A%2F%2Fwww.webofscience.com%2Fwos%2Fwoscc%2Ffull-record%2FWOS:000212951100002","View Full Record in Web of Science")</f>
        <v>View Full Record in Web of Science</v>
      </c>
    </row>
    <row r="18" ht="15.75" customHeight="1">
      <c r="A18" s="2" t="s">
        <v>3664</v>
      </c>
      <c r="B18" s="2" t="s">
        <v>3997</v>
      </c>
      <c r="C18" s="2" t="s">
        <v>3635</v>
      </c>
      <c r="D18" s="2" t="s">
        <v>3635</v>
      </c>
      <c r="E18" s="2" t="s">
        <v>3837</v>
      </c>
      <c r="F18" s="2" t="s">
        <v>3998</v>
      </c>
      <c r="G18" s="2" t="s">
        <v>3635</v>
      </c>
      <c r="H18" s="2" t="s">
        <v>3635</v>
      </c>
      <c r="I18" s="2" t="s">
        <v>1999</v>
      </c>
      <c r="J18" s="2" t="s">
        <v>3999</v>
      </c>
      <c r="K18" s="2" t="s">
        <v>3635</v>
      </c>
      <c r="L18" s="2" t="s">
        <v>3635</v>
      </c>
      <c r="M18" s="2" t="s">
        <v>3638</v>
      </c>
      <c r="N18" s="2" t="s">
        <v>3669</v>
      </c>
      <c r="O18" s="2" t="s">
        <v>4000</v>
      </c>
      <c r="P18" s="2" t="s">
        <v>4001</v>
      </c>
      <c r="Q18" s="2" t="s">
        <v>4002</v>
      </c>
      <c r="R18" s="2" t="s">
        <v>4003</v>
      </c>
      <c r="S18" s="2" t="s">
        <v>3635</v>
      </c>
      <c r="T18" s="2" t="s">
        <v>4004</v>
      </c>
      <c r="U18" s="2" t="s">
        <v>4005</v>
      </c>
      <c r="V18" s="2" t="s">
        <v>4006</v>
      </c>
      <c r="W18" s="2" t="s">
        <v>4007</v>
      </c>
      <c r="X18" s="2" t="s">
        <v>3703</v>
      </c>
      <c r="Y18" s="2" t="s">
        <v>4008</v>
      </c>
      <c r="Z18" s="2" t="s">
        <v>4009</v>
      </c>
      <c r="AA18" s="2" t="s">
        <v>3635</v>
      </c>
      <c r="AB18" s="2" t="s">
        <v>3635</v>
      </c>
      <c r="AC18" s="2" t="s">
        <v>4010</v>
      </c>
      <c r="AD18" s="2" t="s">
        <v>4011</v>
      </c>
      <c r="AE18" s="2" t="s">
        <v>3635</v>
      </c>
      <c r="AF18" s="2" t="s">
        <v>3635</v>
      </c>
      <c r="AG18" s="2">
        <v>28.0</v>
      </c>
      <c r="AH18" s="2">
        <v>24.0</v>
      </c>
      <c r="AI18" s="2">
        <v>30.0</v>
      </c>
      <c r="AJ18" s="2">
        <v>0.0</v>
      </c>
      <c r="AK18" s="2">
        <v>1.0</v>
      </c>
      <c r="AL18" s="2" t="s">
        <v>3685</v>
      </c>
      <c r="AM18" s="2" t="s">
        <v>3686</v>
      </c>
      <c r="AN18" s="2" t="s">
        <v>3687</v>
      </c>
      <c r="AO18" s="2" t="s">
        <v>3635</v>
      </c>
      <c r="AP18" s="2" t="s">
        <v>3635</v>
      </c>
      <c r="AQ18" s="2" t="s">
        <v>4012</v>
      </c>
      <c r="AR18" s="2" t="s">
        <v>3635</v>
      </c>
      <c r="AS18" s="2" t="s">
        <v>3635</v>
      </c>
      <c r="AT18" s="2" t="s">
        <v>3635</v>
      </c>
      <c r="AU18" s="2">
        <v>2013.0</v>
      </c>
      <c r="AV18" s="2" t="s">
        <v>3635</v>
      </c>
      <c r="AW18" s="2" t="s">
        <v>3635</v>
      </c>
      <c r="AX18" s="2" t="s">
        <v>3635</v>
      </c>
      <c r="AY18" s="2" t="s">
        <v>3635</v>
      </c>
      <c r="AZ18" s="2" t="s">
        <v>3635</v>
      </c>
      <c r="BA18" s="2" t="s">
        <v>3635</v>
      </c>
      <c r="BB18" s="2">
        <v>124.0</v>
      </c>
      <c r="BC18" s="2">
        <v>133.0</v>
      </c>
      <c r="BD18" s="2" t="s">
        <v>3635</v>
      </c>
      <c r="BE18" s="2" t="s">
        <v>1048</v>
      </c>
      <c r="BF18" s="3" t="str">
        <f>HYPERLINK("http://dx.doi.org/10.1109/ICST.2013.31","http://dx.doi.org/10.1109/ICST.2013.31")</f>
        <v>http://dx.doi.org/10.1109/ICST.2013.31</v>
      </c>
      <c r="BG18" s="2" t="s">
        <v>3635</v>
      </c>
      <c r="BH18" s="2" t="s">
        <v>3635</v>
      </c>
      <c r="BI18" s="2">
        <v>10.0</v>
      </c>
      <c r="BJ18" s="2" t="s">
        <v>3657</v>
      </c>
      <c r="BK18" s="2" t="s">
        <v>3692</v>
      </c>
      <c r="BL18" s="2" t="s">
        <v>3659</v>
      </c>
      <c r="BM18" s="2" t="s">
        <v>4013</v>
      </c>
      <c r="BN18" s="2" t="s">
        <v>3635</v>
      </c>
      <c r="BO18" s="2" t="s">
        <v>3635</v>
      </c>
      <c r="BP18" s="2" t="s">
        <v>3635</v>
      </c>
      <c r="BQ18" s="2" t="s">
        <v>3635</v>
      </c>
      <c r="BR18" s="2" t="s">
        <v>3662</v>
      </c>
      <c r="BS18" s="2" t="s">
        <v>4014</v>
      </c>
      <c r="BT18" s="2" t="str">
        <f>HYPERLINK("https%3A%2F%2Fwww.webofscience.com%2Fwos%2Fwoscc%2Ffull-record%2FWOS:000332473300015","View Full Record in Web of Science")</f>
        <v>View Full Record in Web of Science</v>
      </c>
    </row>
    <row r="19" ht="15.75" customHeight="1">
      <c r="A19" s="2" t="s">
        <v>3664</v>
      </c>
      <c r="B19" s="2" t="s">
        <v>3696</v>
      </c>
      <c r="C19" s="2" t="s">
        <v>3635</v>
      </c>
      <c r="D19" s="2" t="s">
        <v>3635</v>
      </c>
      <c r="E19" s="2" t="s">
        <v>1974</v>
      </c>
      <c r="F19" s="2" t="s">
        <v>3697</v>
      </c>
      <c r="G19" s="2" t="s">
        <v>3635</v>
      </c>
      <c r="H19" s="2" t="s">
        <v>3635</v>
      </c>
      <c r="I19" s="2" t="s">
        <v>2198</v>
      </c>
      <c r="J19" s="2" t="s">
        <v>4015</v>
      </c>
      <c r="K19" s="2" t="s">
        <v>4016</v>
      </c>
      <c r="L19" s="2" t="s">
        <v>3635</v>
      </c>
      <c r="M19" s="2" t="s">
        <v>3638</v>
      </c>
      <c r="N19" s="2" t="s">
        <v>3669</v>
      </c>
      <c r="O19" s="2" t="s">
        <v>4017</v>
      </c>
      <c r="P19" s="2" t="s">
        <v>4018</v>
      </c>
      <c r="Q19" s="2" t="s">
        <v>4019</v>
      </c>
      <c r="R19" s="2" t="s">
        <v>4020</v>
      </c>
      <c r="S19" s="2" t="s">
        <v>3635</v>
      </c>
      <c r="T19" s="2" t="s">
        <v>4021</v>
      </c>
      <c r="U19" s="2" t="s">
        <v>3635</v>
      </c>
      <c r="V19" s="2" t="s">
        <v>4022</v>
      </c>
      <c r="W19" s="2" t="s">
        <v>3702</v>
      </c>
      <c r="X19" s="2" t="s">
        <v>3703</v>
      </c>
      <c r="Y19" s="2" t="s">
        <v>4023</v>
      </c>
      <c r="Z19" s="2" t="s">
        <v>4024</v>
      </c>
      <c r="AA19" s="2" t="s">
        <v>3635</v>
      </c>
      <c r="AB19" s="2" t="s">
        <v>3635</v>
      </c>
      <c r="AC19" s="2" t="s">
        <v>3635</v>
      </c>
      <c r="AD19" s="2" t="s">
        <v>3635</v>
      </c>
      <c r="AE19" s="2" t="s">
        <v>3635</v>
      </c>
      <c r="AF19" s="2" t="s">
        <v>3635</v>
      </c>
      <c r="AG19" s="2">
        <v>31.0</v>
      </c>
      <c r="AH19" s="2">
        <v>6.0</v>
      </c>
      <c r="AI19" s="2">
        <v>6.0</v>
      </c>
      <c r="AJ19" s="2">
        <v>0.0</v>
      </c>
      <c r="AK19" s="2">
        <v>1.0</v>
      </c>
      <c r="AL19" s="2" t="s">
        <v>1974</v>
      </c>
      <c r="AM19" s="2" t="s">
        <v>3651</v>
      </c>
      <c r="AN19" s="2" t="s">
        <v>3762</v>
      </c>
      <c r="AO19" s="2" t="s">
        <v>4025</v>
      </c>
      <c r="AP19" s="2" t="s">
        <v>3635</v>
      </c>
      <c r="AQ19" s="2" t="s">
        <v>4026</v>
      </c>
      <c r="AR19" s="2" t="s">
        <v>4027</v>
      </c>
      <c r="AS19" s="2" t="s">
        <v>3635</v>
      </c>
      <c r="AT19" s="2" t="s">
        <v>3635</v>
      </c>
      <c r="AU19" s="2">
        <v>2015.0</v>
      </c>
      <c r="AV19" s="2" t="s">
        <v>3635</v>
      </c>
      <c r="AW19" s="2" t="s">
        <v>3635</v>
      </c>
      <c r="AX19" s="2" t="s">
        <v>3635</v>
      </c>
      <c r="AY19" s="2" t="s">
        <v>3635</v>
      </c>
      <c r="AZ19" s="2" t="s">
        <v>3635</v>
      </c>
      <c r="BA19" s="2" t="s">
        <v>3635</v>
      </c>
      <c r="BB19" s="2" t="s">
        <v>3635</v>
      </c>
      <c r="BC19" s="2" t="s">
        <v>3635</v>
      </c>
      <c r="BD19" s="2" t="s">
        <v>3635</v>
      </c>
      <c r="BE19" s="2" t="s">
        <v>3635</v>
      </c>
      <c r="BF19" s="2" t="s">
        <v>3635</v>
      </c>
      <c r="BG19" s="2" t="s">
        <v>3635</v>
      </c>
      <c r="BH19" s="2" t="s">
        <v>3635</v>
      </c>
      <c r="BI19" s="2">
        <v>10.0</v>
      </c>
      <c r="BJ19" s="2" t="s">
        <v>4028</v>
      </c>
      <c r="BK19" s="2" t="s">
        <v>3692</v>
      </c>
      <c r="BL19" s="2" t="s">
        <v>3944</v>
      </c>
      <c r="BM19" s="2" t="s">
        <v>4029</v>
      </c>
      <c r="BN19" s="2" t="s">
        <v>3635</v>
      </c>
      <c r="BO19" s="2" t="s">
        <v>3635</v>
      </c>
      <c r="BP19" s="2" t="s">
        <v>3635</v>
      </c>
      <c r="BQ19" s="2" t="s">
        <v>3635</v>
      </c>
      <c r="BR19" s="2" t="s">
        <v>3662</v>
      </c>
      <c r="BS19" s="2" t="s">
        <v>4030</v>
      </c>
      <c r="BT19" s="2" t="str">
        <f>HYPERLINK("https%3A%2F%2Fwww.webofscience.com%2Fwos%2Fwoscc%2Ffull-record%2FWOS:000380913300019","View Full Record in Web of Science")</f>
        <v>View Full Record in Web of Science</v>
      </c>
    </row>
    <row r="20" ht="15.75" customHeight="1">
      <c r="A20" s="2" t="s">
        <v>3633</v>
      </c>
      <c r="B20" s="2" t="s">
        <v>4031</v>
      </c>
      <c r="C20" s="2" t="s">
        <v>3635</v>
      </c>
      <c r="D20" s="2" t="s">
        <v>3635</v>
      </c>
      <c r="E20" s="2" t="s">
        <v>3635</v>
      </c>
      <c r="F20" s="2" t="s">
        <v>4032</v>
      </c>
      <c r="G20" s="2" t="s">
        <v>3635</v>
      </c>
      <c r="H20" s="2" t="s">
        <v>3635</v>
      </c>
      <c r="I20" s="2" t="s">
        <v>4033</v>
      </c>
      <c r="J20" s="2" t="s">
        <v>4034</v>
      </c>
      <c r="K20" s="2" t="s">
        <v>3635</v>
      </c>
      <c r="L20" s="2" t="s">
        <v>3635</v>
      </c>
      <c r="M20" s="2" t="s">
        <v>3638</v>
      </c>
      <c r="N20" s="2" t="s">
        <v>21</v>
      </c>
      <c r="O20" s="2" t="s">
        <v>3635</v>
      </c>
      <c r="P20" s="2" t="s">
        <v>3635</v>
      </c>
      <c r="Q20" s="2" t="s">
        <v>3635</v>
      </c>
      <c r="R20" s="2" t="s">
        <v>3635</v>
      </c>
      <c r="S20" s="2" t="s">
        <v>3635</v>
      </c>
      <c r="T20" s="2" t="s">
        <v>4035</v>
      </c>
      <c r="U20" s="2" t="s">
        <v>4036</v>
      </c>
      <c r="V20" s="2" t="s">
        <v>4037</v>
      </c>
      <c r="W20" s="2" t="s">
        <v>4038</v>
      </c>
      <c r="X20" s="2" t="s">
        <v>4039</v>
      </c>
      <c r="Y20" s="2" t="s">
        <v>4040</v>
      </c>
      <c r="Z20" s="2" t="s">
        <v>4041</v>
      </c>
      <c r="AA20" s="2" t="s">
        <v>4042</v>
      </c>
      <c r="AB20" s="2" t="s">
        <v>4043</v>
      </c>
      <c r="AC20" s="2" t="s">
        <v>4044</v>
      </c>
      <c r="AD20" s="2" t="s">
        <v>4045</v>
      </c>
      <c r="AE20" s="2" t="s">
        <v>4046</v>
      </c>
      <c r="AF20" s="2" t="s">
        <v>3635</v>
      </c>
      <c r="AG20" s="2">
        <v>12.0</v>
      </c>
      <c r="AH20" s="2">
        <v>802.0</v>
      </c>
      <c r="AI20" s="2">
        <v>881.0</v>
      </c>
      <c r="AJ20" s="2">
        <v>3.0</v>
      </c>
      <c r="AK20" s="2">
        <v>98.0</v>
      </c>
      <c r="AL20" s="2" t="s">
        <v>4047</v>
      </c>
      <c r="AM20" s="2" t="s">
        <v>4048</v>
      </c>
      <c r="AN20" s="2" t="s">
        <v>4049</v>
      </c>
      <c r="AO20" s="2" t="s">
        <v>4050</v>
      </c>
      <c r="AP20" s="2" t="s">
        <v>4051</v>
      </c>
      <c r="AQ20" s="2" t="s">
        <v>3635</v>
      </c>
      <c r="AR20" s="2" t="s">
        <v>4052</v>
      </c>
      <c r="AS20" s="2" t="s">
        <v>4053</v>
      </c>
      <c r="AT20" s="2" t="s">
        <v>4054</v>
      </c>
      <c r="AU20" s="2">
        <v>2009.0</v>
      </c>
      <c r="AV20" s="2">
        <v>169.0</v>
      </c>
      <c r="AW20" s="2">
        <v>4.0</v>
      </c>
      <c r="AX20" s="2" t="s">
        <v>3635</v>
      </c>
      <c r="AY20" s="2" t="s">
        <v>3635</v>
      </c>
      <c r="AZ20" s="2" t="s">
        <v>3635</v>
      </c>
      <c r="BA20" s="2" t="s">
        <v>3635</v>
      </c>
      <c r="BB20" s="2">
        <v>505.0</v>
      </c>
      <c r="BC20" s="2">
        <v>514.0</v>
      </c>
      <c r="BD20" s="2" t="s">
        <v>3635</v>
      </c>
      <c r="BE20" s="2" t="s">
        <v>4055</v>
      </c>
      <c r="BF20" s="3" t="str">
        <f>HYPERLINK("http://dx.doi.org/10.1093/aje/kwn359","http://dx.doi.org/10.1093/aje/kwn359")</f>
        <v>http://dx.doi.org/10.1093/aje/kwn359</v>
      </c>
      <c r="BG20" s="2" t="s">
        <v>3635</v>
      </c>
      <c r="BH20" s="2" t="s">
        <v>3635</v>
      </c>
      <c r="BI20" s="2">
        <v>10.0</v>
      </c>
      <c r="BJ20" s="2" t="s">
        <v>4056</v>
      </c>
      <c r="BK20" s="2" t="s">
        <v>3658</v>
      </c>
      <c r="BL20" s="2" t="s">
        <v>4056</v>
      </c>
      <c r="BM20" s="2" t="s">
        <v>4057</v>
      </c>
      <c r="BN20" s="2">
        <v>1.9126586E7</v>
      </c>
      <c r="BO20" s="2" t="s">
        <v>4058</v>
      </c>
      <c r="BP20" s="2" t="s">
        <v>3635</v>
      </c>
      <c r="BQ20" s="2" t="s">
        <v>3635</v>
      </c>
      <c r="BR20" s="2" t="s">
        <v>3662</v>
      </c>
      <c r="BS20" s="2" t="s">
        <v>4059</v>
      </c>
      <c r="BT20" s="2" t="str">
        <f>HYPERLINK("https%3A%2F%2Fwww.webofscience.com%2Fwos%2Fwoscc%2Ffull-record%2FWOS:000263403300015","View Full Record in Web of Science")</f>
        <v>View Full Record in Web of Science</v>
      </c>
    </row>
    <row r="21" ht="15.75" customHeight="1">
      <c r="A21" s="2" t="s">
        <v>3633</v>
      </c>
      <c r="B21" s="2" t="s">
        <v>4060</v>
      </c>
      <c r="C21" s="2" t="s">
        <v>3635</v>
      </c>
      <c r="D21" s="2" t="s">
        <v>3635</v>
      </c>
      <c r="E21" s="2" t="s">
        <v>3635</v>
      </c>
      <c r="F21" s="2" t="s">
        <v>4061</v>
      </c>
      <c r="G21" s="2" t="s">
        <v>3635</v>
      </c>
      <c r="H21" s="2" t="s">
        <v>3635</v>
      </c>
      <c r="I21" s="2" t="s">
        <v>526</v>
      </c>
      <c r="J21" s="2" t="s">
        <v>3902</v>
      </c>
      <c r="K21" s="2" t="s">
        <v>3635</v>
      </c>
      <c r="L21" s="2" t="s">
        <v>3635</v>
      </c>
      <c r="M21" s="2" t="s">
        <v>3638</v>
      </c>
      <c r="N21" s="2" t="s">
        <v>21</v>
      </c>
      <c r="O21" s="2" t="s">
        <v>3635</v>
      </c>
      <c r="P21" s="2" t="s">
        <v>3635</v>
      </c>
      <c r="Q21" s="2" t="s">
        <v>3635</v>
      </c>
      <c r="R21" s="2" t="s">
        <v>3635</v>
      </c>
      <c r="S21" s="2" t="s">
        <v>3635</v>
      </c>
      <c r="T21" s="2" t="s">
        <v>3635</v>
      </c>
      <c r="U21" s="2" t="s">
        <v>4062</v>
      </c>
      <c r="V21" s="2" t="s">
        <v>4063</v>
      </c>
      <c r="W21" s="2" t="s">
        <v>4064</v>
      </c>
      <c r="X21" s="2" t="s">
        <v>4065</v>
      </c>
      <c r="Y21" s="2" t="s">
        <v>4066</v>
      </c>
      <c r="Z21" s="2" t="s">
        <v>4067</v>
      </c>
      <c r="AA21" s="2" t="s">
        <v>4068</v>
      </c>
      <c r="AB21" s="2" t="s">
        <v>4069</v>
      </c>
      <c r="AC21" s="2" t="s">
        <v>4070</v>
      </c>
      <c r="AD21" s="2" t="s">
        <v>4071</v>
      </c>
      <c r="AE21" s="2" t="s">
        <v>4072</v>
      </c>
      <c r="AF21" s="2" t="s">
        <v>3635</v>
      </c>
      <c r="AG21" s="2">
        <v>27.0</v>
      </c>
      <c r="AH21" s="2">
        <v>36.0</v>
      </c>
      <c r="AI21" s="2">
        <v>38.0</v>
      </c>
      <c r="AJ21" s="2">
        <v>6.0</v>
      </c>
      <c r="AK21" s="2">
        <v>20.0</v>
      </c>
      <c r="AL21" s="2" t="s">
        <v>3914</v>
      </c>
      <c r="AM21" s="2" t="s">
        <v>3915</v>
      </c>
      <c r="AN21" s="2" t="s">
        <v>3916</v>
      </c>
      <c r="AO21" s="2" t="s">
        <v>3917</v>
      </c>
      <c r="AP21" s="2" t="s">
        <v>4073</v>
      </c>
      <c r="AQ21" s="2" t="s">
        <v>3635</v>
      </c>
      <c r="AR21" s="2" t="s">
        <v>3902</v>
      </c>
      <c r="AS21" s="2" t="s">
        <v>18</v>
      </c>
      <c r="AT21" s="2" t="s">
        <v>4074</v>
      </c>
      <c r="AU21" s="2">
        <v>2020.0</v>
      </c>
      <c r="AV21" s="2">
        <v>36.0</v>
      </c>
      <c r="AW21" s="2">
        <v>5.0</v>
      </c>
      <c r="AX21" s="2" t="s">
        <v>3635</v>
      </c>
      <c r="AY21" s="2" t="s">
        <v>3635</v>
      </c>
      <c r="AZ21" s="2" t="s">
        <v>3635</v>
      </c>
      <c r="BA21" s="2" t="s">
        <v>3635</v>
      </c>
      <c r="BB21" s="2">
        <v>1501.0</v>
      </c>
      <c r="BC21" s="2">
        <v>1508.0</v>
      </c>
      <c r="BD21" s="2" t="s">
        <v>3635</v>
      </c>
      <c r="BE21" s="2" t="s">
        <v>528</v>
      </c>
      <c r="BF21" s="3" t="str">
        <f>HYPERLINK("http://dx.doi.org/10.1093/bioinformatics/btz749","http://dx.doi.org/10.1093/bioinformatics/btz749")</f>
        <v>http://dx.doi.org/10.1093/bioinformatics/btz749</v>
      </c>
      <c r="BG21" s="2" t="s">
        <v>3635</v>
      </c>
      <c r="BH21" s="2" t="s">
        <v>3635</v>
      </c>
      <c r="BI21" s="2">
        <v>8.0</v>
      </c>
      <c r="BJ21" s="2" t="s">
        <v>3920</v>
      </c>
      <c r="BK21" s="2" t="s">
        <v>3658</v>
      </c>
      <c r="BL21" s="2" t="s">
        <v>3921</v>
      </c>
      <c r="BM21" s="2" t="s">
        <v>4075</v>
      </c>
      <c r="BN21" s="2">
        <v>3.1593215E7</v>
      </c>
      <c r="BO21" s="2" t="s">
        <v>4076</v>
      </c>
      <c r="BP21" s="2" t="s">
        <v>3635</v>
      </c>
      <c r="BQ21" s="2" t="s">
        <v>3635</v>
      </c>
      <c r="BR21" s="2" t="s">
        <v>3662</v>
      </c>
      <c r="BS21" s="2" t="s">
        <v>4077</v>
      </c>
      <c r="BT21" s="2" t="str">
        <f>HYPERLINK("https%3A%2F%2Fwww.webofscience.com%2Fwos%2Fwoscc%2Ffull-record%2FWOS:000535656600024","View Full Record in Web of Science")</f>
        <v>View Full Record in Web of Science</v>
      </c>
    </row>
    <row r="22" ht="15.75" customHeight="1">
      <c r="A22" s="2" t="s">
        <v>3664</v>
      </c>
      <c r="B22" s="2" t="s">
        <v>4078</v>
      </c>
      <c r="C22" s="2" t="s">
        <v>3635</v>
      </c>
      <c r="D22" s="2" t="s">
        <v>3635</v>
      </c>
      <c r="E22" s="2" t="s">
        <v>3837</v>
      </c>
      <c r="F22" s="2" t="s">
        <v>3838</v>
      </c>
      <c r="G22" s="2" t="s">
        <v>3635</v>
      </c>
      <c r="H22" s="2" t="s">
        <v>3635</v>
      </c>
      <c r="I22" s="2" t="s">
        <v>1996</v>
      </c>
      <c r="J22" s="2" t="s">
        <v>4079</v>
      </c>
      <c r="K22" s="2" t="s">
        <v>4080</v>
      </c>
      <c r="L22" s="2" t="s">
        <v>3635</v>
      </c>
      <c r="M22" s="2" t="s">
        <v>3638</v>
      </c>
      <c r="N22" s="2" t="s">
        <v>3669</v>
      </c>
      <c r="O22" s="2" t="s">
        <v>4081</v>
      </c>
      <c r="P22" s="2" t="s">
        <v>3842</v>
      </c>
      <c r="Q22" s="2" t="s">
        <v>3843</v>
      </c>
      <c r="R22" s="2" t="s">
        <v>4082</v>
      </c>
      <c r="S22" s="2" t="s">
        <v>3635</v>
      </c>
      <c r="T22" s="2" t="s">
        <v>3635</v>
      </c>
      <c r="U22" s="2" t="s">
        <v>3700</v>
      </c>
      <c r="V22" s="2" t="s">
        <v>4083</v>
      </c>
      <c r="W22" s="2" t="s">
        <v>3846</v>
      </c>
      <c r="X22" s="2" t="s">
        <v>3847</v>
      </c>
      <c r="Y22" s="2" t="s">
        <v>3848</v>
      </c>
      <c r="Z22" s="2" t="s">
        <v>3849</v>
      </c>
      <c r="AA22" s="2" t="s">
        <v>3635</v>
      </c>
      <c r="AB22" s="2" t="s">
        <v>3635</v>
      </c>
      <c r="AC22" s="2" t="s">
        <v>4084</v>
      </c>
      <c r="AD22" s="2" t="s">
        <v>3851</v>
      </c>
      <c r="AE22" s="2" t="s">
        <v>4085</v>
      </c>
      <c r="AF22" s="2" t="s">
        <v>3635</v>
      </c>
      <c r="AG22" s="2">
        <v>63.0</v>
      </c>
      <c r="AH22" s="2">
        <v>25.0</v>
      </c>
      <c r="AI22" s="2">
        <v>26.0</v>
      </c>
      <c r="AJ22" s="2">
        <v>3.0</v>
      </c>
      <c r="AK22" s="2">
        <v>7.0</v>
      </c>
      <c r="AL22" s="2" t="s">
        <v>3685</v>
      </c>
      <c r="AM22" s="2" t="s">
        <v>3686</v>
      </c>
      <c r="AN22" s="2" t="s">
        <v>3687</v>
      </c>
      <c r="AO22" s="2" t="s">
        <v>4086</v>
      </c>
      <c r="AP22" s="2" t="s">
        <v>3635</v>
      </c>
      <c r="AQ22" s="2" t="s">
        <v>4087</v>
      </c>
      <c r="AR22" s="2" t="s">
        <v>4088</v>
      </c>
      <c r="AS22" s="2" t="s">
        <v>3635</v>
      </c>
      <c r="AT22" s="2" t="s">
        <v>3635</v>
      </c>
      <c r="AU22" s="2">
        <v>2021.0</v>
      </c>
      <c r="AV22" s="2" t="s">
        <v>3635</v>
      </c>
      <c r="AW22" s="2" t="s">
        <v>3635</v>
      </c>
      <c r="AX22" s="2" t="s">
        <v>3635</v>
      </c>
      <c r="AY22" s="2" t="s">
        <v>3635</v>
      </c>
      <c r="AZ22" s="2" t="s">
        <v>3635</v>
      </c>
      <c r="BA22" s="2" t="s">
        <v>3635</v>
      </c>
      <c r="BB22" s="2">
        <v>649.0</v>
      </c>
      <c r="BC22" s="2">
        <v>660.0</v>
      </c>
      <c r="BD22" s="2" t="s">
        <v>3635</v>
      </c>
      <c r="BE22" s="2" t="s">
        <v>667</v>
      </c>
      <c r="BF22" s="3" t="str">
        <f>HYPERLINK("http://dx.doi.org/10.1109/ICSE43902.2021.00066","http://dx.doi.org/10.1109/ICSE43902.2021.00066")</f>
        <v>http://dx.doi.org/10.1109/ICSE43902.2021.00066</v>
      </c>
      <c r="BG22" s="2" t="s">
        <v>3635</v>
      </c>
      <c r="BH22" s="2" t="s">
        <v>3635</v>
      </c>
      <c r="BI22" s="2">
        <v>12.0</v>
      </c>
      <c r="BJ22" s="2" t="s">
        <v>3691</v>
      </c>
      <c r="BK22" s="2" t="s">
        <v>3692</v>
      </c>
      <c r="BL22" s="2" t="s">
        <v>3659</v>
      </c>
      <c r="BM22" s="2" t="s">
        <v>4089</v>
      </c>
      <c r="BN22" s="2" t="s">
        <v>3635</v>
      </c>
      <c r="BO22" s="2" t="s">
        <v>3694</v>
      </c>
      <c r="BP22" s="2" t="s">
        <v>3635</v>
      </c>
      <c r="BQ22" s="2" t="s">
        <v>3635</v>
      </c>
      <c r="BR22" s="2" t="s">
        <v>3662</v>
      </c>
      <c r="BS22" s="2" t="s">
        <v>4090</v>
      </c>
      <c r="BT22" s="2" t="str">
        <f>HYPERLINK("https%3A%2F%2Fwww.webofscience.com%2Fwos%2Fwoscc%2Ffull-record%2FWOS:000684601800053","View Full Record in Web of Science")</f>
        <v>View Full Record in Web of Science</v>
      </c>
    </row>
    <row r="23" ht="15.75" customHeight="1">
      <c r="A23" s="2" t="s">
        <v>3633</v>
      </c>
      <c r="B23" s="2" t="s">
        <v>4091</v>
      </c>
      <c r="C23" s="2" t="s">
        <v>3635</v>
      </c>
      <c r="D23" s="2" t="s">
        <v>3635</v>
      </c>
      <c r="E23" s="2" t="s">
        <v>3635</v>
      </c>
      <c r="F23" s="2" t="s">
        <v>4092</v>
      </c>
      <c r="G23" s="2" t="s">
        <v>3635</v>
      </c>
      <c r="H23" s="2" t="s">
        <v>3635</v>
      </c>
      <c r="I23" s="2" t="s">
        <v>4093</v>
      </c>
      <c r="J23" s="2" t="s">
        <v>4094</v>
      </c>
      <c r="K23" s="2" t="s">
        <v>3635</v>
      </c>
      <c r="L23" s="2" t="s">
        <v>3635</v>
      </c>
      <c r="M23" s="2" t="s">
        <v>3638</v>
      </c>
      <c r="N23" s="2" t="s">
        <v>21</v>
      </c>
      <c r="O23" s="2" t="s">
        <v>3635</v>
      </c>
      <c r="P23" s="2" t="s">
        <v>3635</v>
      </c>
      <c r="Q23" s="2" t="s">
        <v>3635</v>
      </c>
      <c r="R23" s="2" t="s">
        <v>3635</v>
      </c>
      <c r="S23" s="2" t="s">
        <v>3635</v>
      </c>
      <c r="T23" s="2" t="s">
        <v>4095</v>
      </c>
      <c r="U23" s="2" t="s">
        <v>3635</v>
      </c>
      <c r="V23" s="2" t="s">
        <v>4096</v>
      </c>
      <c r="W23" s="2" t="s">
        <v>4097</v>
      </c>
      <c r="X23" s="2" t="s">
        <v>4098</v>
      </c>
      <c r="Y23" s="2" t="s">
        <v>4099</v>
      </c>
      <c r="Z23" s="2" t="s">
        <v>4100</v>
      </c>
      <c r="AA23" s="2" t="s">
        <v>3635</v>
      </c>
      <c r="AB23" s="2" t="s">
        <v>3635</v>
      </c>
      <c r="AC23" s="2" t="s">
        <v>4101</v>
      </c>
      <c r="AD23" s="2" t="s">
        <v>4102</v>
      </c>
      <c r="AE23" s="2" t="s">
        <v>4103</v>
      </c>
      <c r="AF23" s="2" t="s">
        <v>3635</v>
      </c>
      <c r="AG23" s="2">
        <v>26.0</v>
      </c>
      <c r="AH23" s="2">
        <v>0.0</v>
      </c>
      <c r="AI23" s="2">
        <v>0.0</v>
      </c>
      <c r="AJ23" s="2">
        <v>3.0</v>
      </c>
      <c r="AK23" s="2">
        <v>3.0</v>
      </c>
      <c r="AL23" s="2" t="s">
        <v>4104</v>
      </c>
      <c r="AM23" s="2" t="s">
        <v>4105</v>
      </c>
      <c r="AN23" s="2" t="s">
        <v>4106</v>
      </c>
      <c r="AO23" s="2" t="s">
        <v>3635</v>
      </c>
      <c r="AP23" s="2" t="s">
        <v>4107</v>
      </c>
      <c r="AQ23" s="2" t="s">
        <v>3635</v>
      </c>
      <c r="AR23" s="2" t="s">
        <v>4108</v>
      </c>
      <c r="AS23" s="2" t="s">
        <v>4109</v>
      </c>
      <c r="AT23" s="2" t="s">
        <v>4110</v>
      </c>
      <c r="AU23" s="2">
        <v>2024.0</v>
      </c>
      <c r="AV23" s="2">
        <v>18.0</v>
      </c>
      <c r="AW23" s="2" t="s">
        <v>3635</v>
      </c>
      <c r="AX23" s="2" t="s">
        <v>3635</v>
      </c>
      <c r="AY23" s="2" t="s">
        <v>3635</v>
      </c>
      <c r="AZ23" s="2" t="s">
        <v>3635</v>
      </c>
      <c r="BA23" s="2" t="s">
        <v>3635</v>
      </c>
      <c r="BB23" s="2" t="s">
        <v>3635</v>
      </c>
      <c r="BC23" s="2" t="s">
        <v>3635</v>
      </c>
      <c r="BD23" s="2">
        <v>1393025.0</v>
      </c>
      <c r="BE23" s="2" t="s">
        <v>4111</v>
      </c>
      <c r="BF23" s="3" t="str">
        <f>HYPERLINK("http://dx.doi.org/10.3389/fncom.2024.1393025","http://dx.doi.org/10.3389/fncom.2024.1393025")</f>
        <v>http://dx.doi.org/10.3389/fncom.2024.1393025</v>
      </c>
      <c r="BG23" s="2" t="s">
        <v>3635</v>
      </c>
      <c r="BH23" s="2" t="s">
        <v>3635</v>
      </c>
      <c r="BI23" s="2">
        <v>8.0</v>
      </c>
      <c r="BJ23" s="2" t="s">
        <v>4112</v>
      </c>
      <c r="BK23" s="2" t="s">
        <v>3658</v>
      </c>
      <c r="BL23" s="2" t="s">
        <v>4113</v>
      </c>
      <c r="BM23" s="2" t="s">
        <v>4114</v>
      </c>
      <c r="BN23" s="2">
        <v>3.8741707E7</v>
      </c>
      <c r="BO23" s="2" t="s">
        <v>4115</v>
      </c>
      <c r="BP23" s="2" t="s">
        <v>3635</v>
      </c>
      <c r="BQ23" s="2" t="s">
        <v>3635</v>
      </c>
      <c r="BR23" s="2" t="s">
        <v>3662</v>
      </c>
      <c r="BS23" s="2" t="s">
        <v>4116</v>
      </c>
      <c r="BT23" s="2" t="str">
        <f>HYPERLINK("https%3A%2F%2Fwww.webofscience.com%2Fwos%2Fwoscc%2Ffull-record%2FWOS:001219559700001","View Full Record in Web of Science")</f>
        <v>View Full Record in Web of Science</v>
      </c>
    </row>
    <row r="24" ht="15.75" customHeight="1">
      <c r="A24" s="2" t="s">
        <v>3664</v>
      </c>
      <c r="B24" s="2" t="s">
        <v>4117</v>
      </c>
      <c r="C24" s="2" t="s">
        <v>3635</v>
      </c>
      <c r="D24" s="2" t="s">
        <v>3635</v>
      </c>
      <c r="E24" s="2" t="s">
        <v>4118</v>
      </c>
      <c r="F24" s="2" t="s">
        <v>4119</v>
      </c>
      <c r="G24" s="2" t="s">
        <v>3635</v>
      </c>
      <c r="H24" s="2" t="s">
        <v>3635</v>
      </c>
      <c r="I24" s="2" t="s">
        <v>4120</v>
      </c>
      <c r="J24" s="2" t="s">
        <v>4121</v>
      </c>
      <c r="K24" s="2" t="s">
        <v>3635</v>
      </c>
      <c r="L24" s="2" t="s">
        <v>3635</v>
      </c>
      <c r="M24" s="2" t="s">
        <v>3638</v>
      </c>
      <c r="N24" s="2" t="s">
        <v>3669</v>
      </c>
      <c r="O24" s="2" t="s">
        <v>4122</v>
      </c>
      <c r="P24" s="2" t="s">
        <v>4123</v>
      </c>
      <c r="Q24" s="2" t="s">
        <v>4124</v>
      </c>
      <c r="R24" s="2" t="s">
        <v>4125</v>
      </c>
      <c r="S24" s="2" t="s">
        <v>3635</v>
      </c>
      <c r="T24" s="2" t="s">
        <v>4126</v>
      </c>
      <c r="U24" s="2" t="s">
        <v>3635</v>
      </c>
      <c r="V24" s="2" t="s">
        <v>4127</v>
      </c>
      <c r="W24" s="2" t="s">
        <v>4128</v>
      </c>
      <c r="X24" s="2" t="s">
        <v>4129</v>
      </c>
      <c r="Y24" s="2" t="s">
        <v>4130</v>
      </c>
      <c r="Z24" s="2" t="s">
        <v>4131</v>
      </c>
      <c r="AA24" s="2" t="s">
        <v>4132</v>
      </c>
      <c r="AB24" s="2" t="s">
        <v>4133</v>
      </c>
      <c r="AC24" s="2" t="s">
        <v>4134</v>
      </c>
      <c r="AD24" s="2" t="s">
        <v>4135</v>
      </c>
      <c r="AE24" s="2" t="s">
        <v>4136</v>
      </c>
      <c r="AF24" s="2" t="s">
        <v>3635</v>
      </c>
      <c r="AG24" s="2">
        <v>103.0</v>
      </c>
      <c r="AH24" s="2">
        <v>6.0</v>
      </c>
      <c r="AI24" s="2">
        <v>6.0</v>
      </c>
      <c r="AJ24" s="2">
        <v>1.0</v>
      </c>
      <c r="AK24" s="2">
        <v>2.0</v>
      </c>
      <c r="AL24" s="2" t="s">
        <v>3650</v>
      </c>
      <c r="AM24" s="2" t="s">
        <v>3651</v>
      </c>
      <c r="AN24" s="2" t="s">
        <v>4137</v>
      </c>
      <c r="AO24" s="2" t="s">
        <v>3635</v>
      </c>
      <c r="AP24" s="2" t="s">
        <v>3635</v>
      </c>
      <c r="AQ24" s="2" t="s">
        <v>4138</v>
      </c>
      <c r="AR24" s="2" t="s">
        <v>3635</v>
      </c>
      <c r="AS24" s="2" t="s">
        <v>3635</v>
      </c>
      <c r="AT24" s="2" t="s">
        <v>3635</v>
      </c>
      <c r="AU24" s="2">
        <v>2022.0</v>
      </c>
      <c r="AV24" s="2" t="s">
        <v>3635</v>
      </c>
      <c r="AW24" s="2" t="s">
        <v>3635</v>
      </c>
      <c r="AX24" s="2" t="s">
        <v>3635</v>
      </c>
      <c r="AY24" s="2" t="s">
        <v>3635</v>
      </c>
      <c r="AZ24" s="2" t="s">
        <v>3635</v>
      </c>
      <c r="BA24" s="2" t="s">
        <v>3635</v>
      </c>
      <c r="BB24" s="2">
        <v>199.0</v>
      </c>
      <c r="BC24" s="2">
        <v>217.0</v>
      </c>
      <c r="BD24" s="2" t="s">
        <v>3635</v>
      </c>
      <c r="BE24" s="2" t="s">
        <v>389</v>
      </c>
      <c r="BF24" s="3" t="str">
        <f>HYPERLINK("http://dx.doi.org/10.1145/3492321.3519575","http://dx.doi.org/10.1145/3492321.3519575")</f>
        <v>http://dx.doi.org/10.1145/3492321.3519575</v>
      </c>
      <c r="BG24" s="2" t="s">
        <v>3635</v>
      </c>
      <c r="BH24" s="2" t="s">
        <v>3635</v>
      </c>
      <c r="BI24" s="2">
        <v>19.0</v>
      </c>
      <c r="BJ24" s="2" t="s">
        <v>4139</v>
      </c>
      <c r="BK24" s="2" t="s">
        <v>3692</v>
      </c>
      <c r="BL24" s="2" t="s">
        <v>3659</v>
      </c>
      <c r="BM24" s="2" t="s">
        <v>4140</v>
      </c>
      <c r="BN24" s="2" t="s">
        <v>3635</v>
      </c>
      <c r="BO24" s="2" t="s">
        <v>4141</v>
      </c>
      <c r="BP24" s="2" t="s">
        <v>3635</v>
      </c>
      <c r="BQ24" s="2" t="s">
        <v>3635</v>
      </c>
      <c r="BR24" s="2" t="s">
        <v>3662</v>
      </c>
      <c r="BS24" s="2" t="s">
        <v>4142</v>
      </c>
      <c r="BT24" s="2" t="str">
        <f>HYPERLINK("https%3A%2F%2Fwww.webofscience.com%2Fwos%2Fwoscc%2Ffull-record%2FWOS:000926506800013","View Full Record in Web of Science")</f>
        <v>View Full Record in Web of Science</v>
      </c>
    </row>
    <row r="25" ht="15.75" customHeight="1">
      <c r="A25" s="2" t="s">
        <v>3664</v>
      </c>
      <c r="B25" s="2" t="s">
        <v>4143</v>
      </c>
      <c r="C25" s="2" t="s">
        <v>3635</v>
      </c>
      <c r="D25" s="2" t="s">
        <v>3635</v>
      </c>
      <c r="E25" s="2" t="s">
        <v>4144</v>
      </c>
      <c r="F25" s="2" t="s">
        <v>4143</v>
      </c>
      <c r="G25" s="2" t="s">
        <v>3635</v>
      </c>
      <c r="H25" s="2" t="s">
        <v>3635</v>
      </c>
      <c r="I25" s="2" t="s">
        <v>1889</v>
      </c>
      <c r="J25" s="2" t="s">
        <v>4145</v>
      </c>
      <c r="K25" s="2" t="s">
        <v>3635</v>
      </c>
      <c r="L25" s="2" t="s">
        <v>3635</v>
      </c>
      <c r="M25" s="2" t="s">
        <v>3638</v>
      </c>
      <c r="N25" s="2" t="s">
        <v>3669</v>
      </c>
      <c r="O25" s="2" t="s">
        <v>4146</v>
      </c>
      <c r="P25" s="2" t="s">
        <v>4147</v>
      </c>
      <c r="Q25" s="2" t="s">
        <v>4148</v>
      </c>
      <c r="R25" s="2" t="s">
        <v>3837</v>
      </c>
      <c r="S25" s="2" t="s">
        <v>3635</v>
      </c>
      <c r="T25" s="2" t="s">
        <v>3635</v>
      </c>
      <c r="U25" s="2" t="s">
        <v>3635</v>
      </c>
      <c r="V25" s="2" t="s">
        <v>4149</v>
      </c>
      <c r="W25" s="2" t="s">
        <v>4150</v>
      </c>
      <c r="X25" s="2" t="s">
        <v>4151</v>
      </c>
      <c r="Y25" s="2" t="s">
        <v>4152</v>
      </c>
      <c r="Z25" s="2" t="s">
        <v>3635</v>
      </c>
      <c r="AA25" s="2" t="s">
        <v>3635</v>
      </c>
      <c r="AB25" s="2" t="s">
        <v>3635</v>
      </c>
      <c r="AC25" s="2" t="s">
        <v>3635</v>
      </c>
      <c r="AD25" s="2" t="s">
        <v>3635</v>
      </c>
      <c r="AE25" s="2" t="s">
        <v>3635</v>
      </c>
      <c r="AF25" s="2" t="s">
        <v>3635</v>
      </c>
      <c r="AG25" s="2">
        <v>0.0</v>
      </c>
      <c r="AH25" s="2">
        <v>6.0</v>
      </c>
      <c r="AI25" s="2">
        <v>6.0</v>
      </c>
      <c r="AJ25" s="2">
        <v>0.0</v>
      </c>
      <c r="AK25" s="2">
        <v>0.0</v>
      </c>
      <c r="AL25" s="2" t="s">
        <v>3685</v>
      </c>
      <c r="AM25" s="2" t="s">
        <v>3686</v>
      </c>
      <c r="AN25" s="2" t="s">
        <v>3687</v>
      </c>
      <c r="AO25" s="2" t="s">
        <v>3635</v>
      </c>
      <c r="AP25" s="2" t="s">
        <v>3635</v>
      </c>
      <c r="AQ25" s="2" t="s">
        <v>4153</v>
      </c>
      <c r="AR25" s="2" t="s">
        <v>3635</v>
      </c>
      <c r="AS25" s="2" t="s">
        <v>3635</v>
      </c>
      <c r="AT25" s="2" t="s">
        <v>3635</v>
      </c>
      <c r="AU25" s="2">
        <v>1997.0</v>
      </c>
      <c r="AV25" s="2" t="s">
        <v>3635</v>
      </c>
      <c r="AW25" s="2" t="s">
        <v>3635</v>
      </c>
      <c r="AX25" s="2" t="s">
        <v>3635</v>
      </c>
      <c r="AY25" s="2" t="s">
        <v>3635</v>
      </c>
      <c r="AZ25" s="2" t="s">
        <v>3635</v>
      </c>
      <c r="BA25" s="2" t="s">
        <v>3635</v>
      </c>
      <c r="BB25" s="2">
        <v>114.0</v>
      </c>
      <c r="BC25" s="2">
        <v>119.0</v>
      </c>
      <c r="BD25" s="2" t="s">
        <v>3635</v>
      </c>
      <c r="BE25" s="2" t="s">
        <v>2367</v>
      </c>
      <c r="BF25" s="3" t="str">
        <f>HYPERLINK("http://dx.doi.org/10.1109/HASE.1997.648048","http://dx.doi.org/10.1109/HASE.1997.648048")</f>
        <v>http://dx.doi.org/10.1109/HASE.1997.648048</v>
      </c>
      <c r="BG25" s="2" t="s">
        <v>3635</v>
      </c>
      <c r="BH25" s="2" t="s">
        <v>3635</v>
      </c>
      <c r="BI25" s="2">
        <v>6.0</v>
      </c>
      <c r="BJ25" s="2" t="s">
        <v>4154</v>
      </c>
      <c r="BK25" s="2" t="s">
        <v>3692</v>
      </c>
      <c r="BL25" s="2" t="s">
        <v>3659</v>
      </c>
      <c r="BM25" s="2" t="s">
        <v>4155</v>
      </c>
      <c r="BN25" s="2" t="s">
        <v>3635</v>
      </c>
      <c r="BO25" s="2" t="s">
        <v>3635</v>
      </c>
      <c r="BP25" s="2" t="s">
        <v>3635</v>
      </c>
      <c r="BQ25" s="2" t="s">
        <v>3635</v>
      </c>
      <c r="BR25" s="2" t="s">
        <v>3662</v>
      </c>
      <c r="BS25" s="2" t="s">
        <v>4156</v>
      </c>
      <c r="BT25" s="2" t="str">
        <f>HYPERLINK("https%3A%2F%2Fwww.webofscience.com%2Fwos%2Fwoscc%2Ffull-record%2FWOS:000072316800018","View Full Record in Web of Science")</f>
        <v>View Full Record in Web of Science</v>
      </c>
    </row>
    <row r="26" ht="15.75" customHeight="1">
      <c r="A26" s="2" t="s">
        <v>3664</v>
      </c>
      <c r="B26" s="2" t="s">
        <v>4157</v>
      </c>
      <c r="C26" s="2" t="s">
        <v>3635</v>
      </c>
      <c r="D26" s="2" t="s">
        <v>4158</v>
      </c>
      <c r="E26" s="2" t="s">
        <v>3635</v>
      </c>
      <c r="F26" s="2" t="s">
        <v>4159</v>
      </c>
      <c r="G26" s="2" t="s">
        <v>3635</v>
      </c>
      <c r="H26" s="2" t="s">
        <v>3635</v>
      </c>
      <c r="I26" s="2" t="s">
        <v>447</v>
      </c>
      <c r="J26" s="2" t="s">
        <v>4160</v>
      </c>
      <c r="K26" s="2" t="s">
        <v>449</v>
      </c>
      <c r="L26" s="2" t="s">
        <v>3635</v>
      </c>
      <c r="M26" s="2" t="s">
        <v>3638</v>
      </c>
      <c r="N26" s="2" t="s">
        <v>3669</v>
      </c>
      <c r="O26" s="2" t="s">
        <v>4161</v>
      </c>
      <c r="P26" s="2" t="s">
        <v>4162</v>
      </c>
      <c r="Q26" s="2" t="s">
        <v>4163</v>
      </c>
      <c r="R26" s="2" t="s">
        <v>3635</v>
      </c>
      <c r="S26" s="2" t="s">
        <v>3635</v>
      </c>
      <c r="T26" s="2" t="s">
        <v>4164</v>
      </c>
      <c r="U26" s="2" t="s">
        <v>3635</v>
      </c>
      <c r="V26" s="2" t="s">
        <v>4165</v>
      </c>
      <c r="W26" s="2" t="s">
        <v>4166</v>
      </c>
      <c r="X26" s="2" t="s">
        <v>4167</v>
      </c>
      <c r="Y26" s="2" t="s">
        <v>4168</v>
      </c>
      <c r="Z26" s="2" t="s">
        <v>4169</v>
      </c>
      <c r="AA26" s="2" t="s">
        <v>3635</v>
      </c>
      <c r="AB26" s="2" t="s">
        <v>3635</v>
      </c>
      <c r="AC26" s="2" t="s">
        <v>3635</v>
      </c>
      <c r="AD26" s="2" t="s">
        <v>3635</v>
      </c>
      <c r="AE26" s="2" t="s">
        <v>3635</v>
      </c>
      <c r="AF26" s="2" t="s">
        <v>3635</v>
      </c>
      <c r="AG26" s="2">
        <v>1.0</v>
      </c>
      <c r="AH26" s="2">
        <v>0.0</v>
      </c>
      <c r="AI26" s="2">
        <v>0.0</v>
      </c>
      <c r="AJ26" s="2">
        <v>0.0</v>
      </c>
      <c r="AK26" s="2">
        <v>1.0</v>
      </c>
      <c r="AL26" s="2" t="s">
        <v>4170</v>
      </c>
      <c r="AM26" s="2" t="s">
        <v>4171</v>
      </c>
      <c r="AN26" s="2" t="s">
        <v>4172</v>
      </c>
      <c r="AO26" s="2" t="s">
        <v>4173</v>
      </c>
      <c r="AP26" s="2" t="s">
        <v>4174</v>
      </c>
      <c r="AQ26" s="2" t="s">
        <v>4175</v>
      </c>
      <c r="AR26" s="2" t="s">
        <v>4176</v>
      </c>
      <c r="AS26" s="2" t="s">
        <v>3635</v>
      </c>
      <c r="AT26" s="2" t="s">
        <v>3635</v>
      </c>
      <c r="AU26" s="2">
        <v>2022.0</v>
      </c>
      <c r="AV26" s="2">
        <v>1617.0</v>
      </c>
      <c r="AW26" s="2" t="s">
        <v>3635</v>
      </c>
      <c r="AX26" s="2" t="s">
        <v>3635</v>
      </c>
      <c r="AY26" s="2" t="s">
        <v>3635</v>
      </c>
      <c r="AZ26" s="2" t="s">
        <v>3635</v>
      </c>
      <c r="BA26" s="2" t="s">
        <v>3635</v>
      </c>
      <c r="BB26" s="2">
        <v>109.0</v>
      </c>
      <c r="BC26" s="2">
        <v>115.0</v>
      </c>
      <c r="BD26" s="2" t="s">
        <v>3635</v>
      </c>
      <c r="BE26" s="2" t="s">
        <v>450</v>
      </c>
      <c r="BF26" s="3" t="str">
        <f>HYPERLINK("http://dx.doi.org/10.1007/978-3-031-23298-5_11","http://dx.doi.org/10.1007/978-3-031-23298-5_11")</f>
        <v>http://dx.doi.org/10.1007/978-3-031-23298-5_11</v>
      </c>
      <c r="BG26" s="2" t="s">
        <v>3635</v>
      </c>
      <c r="BH26" s="2" t="s">
        <v>3635</v>
      </c>
      <c r="BI26" s="2">
        <v>7.0</v>
      </c>
      <c r="BJ26" s="2" t="s">
        <v>4177</v>
      </c>
      <c r="BK26" s="2" t="s">
        <v>3692</v>
      </c>
      <c r="BL26" s="2" t="s">
        <v>3659</v>
      </c>
      <c r="BM26" s="2" t="s">
        <v>4178</v>
      </c>
      <c r="BN26" s="2" t="s">
        <v>3635</v>
      </c>
      <c r="BO26" s="2" t="s">
        <v>3635</v>
      </c>
      <c r="BP26" s="2" t="s">
        <v>3635</v>
      </c>
      <c r="BQ26" s="2" t="s">
        <v>3635</v>
      </c>
      <c r="BR26" s="2" t="s">
        <v>3662</v>
      </c>
      <c r="BS26" s="2" t="s">
        <v>4179</v>
      </c>
      <c r="BT26" s="2" t="str">
        <f>HYPERLINK("https%3A%2F%2Fwww.webofscience.com%2Fwos%2Fwoscc%2Ffull-record%2FWOS:000976729700009","View Full Record in Web of Science")</f>
        <v>View Full Record in Web of Science</v>
      </c>
    </row>
    <row r="27" ht="15.75" customHeight="1">
      <c r="A27" s="2" t="s">
        <v>3633</v>
      </c>
      <c r="B27" s="2" t="s">
        <v>4180</v>
      </c>
      <c r="C27" s="2" t="s">
        <v>3635</v>
      </c>
      <c r="D27" s="2" t="s">
        <v>3635</v>
      </c>
      <c r="E27" s="2" t="s">
        <v>3635</v>
      </c>
      <c r="F27" s="2" t="s">
        <v>4181</v>
      </c>
      <c r="G27" s="2" t="s">
        <v>3635</v>
      </c>
      <c r="H27" s="2" t="s">
        <v>3635</v>
      </c>
      <c r="I27" s="2" t="s">
        <v>71</v>
      </c>
      <c r="J27" s="2" t="s">
        <v>4182</v>
      </c>
      <c r="K27" s="2" t="s">
        <v>3635</v>
      </c>
      <c r="L27" s="2" t="s">
        <v>3635</v>
      </c>
      <c r="M27" s="2" t="s">
        <v>3638</v>
      </c>
      <c r="N27" s="2" t="s">
        <v>21</v>
      </c>
      <c r="O27" s="2" t="s">
        <v>3635</v>
      </c>
      <c r="P27" s="2" t="s">
        <v>3635</v>
      </c>
      <c r="Q27" s="2" t="s">
        <v>3635</v>
      </c>
      <c r="R27" s="2" t="s">
        <v>3635</v>
      </c>
      <c r="S27" s="2" t="s">
        <v>3635</v>
      </c>
      <c r="T27" s="2" t="s">
        <v>4183</v>
      </c>
      <c r="U27" s="2" t="s">
        <v>4184</v>
      </c>
      <c r="V27" s="2" t="s">
        <v>4185</v>
      </c>
      <c r="W27" s="2" t="s">
        <v>4186</v>
      </c>
      <c r="X27" s="2" t="s">
        <v>4187</v>
      </c>
      <c r="Y27" s="2" t="s">
        <v>4188</v>
      </c>
      <c r="Z27" s="2" t="s">
        <v>4189</v>
      </c>
      <c r="AA27" s="2" t="s">
        <v>4190</v>
      </c>
      <c r="AB27" s="2" t="s">
        <v>4191</v>
      </c>
      <c r="AC27" s="2" t="s">
        <v>4192</v>
      </c>
      <c r="AD27" s="2" t="s">
        <v>4193</v>
      </c>
      <c r="AE27" s="2" t="s">
        <v>4194</v>
      </c>
      <c r="AF27" s="2" t="s">
        <v>3635</v>
      </c>
      <c r="AG27" s="2">
        <v>47.0</v>
      </c>
      <c r="AH27" s="2">
        <v>9.0</v>
      </c>
      <c r="AI27" s="2">
        <v>9.0</v>
      </c>
      <c r="AJ27" s="2">
        <v>0.0</v>
      </c>
      <c r="AK27" s="2">
        <v>6.0</v>
      </c>
      <c r="AL27" s="2" t="s">
        <v>3685</v>
      </c>
      <c r="AM27" s="2" t="s">
        <v>3686</v>
      </c>
      <c r="AN27" s="2" t="s">
        <v>3951</v>
      </c>
      <c r="AO27" s="2" t="s">
        <v>4195</v>
      </c>
      <c r="AP27" s="2" t="s">
        <v>4196</v>
      </c>
      <c r="AQ27" s="2" t="s">
        <v>3635</v>
      </c>
      <c r="AR27" s="2" t="s">
        <v>4197</v>
      </c>
      <c r="AS27" s="2" t="s">
        <v>4198</v>
      </c>
      <c r="AT27" s="2" t="s">
        <v>4199</v>
      </c>
      <c r="AU27" s="2">
        <v>2021.0</v>
      </c>
      <c r="AV27" s="2">
        <v>47.0</v>
      </c>
      <c r="AW27" s="2">
        <v>11.0</v>
      </c>
      <c r="AX27" s="2" t="s">
        <v>3635</v>
      </c>
      <c r="AY27" s="2" t="s">
        <v>3635</v>
      </c>
      <c r="AZ27" s="2" t="s">
        <v>3635</v>
      </c>
      <c r="BA27" s="2" t="s">
        <v>3635</v>
      </c>
      <c r="BB27" s="2">
        <v>2421.0</v>
      </c>
      <c r="BC27" s="2">
        <v>2437.0</v>
      </c>
      <c r="BD27" s="2" t="s">
        <v>3635</v>
      </c>
      <c r="BE27" s="2" t="s">
        <v>74</v>
      </c>
      <c r="BF27" s="3" t="str">
        <f>HYPERLINK("http://dx.doi.org/10.1109/TSE.2019.2949568","http://dx.doi.org/10.1109/TSE.2019.2949568")</f>
        <v>http://dx.doi.org/10.1109/TSE.2019.2949568</v>
      </c>
      <c r="BG27" s="2" t="s">
        <v>3635</v>
      </c>
      <c r="BH27" s="2" t="s">
        <v>3635</v>
      </c>
      <c r="BI27" s="2">
        <v>17.0</v>
      </c>
      <c r="BJ27" s="2" t="s">
        <v>3943</v>
      </c>
      <c r="BK27" s="2" t="s">
        <v>3658</v>
      </c>
      <c r="BL27" s="2" t="s">
        <v>3944</v>
      </c>
      <c r="BM27" s="2" t="s">
        <v>4200</v>
      </c>
      <c r="BN27" s="2" t="s">
        <v>3635</v>
      </c>
      <c r="BO27" s="2" t="s">
        <v>4201</v>
      </c>
      <c r="BP27" s="2" t="s">
        <v>3635</v>
      </c>
      <c r="BQ27" s="2" t="s">
        <v>3635</v>
      </c>
      <c r="BR27" s="2" t="s">
        <v>3662</v>
      </c>
      <c r="BS27" s="2" t="s">
        <v>4202</v>
      </c>
      <c r="BT27" s="2" t="str">
        <f>HYPERLINK("https%3A%2F%2Fwww.webofscience.com%2Fwos%2Fwoscc%2Ffull-record%2FWOS:000717767100007","View Full Record in Web of Science")</f>
        <v>View Full Record in Web of Science</v>
      </c>
    </row>
    <row r="28" ht="15.75" customHeight="1">
      <c r="A28" s="2" t="s">
        <v>3633</v>
      </c>
      <c r="B28" s="2" t="s">
        <v>4203</v>
      </c>
      <c r="C28" s="2" t="s">
        <v>3635</v>
      </c>
      <c r="D28" s="2" t="s">
        <v>3635</v>
      </c>
      <c r="E28" s="2" t="s">
        <v>3635</v>
      </c>
      <c r="F28" s="2" t="s">
        <v>4204</v>
      </c>
      <c r="G28" s="2" t="s">
        <v>3635</v>
      </c>
      <c r="H28" s="2" t="s">
        <v>3635</v>
      </c>
      <c r="I28" s="2" t="s">
        <v>4205</v>
      </c>
      <c r="J28" s="2" t="s">
        <v>4206</v>
      </c>
      <c r="K28" s="2" t="s">
        <v>3635</v>
      </c>
      <c r="L28" s="2" t="s">
        <v>3635</v>
      </c>
      <c r="M28" s="2" t="s">
        <v>3638</v>
      </c>
      <c r="N28" s="2" t="s">
        <v>4207</v>
      </c>
      <c r="O28" s="2" t="s">
        <v>3635</v>
      </c>
      <c r="P28" s="2" t="s">
        <v>3635</v>
      </c>
      <c r="Q28" s="2" t="s">
        <v>3635</v>
      </c>
      <c r="R28" s="2" t="s">
        <v>3635</v>
      </c>
      <c r="S28" s="2" t="s">
        <v>3635</v>
      </c>
      <c r="T28" s="2" t="s">
        <v>3635</v>
      </c>
      <c r="U28" s="2" t="s">
        <v>3635</v>
      </c>
      <c r="V28" s="2" t="s">
        <v>4208</v>
      </c>
      <c r="W28" s="2" t="s">
        <v>4209</v>
      </c>
      <c r="X28" s="2" t="s">
        <v>4210</v>
      </c>
      <c r="Y28" s="2" t="s">
        <v>4211</v>
      </c>
      <c r="Z28" s="2" t="s">
        <v>4212</v>
      </c>
      <c r="AA28" s="2" t="s">
        <v>4213</v>
      </c>
      <c r="AB28" s="2" t="s">
        <v>4214</v>
      </c>
      <c r="AC28" s="2" t="s">
        <v>4215</v>
      </c>
      <c r="AD28" s="2" t="s">
        <v>4215</v>
      </c>
      <c r="AE28" s="2" t="s">
        <v>4216</v>
      </c>
      <c r="AF28" s="2" t="s">
        <v>3635</v>
      </c>
      <c r="AG28" s="2">
        <v>33.0</v>
      </c>
      <c r="AH28" s="2">
        <v>1.0</v>
      </c>
      <c r="AI28" s="2">
        <v>2.0</v>
      </c>
      <c r="AJ28" s="2">
        <v>0.0</v>
      </c>
      <c r="AK28" s="2">
        <v>2.0</v>
      </c>
      <c r="AL28" s="2" t="s">
        <v>3709</v>
      </c>
      <c r="AM28" s="2" t="s">
        <v>3710</v>
      </c>
      <c r="AN28" s="2" t="s">
        <v>3711</v>
      </c>
      <c r="AO28" s="2" t="s">
        <v>4217</v>
      </c>
      <c r="AP28" s="2" t="s">
        <v>4218</v>
      </c>
      <c r="AQ28" s="2" t="s">
        <v>3635</v>
      </c>
      <c r="AR28" s="2" t="s">
        <v>4219</v>
      </c>
      <c r="AS28" s="2" t="s">
        <v>4220</v>
      </c>
      <c r="AT28" s="2" t="s">
        <v>3953</v>
      </c>
      <c r="AU28" s="2">
        <v>2022.0</v>
      </c>
      <c r="AV28" s="2">
        <v>66.0</v>
      </c>
      <c r="AW28" s="2">
        <v>10.0</v>
      </c>
      <c r="AX28" s="2" t="s">
        <v>3635</v>
      </c>
      <c r="AY28" s="2" t="s">
        <v>3635</v>
      </c>
      <c r="AZ28" s="2" t="s">
        <v>3635</v>
      </c>
      <c r="BA28" s="2" t="s">
        <v>3635</v>
      </c>
      <c r="BB28" s="2">
        <v>1274.0</v>
      </c>
      <c r="BC28" s="2">
        <v>1278.0</v>
      </c>
      <c r="BD28" s="2" t="s">
        <v>3635</v>
      </c>
      <c r="BE28" s="2" t="s">
        <v>4221</v>
      </c>
      <c r="BF28" s="3" t="str">
        <f>HYPERLINK("http://dx.doi.org/10.1111/aas.14142","http://dx.doi.org/10.1111/aas.14142")</f>
        <v>http://dx.doi.org/10.1111/aas.14142</v>
      </c>
      <c r="BG28" s="2" t="s">
        <v>3635</v>
      </c>
      <c r="BH28" s="2" t="s">
        <v>4222</v>
      </c>
      <c r="BI28" s="2">
        <v>5.0</v>
      </c>
      <c r="BJ28" s="2" t="s">
        <v>4223</v>
      </c>
      <c r="BK28" s="2" t="s">
        <v>3658</v>
      </c>
      <c r="BL28" s="2" t="s">
        <v>4223</v>
      </c>
      <c r="BM28" s="2" t="s">
        <v>4224</v>
      </c>
      <c r="BN28" s="2">
        <v>3.6054374E7</v>
      </c>
      <c r="BO28" s="2" t="s">
        <v>4225</v>
      </c>
      <c r="BP28" s="2" t="s">
        <v>3635</v>
      </c>
      <c r="BQ28" s="2" t="s">
        <v>3635</v>
      </c>
      <c r="BR28" s="2" t="s">
        <v>3662</v>
      </c>
      <c r="BS28" s="2" t="s">
        <v>4226</v>
      </c>
      <c r="BT28" s="2" t="str">
        <f>HYPERLINK("https%3A%2F%2Fwww.webofscience.com%2Fwos%2Fwoscc%2Ffull-record%2FWOS:000850148100001","View Full Record in Web of Science")</f>
        <v>View Full Record in Web of Science</v>
      </c>
    </row>
    <row r="29" ht="15.75" customHeight="1">
      <c r="A29" s="2" t="s">
        <v>3633</v>
      </c>
      <c r="B29" s="2" t="s">
        <v>4227</v>
      </c>
      <c r="C29" s="2" t="s">
        <v>3635</v>
      </c>
      <c r="D29" s="2" t="s">
        <v>3635</v>
      </c>
      <c r="E29" s="2" t="s">
        <v>3635</v>
      </c>
      <c r="F29" s="2" t="s">
        <v>4228</v>
      </c>
      <c r="G29" s="2" t="s">
        <v>3635</v>
      </c>
      <c r="H29" s="2" t="s">
        <v>3635</v>
      </c>
      <c r="I29" s="2" t="s">
        <v>4229</v>
      </c>
      <c r="J29" s="2" t="s">
        <v>4230</v>
      </c>
      <c r="K29" s="2" t="s">
        <v>3635</v>
      </c>
      <c r="L29" s="2" t="s">
        <v>3635</v>
      </c>
      <c r="M29" s="2" t="s">
        <v>3638</v>
      </c>
      <c r="N29" s="2" t="s">
        <v>21</v>
      </c>
      <c r="O29" s="2" t="s">
        <v>3635</v>
      </c>
      <c r="P29" s="2" t="s">
        <v>3635</v>
      </c>
      <c r="Q29" s="2" t="s">
        <v>3635</v>
      </c>
      <c r="R29" s="2" t="s">
        <v>3635</v>
      </c>
      <c r="S29" s="2" t="s">
        <v>3635</v>
      </c>
      <c r="T29" s="2" t="s">
        <v>4231</v>
      </c>
      <c r="U29" s="2" t="s">
        <v>4232</v>
      </c>
      <c r="V29" s="2" t="s">
        <v>4233</v>
      </c>
      <c r="W29" s="2" t="s">
        <v>4234</v>
      </c>
      <c r="X29" s="2" t="s">
        <v>4235</v>
      </c>
      <c r="Y29" s="2" t="s">
        <v>4236</v>
      </c>
      <c r="Z29" s="2" t="s">
        <v>4237</v>
      </c>
      <c r="AA29" s="2" t="s">
        <v>4238</v>
      </c>
      <c r="AB29" s="2" t="s">
        <v>4239</v>
      </c>
      <c r="AC29" s="2" t="s">
        <v>4240</v>
      </c>
      <c r="AD29" s="2" t="s">
        <v>4241</v>
      </c>
      <c r="AE29" s="2" t="s">
        <v>4242</v>
      </c>
      <c r="AF29" s="2" t="s">
        <v>3635</v>
      </c>
      <c r="AG29" s="2">
        <v>55.0</v>
      </c>
      <c r="AH29" s="2">
        <v>2.0</v>
      </c>
      <c r="AI29" s="2">
        <v>2.0</v>
      </c>
      <c r="AJ29" s="2">
        <v>3.0</v>
      </c>
      <c r="AK29" s="2">
        <v>3.0</v>
      </c>
      <c r="AL29" s="2" t="s">
        <v>4104</v>
      </c>
      <c r="AM29" s="2" t="s">
        <v>4105</v>
      </c>
      <c r="AN29" s="2" t="s">
        <v>4106</v>
      </c>
      <c r="AO29" s="2" t="s">
        <v>4243</v>
      </c>
      <c r="AP29" s="2" t="s">
        <v>3635</v>
      </c>
      <c r="AQ29" s="2" t="s">
        <v>3635</v>
      </c>
      <c r="AR29" s="2" t="s">
        <v>4244</v>
      </c>
      <c r="AS29" s="2" t="s">
        <v>4245</v>
      </c>
      <c r="AT29" s="2" t="s">
        <v>4246</v>
      </c>
      <c r="AU29" s="2">
        <v>2023.0</v>
      </c>
      <c r="AV29" s="2">
        <v>10.0</v>
      </c>
      <c r="AW29" s="2" t="s">
        <v>3635</v>
      </c>
      <c r="AX29" s="2" t="s">
        <v>3635</v>
      </c>
      <c r="AY29" s="2" t="s">
        <v>3635</v>
      </c>
      <c r="AZ29" s="2" t="s">
        <v>3635</v>
      </c>
      <c r="BA29" s="2" t="s">
        <v>3635</v>
      </c>
      <c r="BB29" s="2" t="s">
        <v>3635</v>
      </c>
      <c r="BC29" s="2" t="s">
        <v>3635</v>
      </c>
      <c r="BD29" s="2">
        <v>1247122.0</v>
      </c>
      <c r="BE29" s="2" t="s">
        <v>4247</v>
      </c>
      <c r="BF29" s="3" t="str">
        <f>HYPERLINK("http://dx.doi.org/10.3389/fcvm.2023.1247122","http://dx.doi.org/10.3389/fcvm.2023.1247122")</f>
        <v>http://dx.doi.org/10.3389/fcvm.2023.1247122</v>
      </c>
      <c r="BG29" s="2" t="s">
        <v>3635</v>
      </c>
      <c r="BH29" s="2" t="s">
        <v>3635</v>
      </c>
      <c r="BI29" s="2">
        <v>9.0</v>
      </c>
      <c r="BJ29" s="2" t="s">
        <v>4248</v>
      </c>
      <c r="BK29" s="2" t="s">
        <v>3658</v>
      </c>
      <c r="BL29" s="2" t="s">
        <v>4249</v>
      </c>
      <c r="BM29" s="2" t="s">
        <v>4250</v>
      </c>
      <c r="BN29" s="2">
        <v>3.8075979E7</v>
      </c>
      <c r="BO29" s="2" t="s">
        <v>4251</v>
      </c>
      <c r="BP29" s="2" t="s">
        <v>3635</v>
      </c>
      <c r="BQ29" s="2" t="s">
        <v>3635</v>
      </c>
      <c r="BR29" s="2" t="s">
        <v>3662</v>
      </c>
      <c r="BS29" s="2" t="s">
        <v>4252</v>
      </c>
      <c r="BT29" s="2" t="str">
        <f>HYPERLINK("https%3A%2F%2Fwww.webofscience.com%2Fwos%2Fwoscc%2Ffull-record%2FWOS:001115070300001","View Full Record in Web of Science")</f>
        <v>View Full Record in Web of Science</v>
      </c>
    </row>
    <row r="30" ht="15.75" customHeight="1">
      <c r="A30" s="2" t="s">
        <v>3664</v>
      </c>
      <c r="B30" s="2" t="s">
        <v>4253</v>
      </c>
      <c r="C30" s="2" t="s">
        <v>3635</v>
      </c>
      <c r="D30" s="2" t="s">
        <v>4254</v>
      </c>
      <c r="E30" s="2" t="s">
        <v>3635</v>
      </c>
      <c r="F30" s="2" t="s">
        <v>4255</v>
      </c>
      <c r="G30" s="2" t="s">
        <v>3635</v>
      </c>
      <c r="H30" s="2" t="s">
        <v>3635</v>
      </c>
      <c r="I30" s="2" t="s">
        <v>4256</v>
      </c>
      <c r="J30" s="2" t="s">
        <v>4257</v>
      </c>
      <c r="K30" s="2" t="s">
        <v>4258</v>
      </c>
      <c r="L30" s="2" t="s">
        <v>3635</v>
      </c>
      <c r="M30" s="2" t="s">
        <v>3638</v>
      </c>
      <c r="N30" s="2" t="s">
        <v>3669</v>
      </c>
      <c r="O30" s="2" t="s">
        <v>4259</v>
      </c>
      <c r="P30" s="2" t="s">
        <v>4260</v>
      </c>
      <c r="Q30" s="2" t="s">
        <v>4261</v>
      </c>
      <c r="R30" s="2" t="s">
        <v>3635</v>
      </c>
      <c r="S30" s="2" t="s">
        <v>3635</v>
      </c>
      <c r="T30" s="2" t="s">
        <v>4262</v>
      </c>
      <c r="U30" s="2" t="s">
        <v>4263</v>
      </c>
      <c r="V30" s="2" t="s">
        <v>4264</v>
      </c>
      <c r="W30" s="2" t="s">
        <v>4265</v>
      </c>
      <c r="X30" s="2" t="s">
        <v>4266</v>
      </c>
      <c r="Y30" s="2" t="s">
        <v>4267</v>
      </c>
      <c r="Z30" s="2" t="s">
        <v>4268</v>
      </c>
      <c r="AA30" s="2" t="s">
        <v>4269</v>
      </c>
      <c r="AB30" s="2" t="s">
        <v>4270</v>
      </c>
      <c r="AC30" s="2" t="s">
        <v>4271</v>
      </c>
      <c r="AD30" s="2" t="s">
        <v>4272</v>
      </c>
      <c r="AE30" s="2" t="s">
        <v>4273</v>
      </c>
      <c r="AF30" s="2" t="s">
        <v>3635</v>
      </c>
      <c r="AG30" s="2">
        <v>20.0</v>
      </c>
      <c r="AH30" s="2">
        <v>0.0</v>
      </c>
      <c r="AI30" s="2">
        <v>0.0</v>
      </c>
      <c r="AJ30" s="2">
        <v>0.0</v>
      </c>
      <c r="AK30" s="2">
        <v>0.0</v>
      </c>
      <c r="AL30" s="2" t="s">
        <v>4170</v>
      </c>
      <c r="AM30" s="2" t="s">
        <v>4171</v>
      </c>
      <c r="AN30" s="2" t="s">
        <v>4172</v>
      </c>
      <c r="AO30" s="2" t="s">
        <v>4274</v>
      </c>
      <c r="AP30" s="2" t="s">
        <v>4275</v>
      </c>
      <c r="AQ30" s="2" t="s">
        <v>4276</v>
      </c>
      <c r="AR30" s="2" t="s">
        <v>4277</v>
      </c>
      <c r="AS30" s="2" t="s">
        <v>3635</v>
      </c>
      <c r="AT30" s="2" t="s">
        <v>3635</v>
      </c>
      <c r="AU30" s="2">
        <v>2022.0</v>
      </c>
      <c r="AV30" s="2">
        <v>13414.0</v>
      </c>
      <c r="AW30" s="2" t="s">
        <v>3635</v>
      </c>
      <c r="AX30" s="2" t="s">
        <v>3635</v>
      </c>
      <c r="AY30" s="2" t="s">
        <v>3635</v>
      </c>
      <c r="AZ30" s="2" t="s">
        <v>3635</v>
      </c>
      <c r="BA30" s="2" t="s">
        <v>3635</v>
      </c>
      <c r="BB30" s="2">
        <v>17.0</v>
      </c>
      <c r="BC30" s="2">
        <v>30.0</v>
      </c>
      <c r="BD30" s="2" t="s">
        <v>3635</v>
      </c>
      <c r="BE30" s="2" t="s">
        <v>158</v>
      </c>
      <c r="BF30" s="3" t="str">
        <f>HYPERLINK("http://dx.doi.org/10.1007/978-3-031-14835-4_2","http://dx.doi.org/10.1007/978-3-031-14835-4_2")</f>
        <v>http://dx.doi.org/10.1007/978-3-031-14835-4_2</v>
      </c>
      <c r="BG30" s="2" t="s">
        <v>3635</v>
      </c>
      <c r="BH30" s="2" t="s">
        <v>3635</v>
      </c>
      <c r="BI30" s="2">
        <v>14.0</v>
      </c>
      <c r="BJ30" s="2" t="s">
        <v>4278</v>
      </c>
      <c r="BK30" s="2" t="s">
        <v>3692</v>
      </c>
      <c r="BL30" s="2" t="s">
        <v>4279</v>
      </c>
      <c r="BM30" s="2" t="s">
        <v>4280</v>
      </c>
      <c r="BN30" s="2" t="s">
        <v>3635</v>
      </c>
      <c r="BO30" s="2" t="s">
        <v>3635</v>
      </c>
      <c r="BP30" s="2" t="s">
        <v>3635</v>
      </c>
      <c r="BQ30" s="2" t="s">
        <v>3635</v>
      </c>
      <c r="BR30" s="2" t="s">
        <v>3662</v>
      </c>
      <c r="BS30" s="2" t="s">
        <v>4281</v>
      </c>
      <c r="BT30" s="2" t="str">
        <f>HYPERLINK("https%3A%2F%2Fwww.webofscience.com%2Fwos%2Fwoscc%2Ffull-record%2FWOS:000871734000002","View Full Record in Web of Science")</f>
        <v>View Full Record in Web of Science</v>
      </c>
    </row>
    <row r="31" ht="15.75" customHeight="1">
      <c r="A31" s="2" t="s">
        <v>3633</v>
      </c>
      <c r="B31" s="2" t="s">
        <v>4282</v>
      </c>
      <c r="C31" s="2" t="s">
        <v>3635</v>
      </c>
      <c r="D31" s="2" t="s">
        <v>3635</v>
      </c>
      <c r="E31" s="2" t="s">
        <v>3635</v>
      </c>
      <c r="F31" s="2" t="s">
        <v>4283</v>
      </c>
      <c r="G31" s="2" t="s">
        <v>3635</v>
      </c>
      <c r="H31" s="2" t="s">
        <v>3635</v>
      </c>
      <c r="I31" s="2" t="s">
        <v>507</v>
      </c>
      <c r="J31" s="2" t="s">
        <v>4284</v>
      </c>
      <c r="K31" s="2" t="s">
        <v>3635</v>
      </c>
      <c r="L31" s="2" t="s">
        <v>3635</v>
      </c>
      <c r="M31" s="2" t="s">
        <v>3638</v>
      </c>
      <c r="N31" s="2" t="s">
        <v>21</v>
      </c>
      <c r="O31" s="2" t="s">
        <v>3635</v>
      </c>
      <c r="P31" s="2" t="s">
        <v>3635</v>
      </c>
      <c r="Q31" s="2" t="s">
        <v>3635</v>
      </c>
      <c r="R31" s="2" t="s">
        <v>3635</v>
      </c>
      <c r="S31" s="2" t="s">
        <v>3635</v>
      </c>
      <c r="T31" s="2" t="s">
        <v>4285</v>
      </c>
      <c r="U31" s="2" t="s">
        <v>4286</v>
      </c>
      <c r="V31" s="2" t="s">
        <v>4287</v>
      </c>
      <c r="W31" s="2" t="s">
        <v>4288</v>
      </c>
      <c r="X31" s="2" t="s">
        <v>4289</v>
      </c>
      <c r="Y31" s="2" t="s">
        <v>4290</v>
      </c>
      <c r="Z31" s="2" t="s">
        <v>4291</v>
      </c>
      <c r="AA31" s="2" t="s">
        <v>3635</v>
      </c>
      <c r="AB31" s="2" t="s">
        <v>3635</v>
      </c>
      <c r="AC31" s="2" t="s">
        <v>3635</v>
      </c>
      <c r="AD31" s="2" t="s">
        <v>3635</v>
      </c>
      <c r="AE31" s="2" t="s">
        <v>3635</v>
      </c>
      <c r="AF31" s="2" t="s">
        <v>3635</v>
      </c>
      <c r="AG31" s="2">
        <v>35.0</v>
      </c>
      <c r="AH31" s="2">
        <v>0.0</v>
      </c>
      <c r="AI31" s="2">
        <v>0.0</v>
      </c>
      <c r="AJ31" s="2">
        <v>0.0</v>
      </c>
      <c r="AK31" s="2">
        <v>13.0</v>
      </c>
      <c r="AL31" s="2" t="s">
        <v>3709</v>
      </c>
      <c r="AM31" s="2" t="s">
        <v>3710</v>
      </c>
      <c r="AN31" s="2" t="s">
        <v>3711</v>
      </c>
      <c r="AO31" s="2" t="s">
        <v>4292</v>
      </c>
      <c r="AP31" s="2" t="s">
        <v>4293</v>
      </c>
      <c r="AQ31" s="2" t="s">
        <v>3635</v>
      </c>
      <c r="AR31" s="2" t="s">
        <v>4294</v>
      </c>
      <c r="AS31" s="2" t="s">
        <v>4295</v>
      </c>
      <c r="AT31" s="2" t="s">
        <v>3790</v>
      </c>
      <c r="AU31" s="2">
        <v>2021.0</v>
      </c>
      <c r="AV31" s="2">
        <v>30.0</v>
      </c>
      <c r="AW31" s="2">
        <v>4.0</v>
      </c>
      <c r="AX31" s="2" t="s">
        <v>3635</v>
      </c>
      <c r="AY31" s="2" t="s">
        <v>3635</v>
      </c>
      <c r="AZ31" s="2" t="s">
        <v>3635</v>
      </c>
      <c r="BA31" s="2" t="s">
        <v>3635</v>
      </c>
      <c r="BB31" s="2">
        <v>676.0</v>
      </c>
      <c r="BC31" s="2">
        <v>685.0</v>
      </c>
      <c r="BD31" s="2" t="s">
        <v>3635</v>
      </c>
      <c r="BE31" s="2" t="s">
        <v>510</v>
      </c>
      <c r="BF31" s="3" t="str">
        <f>HYPERLINK("http://dx.doi.org/10.1049/cje.2021.05.009","http://dx.doi.org/10.1049/cje.2021.05.009")</f>
        <v>http://dx.doi.org/10.1049/cje.2021.05.009</v>
      </c>
      <c r="BG31" s="2" t="s">
        <v>3635</v>
      </c>
      <c r="BH31" s="2" t="s">
        <v>3635</v>
      </c>
      <c r="BI31" s="2">
        <v>10.0</v>
      </c>
      <c r="BJ31" s="2" t="s">
        <v>3970</v>
      </c>
      <c r="BK31" s="2" t="s">
        <v>3658</v>
      </c>
      <c r="BL31" s="2" t="s">
        <v>3971</v>
      </c>
      <c r="BM31" s="2" t="s">
        <v>4296</v>
      </c>
      <c r="BN31" s="2" t="s">
        <v>3635</v>
      </c>
      <c r="BO31" s="2" t="s">
        <v>4141</v>
      </c>
      <c r="BP31" s="2" t="s">
        <v>3635</v>
      </c>
      <c r="BQ31" s="2" t="s">
        <v>3635</v>
      </c>
      <c r="BR31" s="2" t="s">
        <v>3662</v>
      </c>
      <c r="BS31" s="2" t="s">
        <v>4297</v>
      </c>
      <c r="BT31" s="2" t="str">
        <f>HYPERLINK("https%3A%2F%2Fwww.webofscience.com%2Fwos%2Fwoscc%2Ffull-record%2FWOS:000680404600010","View Full Record in Web of Science")</f>
        <v>View Full Record in Web of Science</v>
      </c>
    </row>
    <row r="32" ht="15.75" customHeight="1">
      <c r="A32" s="2" t="s">
        <v>3633</v>
      </c>
      <c r="B32" s="2" t="s">
        <v>4298</v>
      </c>
      <c r="C32" s="2" t="s">
        <v>3635</v>
      </c>
      <c r="D32" s="2" t="s">
        <v>3635</v>
      </c>
      <c r="E32" s="2" t="s">
        <v>3635</v>
      </c>
      <c r="F32" s="2" t="s">
        <v>4299</v>
      </c>
      <c r="G32" s="2" t="s">
        <v>3635</v>
      </c>
      <c r="H32" s="2" t="s">
        <v>3635</v>
      </c>
      <c r="I32" s="2" t="s">
        <v>4300</v>
      </c>
      <c r="J32" s="2" t="s">
        <v>4301</v>
      </c>
      <c r="K32" s="2" t="s">
        <v>3635</v>
      </c>
      <c r="L32" s="2" t="s">
        <v>3635</v>
      </c>
      <c r="M32" s="2" t="s">
        <v>3638</v>
      </c>
      <c r="N32" s="2" t="s">
        <v>21</v>
      </c>
      <c r="O32" s="2" t="s">
        <v>3635</v>
      </c>
      <c r="P32" s="2" t="s">
        <v>3635</v>
      </c>
      <c r="Q32" s="2" t="s">
        <v>3635</v>
      </c>
      <c r="R32" s="2" t="s">
        <v>3635</v>
      </c>
      <c r="S32" s="2" t="s">
        <v>3635</v>
      </c>
      <c r="T32" s="2" t="s">
        <v>3635</v>
      </c>
      <c r="U32" s="2" t="s">
        <v>3635</v>
      </c>
      <c r="V32" s="2" t="s">
        <v>4302</v>
      </c>
      <c r="W32" s="2" t="s">
        <v>4303</v>
      </c>
      <c r="X32" s="2" t="s">
        <v>4304</v>
      </c>
      <c r="Y32" s="2" t="s">
        <v>4305</v>
      </c>
      <c r="Z32" s="2" t="s">
        <v>4306</v>
      </c>
      <c r="AA32" s="2" t="s">
        <v>3635</v>
      </c>
      <c r="AB32" s="2" t="s">
        <v>4307</v>
      </c>
      <c r="AC32" s="2" t="s">
        <v>4308</v>
      </c>
      <c r="AD32" s="2" t="s">
        <v>4309</v>
      </c>
      <c r="AE32" s="2" t="s">
        <v>4310</v>
      </c>
      <c r="AF32" s="2" t="s">
        <v>3635</v>
      </c>
      <c r="AG32" s="2">
        <v>41.0</v>
      </c>
      <c r="AH32" s="2">
        <v>0.0</v>
      </c>
      <c r="AI32" s="2">
        <v>0.0</v>
      </c>
      <c r="AJ32" s="2">
        <v>14.0</v>
      </c>
      <c r="AK32" s="2">
        <v>20.0</v>
      </c>
      <c r="AL32" s="2" t="s">
        <v>4311</v>
      </c>
      <c r="AM32" s="2" t="s">
        <v>4312</v>
      </c>
      <c r="AN32" s="2" t="s">
        <v>4313</v>
      </c>
      <c r="AO32" s="2" t="s">
        <v>4314</v>
      </c>
      <c r="AP32" s="2" t="s">
        <v>3635</v>
      </c>
      <c r="AQ32" s="2" t="s">
        <v>3635</v>
      </c>
      <c r="AR32" s="2" t="s">
        <v>4315</v>
      </c>
      <c r="AS32" s="2" t="s">
        <v>4316</v>
      </c>
      <c r="AT32" s="2" t="s">
        <v>4317</v>
      </c>
      <c r="AU32" s="2">
        <v>2023.0</v>
      </c>
      <c r="AV32" s="2">
        <v>13.0</v>
      </c>
      <c r="AW32" s="2">
        <v>1.0</v>
      </c>
      <c r="AX32" s="2" t="s">
        <v>3635</v>
      </c>
      <c r="AY32" s="2" t="s">
        <v>3635</v>
      </c>
      <c r="AZ32" s="2" t="s">
        <v>3635</v>
      </c>
      <c r="BA32" s="2" t="s">
        <v>3635</v>
      </c>
      <c r="BB32" s="2" t="s">
        <v>3635</v>
      </c>
      <c r="BC32" s="2" t="s">
        <v>3635</v>
      </c>
      <c r="BD32" s="2">
        <v>14507.0</v>
      </c>
      <c r="BE32" s="2" t="s">
        <v>4318</v>
      </c>
      <c r="BF32" s="3" t="str">
        <f>HYPERLINK("http://dx.doi.org/10.1038/s41598-023-41063-y","http://dx.doi.org/10.1038/s41598-023-41063-y")</f>
        <v>http://dx.doi.org/10.1038/s41598-023-41063-y</v>
      </c>
      <c r="BG32" s="2" t="s">
        <v>3635</v>
      </c>
      <c r="BH32" s="2" t="s">
        <v>3635</v>
      </c>
      <c r="BI32" s="2">
        <v>13.0</v>
      </c>
      <c r="BJ32" s="2" t="s">
        <v>4319</v>
      </c>
      <c r="BK32" s="2" t="s">
        <v>3658</v>
      </c>
      <c r="BL32" s="2" t="s">
        <v>4320</v>
      </c>
      <c r="BM32" s="2" t="s">
        <v>4321</v>
      </c>
      <c r="BN32" s="2">
        <v>3.7666861E7</v>
      </c>
      <c r="BO32" s="2" t="s">
        <v>4251</v>
      </c>
      <c r="BP32" s="2" t="s">
        <v>3635</v>
      </c>
      <c r="BQ32" s="2" t="s">
        <v>3635</v>
      </c>
      <c r="BR32" s="2" t="s">
        <v>3662</v>
      </c>
      <c r="BS32" s="2" t="s">
        <v>4322</v>
      </c>
      <c r="BT32" s="2" t="str">
        <f>HYPERLINK("https%3A%2F%2Fwww.webofscience.com%2Fwos%2Fwoscc%2Ffull-record%2FWOS:001152621700001","View Full Record in Web of Science")</f>
        <v>View Full Record in Web of Science</v>
      </c>
    </row>
    <row r="33" ht="15.75" customHeight="1">
      <c r="A33" s="2" t="s">
        <v>3664</v>
      </c>
      <c r="B33" s="2" t="s">
        <v>4323</v>
      </c>
      <c r="C33" s="2" t="s">
        <v>3635</v>
      </c>
      <c r="D33" s="2" t="s">
        <v>3635</v>
      </c>
      <c r="E33" s="2" t="s">
        <v>3837</v>
      </c>
      <c r="F33" s="2" t="s">
        <v>4324</v>
      </c>
      <c r="G33" s="2" t="s">
        <v>3635</v>
      </c>
      <c r="H33" s="2" t="s">
        <v>3635</v>
      </c>
      <c r="I33" s="2" t="s">
        <v>2033</v>
      </c>
      <c r="J33" s="2" t="s">
        <v>4325</v>
      </c>
      <c r="K33" s="2" t="s">
        <v>4080</v>
      </c>
      <c r="L33" s="2" t="s">
        <v>3635</v>
      </c>
      <c r="M33" s="2" t="s">
        <v>3638</v>
      </c>
      <c r="N33" s="2" t="s">
        <v>3669</v>
      </c>
      <c r="O33" s="2" t="s">
        <v>4326</v>
      </c>
      <c r="P33" s="2" t="s">
        <v>4327</v>
      </c>
      <c r="Q33" s="2" t="s">
        <v>3843</v>
      </c>
      <c r="R33" s="2" t="s">
        <v>4328</v>
      </c>
      <c r="S33" s="2" t="s">
        <v>3635</v>
      </c>
      <c r="T33" s="2" t="s">
        <v>4329</v>
      </c>
      <c r="U33" s="2" t="s">
        <v>3635</v>
      </c>
      <c r="V33" s="2" t="s">
        <v>4330</v>
      </c>
      <c r="W33" s="2" t="s">
        <v>4331</v>
      </c>
      <c r="X33" s="2" t="s">
        <v>4332</v>
      </c>
      <c r="Y33" s="2" t="s">
        <v>4333</v>
      </c>
      <c r="Z33" s="2" t="s">
        <v>4334</v>
      </c>
      <c r="AA33" s="2" t="s">
        <v>3635</v>
      </c>
      <c r="AB33" s="2" t="s">
        <v>4335</v>
      </c>
      <c r="AC33" s="2" t="s">
        <v>4336</v>
      </c>
      <c r="AD33" s="2" t="s">
        <v>4337</v>
      </c>
      <c r="AE33" s="2" t="s">
        <v>4338</v>
      </c>
      <c r="AF33" s="2" t="s">
        <v>3635</v>
      </c>
      <c r="AG33" s="2">
        <v>75.0</v>
      </c>
      <c r="AH33" s="2">
        <v>20.0</v>
      </c>
      <c r="AI33" s="2">
        <v>21.0</v>
      </c>
      <c r="AJ33" s="2">
        <v>1.0</v>
      </c>
      <c r="AK33" s="2">
        <v>2.0</v>
      </c>
      <c r="AL33" s="2" t="s">
        <v>3685</v>
      </c>
      <c r="AM33" s="2" t="s">
        <v>3686</v>
      </c>
      <c r="AN33" s="2" t="s">
        <v>3687</v>
      </c>
      <c r="AO33" s="2" t="s">
        <v>4086</v>
      </c>
      <c r="AP33" s="2" t="s">
        <v>3635</v>
      </c>
      <c r="AQ33" s="2" t="s">
        <v>4339</v>
      </c>
      <c r="AR33" s="2" t="s">
        <v>4088</v>
      </c>
      <c r="AS33" s="2" t="s">
        <v>3635</v>
      </c>
      <c r="AT33" s="2" t="s">
        <v>3635</v>
      </c>
      <c r="AU33" s="2">
        <v>2020.0</v>
      </c>
      <c r="AV33" s="2" t="s">
        <v>3635</v>
      </c>
      <c r="AW33" s="2" t="s">
        <v>3635</v>
      </c>
      <c r="AX33" s="2" t="s">
        <v>3635</v>
      </c>
      <c r="AY33" s="2" t="s">
        <v>3635</v>
      </c>
      <c r="AZ33" s="2" t="s">
        <v>3635</v>
      </c>
      <c r="BA33" s="2" t="s">
        <v>3635</v>
      </c>
      <c r="BB33" s="2">
        <v>87.0</v>
      </c>
      <c r="BC33" s="2">
        <v>99.0</v>
      </c>
      <c r="BD33" s="2" t="s">
        <v>3635</v>
      </c>
      <c r="BE33" s="2" t="s">
        <v>901</v>
      </c>
      <c r="BF33" s="3" t="str">
        <f>HYPERLINK("http://dx.doi.org/10.1145/3377811.3380377","http://dx.doi.org/10.1145/3377811.3380377")</f>
        <v>http://dx.doi.org/10.1145/3377811.3380377</v>
      </c>
      <c r="BG33" s="2" t="s">
        <v>3635</v>
      </c>
      <c r="BH33" s="2" t="s">
        <v>3635</v>
      </c>
      <c r="BI33" s="2">
        <v>13.0</v>
      </c>
      <c r="BJ33" s="2" t="s">
        <v>3657</v>
      </c>
      <c r="BK33" s="2" t="s">
        <v>3692</v>
      </c>
      <c r="BL33" s="2" t="s">
        <v>3659</v>
      </c>
      <c r="BM33" s="2" t="s">
        <v>4340</v>
      </c>
      <c r="BN33" s="2" t="s">
        <v>3635</v>
      </c>
      <c r="BO33" s="2" t="s">
        <v>4341</v>
      </c>
      <c r="BP33" s="2" t="s">
        <v>3635</v>
      </c>
      <c r="BQ33" s="2" t="s">
        <v>3635</v>
      </c>
      <c r="BR33" s="2" t="s">
        <v>3662</v>
      </c>
      <c r="BS33" s="2" t="s">
        <v>4342</v>
      </c>
      <c r="BT33" s="2" t="str">
        <f>HYPERLINK("https%3A%2F%2Fwww.webofscience.com%2Fwos%2Fwoscc%2Ffull-record%2FWOS:000652529800008","View Full Record in Web of Science")</f>
        <v>View Full Record in Web of Science</v>
      </c>
    </row>
    <row r="34" ht="15.75" customHeight="1">
      <c r="A34" s="2" t="s">
        <v>3664</v>
      </c>
      <c r="B34" s="2" t="s">
        <v>4343</v>
      </c>
      <c r="C34" s="2" t="s">
        <v>3635</v>
      </c>
      <c r="D34" s="2" t="s">
        <v>3635</v>
      </c>
      <c r="E34" s="2" t="s">
        <v>1974</v>
      </c>
      <c r="F34" s="2" t="s">
        <v>4344</v>
      </c>
      <c r="G34" s="2" t="s">
        <v>3635</v>
      </c>
      <c r="H34" s="2" t="s">
        <v>3635</v>
      </c>
      <c r="I34" s="2" t="s">
        <v>844</v>
      </c>
      <c r="J34" s="2" t="s">
        <v>4345</v>
      </c>
      <c r="K34" s="2" t="s">
        <v>4346</v>
      </c>
      <c r="L34" s="2" t="s">
        <v>3635</v>
      </c>
      <c r="M34" s="2" t="s">
        <v>3638</v>
      </c>
      <c r="N34" s="2" t="s">
        <v>3669</v>
      </c>
      <c r="O34" s="2" t="s">
        <v>4347</v>
      </c>
      <c r="P34" s="2" t="s">
        <v>4348</v>
      </c>
      <c r="Q34" s="2" t="s">
        <v>3843</v>
      </c>
      <c r="R34" s="2" t="s">
        <v>3866</v>
      </c>
      <c r="S34" s="2" t="s">
        <v>3635</v>
      </c>
      <c r="T34" s="2" t="s">
        <v>3635</v>
      </c>
      <c r="U34" s="2" t="s">
        <v>4349</v>
      </c>
      <c r="V34" s="2" t="s">
        <v>4350</v>
      </c>
      <c r="W34" s="2" t="s">
        <v>4351</v>
      </c>
      <c r="X34" s="2" t="s">
        <v>3703</v>
      </c>
      <c r="Y34" s="2" t="s">
        <v>4352</v>
      </c>
      <c r="Z34" s="2" t="s">
        <v>4353</v>
      </c>
      <c r="AA34" s="2" t="s">
        <v>3635</v>
      </c>
      <c r="AB34" s="2" t="s">
        <v>3635</v>
      </c>
      <c r="AC34" s="2" t="s">
        <v>3850</v>
      </c>
      <c r="AD34" s="2" t="s">
        <v>3851</v>
      </c>
      <c r="AE34" s="2" t="s">
        <v>4354</v>
      </c>
      <c r="AF34" s="2" t="s">
        <v>3635</v>
      </c>
      <c r="AG34" s="2">
        <v>51.0</v>
      </c>
      <c r="AH34" s="2">
        <v>7.0</v>
      </c>
      <c r="AI34" s="2">
        <v>8.0</v>
      </c>
      <c r="AJ34" s="2">
        <v>0.0</v>
      </c>
      <c r="AK34" s="2">
        <v>5.0</v>
      </c>
      <c r="AL34" s="2" t="s">
        <v>1974</v>
      </c>
      <c r="AM34" s="2" t="s">
        <v>3651</v>
      </c>
      <c r="AN34" s="2" t="s">
        <v>3762</v>
      </c>
      <c r="AO34" s="2" t="s">
        <v>4355</v>
      </c>
      <c r="AP34" s="2" t="s">
        <v>3635</v>
      </c>
      <c r="AQ34" s="2" t="s">
        <v>4356</v>
      </c>
      <c r="AR34" s="2" t="s">
        <v>4357</v>
      </c>
      <c r="AS34" s="2" t="s">
        <v>3635</v>
      </c>
      <c r="AT34" s="2" t="s">
        <v>3635</v>
      </c>
      <c r="AU34" s="2">
        <v>2020.0</v>
      </c>
      <c r="AV34" s="2" t="s">
        <v>3635</v>
      </c>
      <c r="AW34" s="2" t="s">
        <v>3635</v>
      </c>
      <c r="AX34" s="2" t="s">
        <v>3635</v>
      </c>
      <c r="AY34" s="2" t="s">
        <v>3635</v>
      </c>
      <c r="AZ34" s="2" t="s">
        <v>3635</v>
      </c>
      <c r="BA34" s="2" t="s">
        <v>3635</v>
      </c>
      <c r="BB34" s="2">
        <v>382.0</v>
      </c>
      <c r="BC34" s="2">
        <v>393.0</v>
      </c>
      <c r="BD34" s="2" t="s">
        <v>3635</v>
      </c>
      <c r="BE34" s="2" t="s">
        <v>847</v>
      </c>
      <c r="BF34" s="3" t="str">
        <f>HYPERLINK("http://dx.doi.org/10.1109/ICSME46990.2020.00044","http://dx.doi.org/10.1109/ICSME46990.2020.00044")</f>
        <v>http://dx.doi.org/10.1109/ICSME46990.2020.00044</v>
      </c>
      <c r="BG34" s="2" t="s">
        <v>3635</v>
      </c>
      <c r="BH34" s="2" t="s">
        <v>3635</v>
      </c>
      <c r="BI34" s="2">
        <v>12.0</v>
      </c>
      <c r="BJ34" s="2" t="s">
        <v>3657</v>
      </c>
      <c r="BK34" s="2" t="s">
        <v>3692</v>
      </c>
      <c r="BL34" s="2" t="s">
        <v>3659</v>
      </c>
      <c r="BM34" s="2" t="s">
        <v>4358</v>
      </c>
      <c r="BN34" s="2" t="s">
        <v>3635</v>
      </c>
      <c r="BO34" s="2" t="s">
        <v>3635</v>
      </c>
      <c r="BP34" s="2" t="s">
        <v>3635</v>
      </c>
      <c r="BQ34" s="2" t="s">
        <v>3635</v>
      </c>
      <c r="BR34" s="2" t="s">
        <v>3662</v>
      </c>
      <c r="BS34" s="2" t="s">
        <v>4359</v>
      </c>
      <c r="BT34" s="2" t="str">
        <f>HYPERLINK("https%3A%2F%2Fwww.webofscience.com%2Fwos%2Fwoscc%2Ffull-record%2FWOS:000613139300034","View Full Record in Web of Science")</f>
        <v>View Full Record in Web of Science</v>
      </c>
    </row>
    <row r="35" ht="15.75" customHeight="1">
      <c r="A35" s="2" t="s">
        <v>3633</v>
      </c>
      <c r="B35" s="2" t="s">
        <v>4360</v>
      </c>
      <c r="C35" s="2" t="s">
        <v>3635</v>
      </c>
      <c r="D35" s="2" t="s">
        <v>3635</v>
      </c>
      <c r="E35" s="2" t="s">
        <v>3635</v>
      </c>
      <c r="F35" s="2" t="s">
        <v>4360</v>
      </c>
      <c r="G35" s="2" t="s">
        <v>3635</v>
      </c>
      <c r="H35" s="2" t="s">
        <v>3635</v>
      </c>
      <c r="I35" s="2" t="s">
        <v>4361</v>
      </c>
      <c r="J35" s="2" t="s">
        <v>4362</v>
      </c>
      <c r="K35" s="2" t="s">
        <v>3635</v>
      </c>
      <c r="L35" s="2" t="s">
        <v>3635</v>
      </c>
      <c r="M35" s="2" t="s">
        <v>3638</v>
      </c>
      <c r="N35" s="2" t="s">
        <v>21</v>
      </c>
      <c r="O35" s="2" t="s">
        <v>3635</v>
      </c>
      <c r="P35" s="2" t="s">
        <v>3635</v>
      </c>
      <c r="Q35" s="2" t="s">
        <v>3635</v>
      </c>
      <c r="R35" s="2" t="s">
        <v>3635</v>
      </c>
      <c r="S35" s="2" t="s">
        <v>3635</v>
      </c>
      <c r="T35" s="2" t="s">
        <v>4363</v>
      </c>
      <c r="U35" s="2" t="s">
        <v>4364</v>
      </c>
      <c r="V35" s="2" t="s">
        <v>4365</v>
      </c>
      <c r="W35" s="2" t="s">
        <v>4366</v>
      </c>
      <c r="X35" s="2" t="s">
        <v>4367</v>
      </c>
      <c r="Y35" s="2" t="s">
        <v>4368</v>
      </c>
      <c r="Z35" s="2" t="s">
        <v>3635</v>
      </c>
      <c r="AA35" s="2" t="s">
        <v>3635</v>
      </c>
      <c r="AB35" s="2" t="s">
        <v>3635</v>
      </c>
      <c r="AC35" s="2" t="s">
        <v>3635</v>
      </c>
      <c r="AD35" s="2" t="s">
        <v>3635</v>
      </c>
      <c r="AE35" s="2" t="s">
        <v>3635</v>
      </c>
      <c r="AF35" s="2" t="s">
        <v>3635</v>
      </c>
      <c r="AG35" s="2">
        <v>48.0</v>
      </c>
      <c r="AH35" s="2">
        <v>0.0</v>
      </c>
      <c r="AI35" s="2">
        <v>0.0</v>
      </c>
      <c r="AJ35" s="2">
        <v>0.0</v>
      </c>
      <c r="AK35" s="2">
        <v>3.0</v>
      </c>
      <c r="AL35" s="2" t="s">
        <v>4369</v>
      </c>
      <c r="AM35" s="2" t="s">
        <v>4370</v>
      </c>
      <c r="AN35" s="2" t="s">
        <v>4371</v>
      </c>
      <c r="AO35" s="2" t="s">
        <v>4372</v>
      </c>
      <c r="AP35" s="2" t="s">
        <v>4373</v>
      </c>
      <c r="AQ35" s="2" t="s">
        <v>3635</v>
      </c>
      <c r="AR35" s="2" t="s">
        <v>4374</v>
      </c>
      <c r="AS35" s="2" t="s">
        <v>4375</v>
      </c>
      <c r="AT35" s="2" t="s">
        <v>3635</v>
      </c>
      <c r="AU35" s="2">
        <v>2006.0</v>
      </c>
      <c r="AV35" s="2">
        <v>21.0</v>
      </c>
      <c r="AW35" s="2">
        <v>1.0</v>
      </c>
      <c r="AX35" s="2" t="s">
        <v>3635</v>
      </c>
      <c r="AY35" s="2" t="s">
        <v>3635</v>
      </c>
      <c r="AZ35" s="2" t="s">
        <v>3635</v>
      </c>
      <c r="BA35" s="2" t="s">
        <v>3635</v>
      </c>
      <c r="BB35" s="2">
        <v>151.0</v>
      </c>
      <c r="BC35" s="2">
        <v>182.0</v>
      </c>
      <c r="BD35" s="2" t="s">
        <v>3635</v>
      </c>
      <c r="BE35" s="2" t="s">
        <v>4376</v>
      </c>
      <c r="BF35" s="3" t="str">
        <f>HYPERLINK("http://dx.doi.org/10.1007/s00180-006-0257-8","http://dx.doi.org/10.1007/s00180-006-0257-8")</f>
        <v>http://dx.doi.org/10.1007/s00180-006-0257-8</v>
      </c>
      <c r="BG35" s="2" t="s">
        <v>3635</v>
      </c>
      <c r="BH35" s="2" t="s">
        <v>3635</v>
      </c>
      <c r="BI35" s="2">
        <v>32.0</v>
      </c>
      <c r="BJ35" s="2" t="s">
        <v>4377</v>
      </c>
      <c r="BK35" s="2" t="s">
        <v>4378</v>
      </c>
      <c r="BL35" s="2" t="s">
        <v>4379</v>
      </c>
      <c r="BM35" s="2" t="s">
        <v>4380</v>
      </c>
      <c r="BN35" s="2" t="s">
        <v>3635</v>
      </c>
      <c r="BO35" s="2" t="s">
        <v>3635</v>
      </c>
      <c r="BP35" s="2" t="s">
        <v>3635</v>
      </c>
      <c r="BQ35" s="2" t="s">
        <v>3635</v>
      </c>
      <c r="BR35" s="2" t="s">
        <v>3662</v>
      </c>
      <c r="BS35" s="2" t="s">
        <v>4381</v>
      </c>
      <c r="BT35" s="2" t="str">
        <f>HYPERLINK("https%3A%2F%2Fwww.webofscience.com%2Fwos%2Fwoscc%2Ffull-record%2FWOS:000237272200011","View Full Record in Web of Science")</f>
        <v>View Full Record in Web of Science</v>
      </c>
    </row>
    <row r="36" ht="15.75" customHeight="1">
      <c r="A36" s="2" t="s">
        <v>3633</v>
      </c>
      <c r="B36" s="2" t="s">
        <v>4382</v>
      </c>
      <c r="C36" s="2" t="s">
        <v>3635</v>
      </c>
      <c r="D36" s="2" t="s">
        <v>3635</v>
      </c>
      <c r="E36" s="2" t="s">
        <v>3635</v>
      </c>
      <c r="F36" s="2" t="s">
        <v>4383</v>
      </c>
      <c r="G36" s="2" t="s">
        <v>3635</v>
      </c>
      <c r="H36" s="2" t="s">
        <v>4384</v>
      </c>
      <c r="I36" s="2" t="s">
        <v>4385</v>
      </c>
      <c r="J36" s="2" t="s">
        <v>4386</v>
      </c>
      <c r="K36" s="2" t="s">
        <v>3635</v>
      </c>
      <c r="L36" s="2" t="s">
        <v>3635</v>
      </c>
      <c r="M36" s="2" t="s">
        <v>3638</v>
      </c>
      <c r="N36" s="2" t="s">
        <v>21</v>
      </c>
      <c r="O36" s="2" t="s">
        <v>3635</v>
      </c>
      <c r="P36" s="2" t="s">
        <v>3635</v>
      </c>
      <c r="Q36" s="2" t="s">
        <v>3635</v>
      </c>
      <c r="R36" s="2" t="s">
        <v>3635</v>
      </c>
      <c r="S36" s="2" t="s">
        <v>3635</v>
      </c>
      <c r="T36" s="2" t="s">
        <v>4387</v>
      </c>
      <c r="U36" s="2" t="s">
        <v>4388</v>
      </c>
      <c r="V36" s="2" t="s">
        <v>4389</v>
      </c>
      <c r="W36" s="2" t="s">
        <v>4390</v>
      </c>
      <c r="X36" s="2" t="s">
        <v>4391</v>
      </c>
      <c r="Y36" s="2" t="s">
        <v>4392</v>
      </c>
      <c r="Z36" s="2" t="s">
        <v>4393</v>
      </c>
      <c r="AA36" s="2" t="s">
        <v>4394</v>
      </c>
      <c r="AB36" s="2" t="s">
        <v>4395</v>
      </c>
      <c r="AC36" s="2" t="s">
        <v>4396</v>
      </c>
      <c r="AD36" s="2" t="s">
        <v>4397</v>
      </c>
      <c r="AE36" s="2" t="s">
        <v>4398</v>
      </c>
      <c r="AF36" s="2" t="s">
        <v>3635</v>
      </c>
      <c r="AG36" s="2">
        <v>45.0</v>
      </c>
      <c r="AH36" s="2">
        <v>22.0</v>
      </c>
      <c r="AI36" s="2">
        <v>26.0</v>
      </c>
      <c r="AJ36" s="2">
        <v>2.0</v>
      </c>
      <c r="AK36" s="2">
        <v>35.0</v>
      </c>
      <c r="AL36" s="2" t="s">
        <v>3914</v>
      </c>
      <c r="AM36" s="2" t="s">
        <v>3915</v>
      </c>
      <c r="AN36" s="2" t="s">
        <v>3916</v>
      </c>
      <c r="AO36" s="2" t="s">
        <v>4399</v>
      </c>
      <c r="AP36" s="2" t="s">
        <v>4400</v>
      </c>
      <c r="AQ36" s="2" t="s">
        <v>3635</v>
      </c>
      <c r="AR36" s="2" t="s">
        <v>4401</v>
      </c>
      <c r="AS36" s="2" t="s">
        <v>4402</v>
      </c>
      <c r="AT36" s="2" t="s">
        <v>3953</v>
      </c>
      <c r="AU36" s="2">
        <v>2015.0</v>
      </c>
      <c r="AV36" s="2">
        <v>22.0</v>
      </c>
      <c r="AW36" s="2">
        <v>6.0</v>
      </c>
      <c r="AX36" s="2" t="s">
        <v>3635</v>
      </c>
      <c r="AY36" s="2" t="s">
        <v>3635</v>
      </c>
      <c r="AZ36" s="2" t="s">
        <v>3635</v>
      </c>
      <c r="BA36" s="2" t="s">
        <v>3635</v>
      </c>
      <c r="BB36" s="2">
        <v>1132.0</v>
      </c>
      <c r="BC36" s="2">
        <v>1136.0</v>
      </c>
      <c r="BD36" s="2" t="s">
        <v>3635</v>
      </c>
      <c r="BE36" s="2" t="s">
        <v>4403</v>
      </c>
      <c r="BF36" s="3" t="str">
        <f>HYPERLINK("http://dx.doi.org/10.1093/jamia/ocv059","http://dx.doi.org/10.1093/jamia/ocv059")</f>
        <v>http://dx.doi.org/10.1093/jamia/ocv059</v>
      </c>
      <c r="BG36" s="2" t="s">
        <v>3635</v>
      </c>
      <c r="BH36" s="2" t="s">
        <v>3635</v>
      </c>
      <c r="BI36" s="2">
        <v>5.0</v>
      </c>
      <c r="BJ36" s="2" t="s">
        <v>4404</v>
      </c>
      <c r="BK36" s="2" t="s">
        <v>4378</v>
      </c>
      <c r="BL36" s="2" t="s">
        <v>4405</v>
      </c>
      <c r="BM36" s="2" t="s">
        <v>4406</v>
      </c>
      <c r="BN36" s="2">
        <v>2.6138794E7</v>
      </c>
      <c r="BO36" s="2" t="s">
        <v>4407</v>
      </c>
      <c r="BP36" s="2" t="s">
        <v>3635</v>
      </c>
      <c r="BQ36" s="2" t="s">
        <v>3635</v>
      </c>
      <c r="BR36" s="2" t="s">
        <v>3662</v>
      </c>
      <c r="BS36" s="2" t="s">
        <v>4408</v>
      </c>
      <c r="BT36" s="2" t="str">
        <f>HYPERLINK("https%3A%2F%2Fwww.webofscience.com%2Fwos%2Fwoscc%2Ffull-record%2FWOS:000373722400006","View Full Record in Web of Science")</f>
        <v>View Full Record in Web of Science</v>
      </c>
    </row>
    <row r="37" ht="15.75" customHeight="1">
      <c r="A37" s="2" t="s">
        <v>3664</v>
      </c>
      <c r="B37" s="2" t="s">
        <v>4409</v>
      </c>
      <c r="C37" s="2" t="s">
        <v>3635</v>
      </c>
      <c r="D37" s="2" t="s">
        <v>3635</v>
      </c>
      <c r="E37" s="2" t="s">
        <v>4144</v>
      </c>
      <c r="F37" s="2" t="s">
        <v>4410</v>
      </c>
      <c r="G37" s="2" t="s">
        <v>3635</v>
      </c>
      <c r="H37" s="2" t="s">
        <v>3635</v>
      </c>
      <c r="I37" s="2" t="s">
        <v>2265</v>
      </c>
      <c r="J37" s="2" t="s">
        <v>4411</v>
      </c>
      <c r="K37" s="2" t="s">
        <v>3635</v>
      </c>
      <c r="L37" s="2" t="s">
        <v>3635</v>
      </c>
      <c r="M37" s="2" t="s">
        <v>3638</v>
      </c>
      <c r="N37" s="2" t="s">
        <v>3669</v>
      </c>
      <c r="O37" s="2" t="s">
        <v>4326</v>
      </c>
      <c r="P37" s="2" t="s">
        <v>4327</v>
      </c>
      <c r="Q37" s="2" t="s">
        <v>3843</v>
      </c>
      <c r="R37" s="2" t="s">
        <v>4328</v>
      </c>
      <c r="S37" s="2" t="s">
        <v>3635</v>
      </c>
      <c r="T37" s="2" t="s">
        <v>4412</v>
      </c>
      <c r="U37" s="2" t="s">
        <v>4413</v>
      </c>
      <c r="V37" s="2" t="s">
        <v>4414</v>
      </c>
      <c r="W37" s="2" t="s">
        <v>4415</v>
      </c>
      <c r="X37" s="2" t="s">
        <v>4416</v>
      </c>
      <c r="Y37" s="2" t="s">
        <v>4417</v>
      </c>
      <c r="Z37" s="2" t="s">
        <v>4418</v>
      </c>
      <c r="AA37" s="2" t="s">
        <v>3635</v>
      </c>
      <c r="AB37" s="2" t="s">
        <v>4419</v>
      </c>
      <c r="AC37" s="2" t="s">
        <v>4420</v>
      </c>
      <c r="AD37" s="2" t="s">
        <v>4421</v>
      </c>
      <c r="AE37" s="2" t="s">
        <v>4422</v>
      </c>
      <c r="AF37" s="2" t="s">
        <v>3635</v>
      </c>
      <c r="AG37" s="2">
        <v>50.0</v>
      </c>
      <c r="AH37" s="2">
        <v>1.0</v>
      </c>
      <c r="AI37" s="2">
        <v>1.0</v>
      </c>
      <c r="AJ37" s="2">
        <v>1.0</v>
      </c>
      <c r="AK37" s="2">
        <v>1.0</v>
      </c>
      <c r="AL37" s="2" t="s">
        <v>3685</v>
      </c>
      <c r="AM37" s="2" t="s">
        <v>3686</v>
      </c>
      <c r="AN37" s="2" t="s">
        <v>3687</v>
      </c>
      <c r="AO37" s="2" t="s">
        <v>3635</v>
      </c>
      <c r="AP37" s="2" t="s">
        <v>3635</v>
      </c>
      <c r="AQ37" s="2" t="s">
        <v>4423</v>
      </c>
      <c r="AR37" s="2" t="s">
        <v>3635</v>
      </c>
      <c r="AS37" s="2" t="s">
        <v>3635</v>
      </c>
      <c r="AT37" s="2" t="s">
        <v>3635</v>
      </c>
      <c r="AU37" s="2">
        <v>2020.0</v>
      </c>
      <c r="AV37" s="2" t="s">
        <v>3635</v>
      </c>
      <c r="AW37" s="2" t="s">
        <v>3635</v>
      </c>
      <c r="AX37" s="2" t="s">
        <v>3635</v>
      </c>
      <c r="AY37" s="2" t="s">
        <v>3635</v>
      </c>
      <c r="AZ37" s="2" t="s">
        <v>3635</v>
      </c>
      <c r="BA37" s="2" t="s">
        <v>3635</v>
      </c>
      <c r="BB37" s="2">
        <v>191.0</v>
      </c>
      <c r="BC37" s="2">
        <v>200.0</v>
      </c>
      <c r="BD37" s="2" t="s">
        <v>3635</v>
      </c>
      <c r="BE37" s="2" t="s">
        <v>560</v>
      </c>
      <c r="BF37" s="3" t="str">
        <f>HYPERLINK("http://dx.doi.org/10.1145/3377813.3381349","http://dx.doi.org/10.1145/3377813.3381349")</f>
        <v>http://dx.doi.org/10.1145/3377813.3381349</v>
      </c>
      <c r="BG37" s="2" t="s">
        <v>3635</v>
      </c>
      <c r="BH37" s="2" t="s">
        <v>3635</v>
      </c>
      <c r="BI37" s="2">
        <v>10.0</v>
      </c>
      <c r="BJ37" s="2" t="s">
        <v>3657</v>
      </c>
      <c r="BK37" s="2" t="s">
        <v>3692</v>
      </c>
      <c r="BL37" s="2" t="s">
        <v>3659</v>
      </c>
      <c r="BM37" s="2" t="s">
        <v>4424</v>
      </c>
      <c r="BN37" s="2" t="s">
        <v>3635</v>
      </c>
      <c r="BO37" s="2" t="s">
        <v>4425</v>
      </c>
      <c r="BP37" s="2" t="s">
        <v>3635</v>
      </c>
      <c r="BQ37" s="2" t="s">
        <v>3635</v>
      </c>
      <c r="BR37" s="2" t="s">
        <v>3662</v>
      </c>
      <c r="BS37" s="2" t="s">
        <v>4426</v>
      </c>
      <c r="BT37" s="2" t="str">
        <f>HYPERLINK("https%3A%2F%2Fwww.webofscience.com%2Fwos%2Fwoscc%2Ffull-record%2FWOS:000680655000021","View Full Record in Web of Science")</f>
        <v>View Full Record in Web of Science</v>
      </c>
    </row>
    <row r="38" ht="15.75" customHeight="1">
      <c r="A38" s="2" t="s">
        <v>3664</v>
      </c>
      <c r="B38" s="2" t="s">
        <v>4427</v>
      </c>
      <c r="C38" s="2" t="s">
        <v>3635</v>
      </c>
      <c r="D38" s="2" t="s">
        <v>3635</v>
      </c>
      <c r="E38" s="2" t="s">
        <v>4118</v>
      </c>
      <c r="F38" s="2" t="s">
        <v>4428</v>
      </c>
      <c r="G38" s="2" t="s">
        <v>3635</v>
      </c>
      <c r="H38" s="2" t="s">
        <v>3635</v>
      </c>
      <c r="I38" s="2" t="s">
        <v>4429</v>
      </c>
      <c r="J38" s="2" t="s">
        <v>4430</v>
      </c>
      <c r="K38" s="2" t="s">
        <v>3635</v>
      </c>
      <c r="L38" s="2" t="s">
        <v>3635</v>
      </c>
      <c r="M38" s="2" t="s">
        <v>3638</v>
      </c>
      <c r="N38" s="2" t="s">
        <v>3669</v>
      </c>
      <c r="O38" s="2" t="s">
        <v>4431</v>
      </c>
      <c r="P38" s="2" t="s">
        <v>4432</v>
      </c>
      <c r="Q38" s="2" t="s">
        <v>4433</v>
      </c>
      <c r="R38" s="2" t="s">
        <v>4434</v>
      </c>
      <c r="S38" s="2" t="s">
        <v>3635</v>
      </c>
      <c r="T38" s="2" t="s">
        <v>4435</v>
      </c>
      <c r="U38" s="2" t="s">
        <v>3635</v>
      </c>
      <c r="V38" s="2" t="s">
        <v>4436</v>
      </c>
      <c r="W38" s="2" t="s">
        <v>4437</v>
      </c>
      <c r="X38" s="2" t="s">
        <v>4438</v>
      </c>
      <c r="Y38" s="2" t="s">
        <v>4439</v>
      </c>
      <c r="Z38" s="2" t="s">
        <v>4440</v>
      </c>
      <c r="AA38" s="2" t="s">
        <v>4441</v>
      </c>
      <c r="AB38" s="2" t="s">
        <v>4442</v>
      </c>
      <c r="AC38" s="2" t="s">
        <v>4443</v>
      </c>
      <c r="AD38" s="2" t="s">
        <v>4444</v>
      </c>
      <c r="AE38" s="2" t="s">
        <v>4445</v>
      </c>
      <c r="AF38" s="2" t="s">
        <v>3635</v>
      </c>
      <c r="AG38" s="2">
        <v>12.0</v>
      </c>
      <c r="AH38" s="2">
        <v>13.0</v>
      </c>
      <c r="AI38" s="2">
        <v>13.0</v>
      </c>
      <c r="AJ38" s="2">
        <v>1.0</v>
      </c>
      <c r="AK38" s="2">
        <v>6.0</v>
      </c>
      <c r="AL38" s="2" t="s">
        <v>3650</v>
      </c>
      <c r="AM38" s="2" t="s">
        <v>3651</v>
      </c>
      <c r="AN38" s="2" t="s">
        <v>3894</v>
      </c>
      <c r="AO38" s="2" t="s">
        <v>3635</v>
      </c>
      <c r="AP38" s="2" t="s">
        <v>3635</v>
      </c>
      <c r="AQ38" s="2" t="s">
        <v>4446</v>
      </c>
      <c r="AR38" s="2" t="s">
        <v>3635</v>
      </c>
      <c r="AS38" s="2" t="s">
        <v>3635</v>
      </c>
      <c r="AT38" s="2" t="s">
        <v>3635</v>
      </c>
      <c r="AU38" s="2">
        <v>2017.0</v>
      </c>
      <c r="AV38" s="2" t="s">
        <v>3635</v>
      </c>
      <c r="AW38" s="2" t="s">
        <v>3635</v>
      </c>
      <c r="AX38" s="2" t="s">
        <v>3635</v>
      </c>
      <c r="AY38" s="2" t="s">
        <v>3635</v>
      </c>
      <c r="AZ38" s="2" t="s">
        <v>3635</v>
      </c>
      <c r="BA38" s="2" t="s">
        <v>3635</v>
      </c>
      <c r="BB38" s="2">
        <v>299.0</v>
      </c>
      <c r="BC38" s="2">
        <v>304.0</v>
      </c>
      <c r="BD38" s="2" t="s">
        <v>3635</v>
      </c>
      <c r="BE38" s="2" t="s">
        <v>1290</v>
      </c>
      <c r="BF38" s="3" t="str">
        <f>HYPERLINK("http://dx.doi.org/10.1145/3075564.3076259","http://dx.doi.org/10.1145/3075564.3076259")</f>
        <v>http://dx.doi.org/10.1145/3075564.3076259</v>
      </c>
      <c r="BG38" s="2" t="s">
        <v>3635</v>
      </c>
      <c r="BH38" s="2" t="s">
        <v>3635</v>
      </c>
      <c r="BI38" s="2">
        <v>6.0</v>
      </c>
      <c r="BJ38" s="2" t="s">
        <v>4447</v>
      </c>
      <c r="BK38" s="2" t="s">
        <v>3692</v>
      </c>
      <c r="BL38" s="2" t="s">
        <v>3659</v>
      </c>
      <c r="BM38" s="2" t="s">
        <v>4448</v>
      </c>
      <c r="BN38" s="2" t="s">
        <v>3635</v>
      </c>
      <c r="BO38" s="2" t="s">
        <v>4449</v>
      </c>
      <c r="BP38" s="2" t="s">
        <v>3635</v>
      </c>
      <c r="BQ38" s="2" t="s">
        <v>3635</v>
      </c>
      <c r="BR38" s="2" t="s">
        <v>3662</v>
      </c>
      <c r="BS38" s="2" t="s">
        <v>4450</v>
      </c>
      <c r="BT38" s="2" t="str">
        <f>HYPERLINK("https%3A%2F%2Fwww.webofscience.com%2Fwos%2Fwoscc%2Ffull-record%2FWOS:000626242600041","View Full Record in Web of Science")</f>
        <v>View Full Record in Web of Science</v>
      </c>
    </row>
    <row r="39" ht="15.75" customHeight="1">
      <c r="A39" s="2" t="s">
        <v>3664</v>
      </c>
      <c r="B39" s="2" t="s">
        <v>4451</v>
      </c>
      <c r="C39" s="2" t="s">
        <v>3635</v>
      </c>
      <c r="D39" s="2" t="s">
        <v>4452</v>
      </c>
      <c r="E39" s="2" t="s">
        <v>3635</v>
      </c>
      <c r="F39" s="2" t="s">
        <v>4453</v>
      </c>
      <c r="G39" s="2" t="s">
        <v>3635</v>
      </c>
      <c r="H39" s="2" t="s">
        <v>3635</v>
      </c>
      <c r="I39" s="2" t="s">
        <v>4454</v>
      </c>
      <c r="J39" s="2" t="s">
        <v>4455</v>
      </c>
      <c r="K39" s="2" t="s">
        <v>1773</v>
      </c>
      <c r="L39" s="2" t="s">
        <v>3635</v>
      </c>
      <c r="M39" s="2" t="s">
        <v>3638</v>
      </c>
      <c r="N39" s="2" t="s">
        <v>3669</v>
      </c>
      <c r="O39" s="2" t="s">
        <v>4456</v>
      </c>
      <c r="P39" s="2" t="s">
        <v>4457</v>
      </c>
      <c r="Q39" s="2" t="s">
        <v>4458</v>
      </c>
      <c r="R39" s="2" t="s">
        <v>4459</v>
      </c>
      <c r="S39" s="2" t="s">
        <v>3635</v>
      </c>
      <c r="T39" s="2" t="s">
        <v>4460</v>
      </c>
      <c r="U39" s="2" t="s">
        <v>3635</v>
      </c>
      <c r="V39" s="2" t="s">
        <v>4461</v>
      </c>
      <c r="W39" s="2" t="s">
        <v>4462</v>
      </c>
      <c r="X39" s="2" t="s">
        <v>4463</v>
      </c>
      <c r="Y39" s="2" t="s">
        <v>4464</v>
      </c>
      <c r="Z39" s="2" t="s">
        <v>4465</v>
      </c>
      <c r="AA39" s="2" t="s">
        <v>4466</v>
      </c>
      <c r="AB39" s="2" t="s">
        <v>3635</v>
      </c>
      <c r="AC39" s="2" t="s">
        <v>3635</v>
      </c>
      <c r="AD39" s="2" t="s">
        <v>3635</v>
      </c>
      <c r="AE39" s="2" t="s">
        <v>3635</v>
      </c>
      <c r="AF39" s="2" t="s">
        <v>3635</v>
      </c>
      <c r="AG39" s="2">
        <v>4.0</v>
      </c>
      <c r="AH39" s="2">
        <v>0.0</v>
      </c>
      <c r="AI39" s="2">
        <v>0.0</v>
      </c>
      <c r="AJ39" s="2">
        <v>1.0</v>
      </c>
      <c r="AK39" s="2">
        <v>6.0</v>
      </c>
      <c r="AL39" s="2" t="s">
        <v>4467</v>
      </c>
      <c r="AM39" s="2" t="s">
        <v>4468</v>
      </c>
      <c r="AN39" s="2" t="s">
        <v>4469</v>
      </c>
      <c r="AO39" s="2" t="s">
        <v>4470</v>
      </c>
      <c r="AP39" s="2" t="s">
        <v>3635</v>
      </c>
      <c r="AQ39" s="2" t="s">
        <v>4471</v>
      </c>
      <c r="AR39" s="2" t="s">
        <v>4472</v>
      </c>
      <c r="AS39" s="2" t="s">
        <v>3635</v>
      </c>
      <c r="AT39" s="2" t="s">
        <v>3635</v>
      </c>
      <c r="AU39" s="2">
        <v>2011.0</v>
      </c>
      <c r="AV39" s="2" t="s">
        <v>4473</v>
      </c>
      <c r="AW39" s="2" t="s">
        <v>3635</v>
      </c>
      <c r="AX39" s="2" t="s">
        <v>4474</v>
      </c>
      <c r="AY39" s="2" t="s">
        <v>3635</v>
      </c>
      <c r="AZ39" s="2" t="s">
        <v>3635</v>
      </c>
      <c r="BA39" s="2" t="s">
        <v>3635</v>
      </c>
      <c r="BB39" s="2">
        <v>801.0</v>
      </c>
      <c r="BC39" s="2">
        <v>805.0</v>
      </c>
      <c r="BD39" s="2" t="s">
        <v>3635</v>
      </c>
      <c r="BE39" s="2" t="s">
        <v>1774</v>
      </c>
      <c r="BF39" s="3" t="str">
        <f>HYPERLINK("http://dx.doi.org/10.4028/www.scientific.net/AMM.40-41.801","http://dx.doi.org/10.4028/www.scientific.net/AMM.40-41.801")</f>
        <v>http://dx.doi.org/10.4028/www.scientific.net/AMM.40-41.801</v>
      </c>
      <c r="BG39" s="2" t="s">
        <v>3635</v>
      </c>
      <c r="BH39" s="2" t="s">
        <v>3635</v>
      </c>
      <c r="BI39" s="2">
        <v>5.0</v>
      </c>
      <c r="BJ39" s="2" t="s">
        <v>4475</v>
      </c>
      <c r="BK39" s="2" t="s">
        <v>3692</v>
      </c>
      <c r="BL39" s="2" t="s">
        <v>3944</v>
      </c>
      <c r="BM39" s="2" t="s">
        <v>4476</v>
      </c>
      <c r="BN39" s="2" t="s">
        <v>3635</v>
      </c>
      <c r="BO39" s="2" t="s">
        <v>3635</v>
      </c>
      <c r="BP39" s="2" t="s">
        <v>3635</v>
      </c>
      <c r="BQ39" s="2" t="s">
        <v>3635</v>
      </c>
      <c r="BR39" s="2" t="s">
        <v>3662</v>
      </c>
      <c r="BS39" s="2" t="s">
        <v>4477</v>
      </c>
      <c r="BT39" s="2" t="str">
        <f>HYPERLINK("https%3A%2F%2Fwww.webofscience.com%2Fwos%2Fwoscc%2Ffull-record%2FWOS:000302737500134","View Full Record in Web of Science")</f>
        <v>View Full Record in Web of Science</v>
      </c>
    </row>
    <row r="40" ht="15.75" customHeight="1">
      <c r="A40" s="2" t="s">
        <v>3633</v>
      </c>
      <c r="B40" s="2" t="s">
        <v>4478</v>
      </c>
      <c r="C40" s="2" t="s">
        <v>3635</v>
      </c>
      <c r="D40" s="2" t="s">
        <v>3635</v>
      </c>
      <c r="E40" s="2" t="s">
        <v>3635</v>
      </c>
      <c r="F40" s="2" t="s">
        <v>4479</v>
      </c>
      <c r="G40" s="2" t="s">
        <v>3635</v>
      </c>
      <c r="H40" s="2" t="s">
        <v>3635</v>
      </c>
      <c r="I40" s="2" t="s">
        <v>4480</v>
      </c>
      <c r="J40" s="2" t="s">
        <v>4481</v>
      </c>
      <c r="K40" s="2" t="s">
        <v>3635</v>
      </c>
      <c r="L40" s="2" t="s">
        <v>3635</v>
      </c>
      <c r="M40" s="2" t="s">
        <v>3638</v>
      </c>
      <c r="N40" s="2" t="s">
        <v>21</v>
      </c>
      <c r="O40" s="2" t="s">
        <v>3635</v>
      </c>
      <c r="P40" s="2" t="s">
        <v>3635</v>
      </c>
      <c r="Q40" s="2" t="s">
        <v>3635</v>
      </c>
      <c r="R40" s="2" t="s">
        <v>3635</v>
      </c>
      <c r="S40" s="2" t="s">
        <v>3635</v>
      </c>
      <c r="T40" s="2" t="s">
        <v>4482</v>
      </c>
      <c r="U40" s="2" t="s">
        <v>4483</v>
      </c>
      <c r="V40" s="2" t="s">
        <v>4484</v>
      </c>
      <c r="W40" s="2" t="s">
        <v>4485</v>
      </c>
      <c r="X40" s="2" t="s">
        <v>4486</v>
      </c>
      <c r="Y40" s="2" t="s">
        <v>4487</v>
      </c>
      <c r="Z40" s="2" t="s">
        <v>4488</v>
      </c>
      <c r="AA40" s="2" t="s">
        <v>3635</v>
      </c>
      <c r="AB40" s="2" t="s">
        <v>4489</v>
      </c>
      <c r="AC40" s="2" t="s">
        <v>4490</v>
      </c>
      <c r="AD40" s="2" t="s">
        <v>4491</v>
      </c>
      <c r="AE40" s="2" t="s">
        <v>4492</v>
      </c>
      <c r="AF40" s="2" t="s">
        <v>3635</v>
      </c>
      <c r="AG40" s="2">
        <v>69.0</v>
      </c>
      <c r="AH40" s="2">
        <v>47.0</v>
      </c>
      <c r="AI40" s="2">
        <v>50.0</v>
      </c>
      <c r="AJ40" s="2">
        <v>10.0</v>
      </c>
      <c r="AK40" s="2">
        <v>45.0</v>
      </c>
      <c r="AL40" s="2" t="s">
        <v>4493</v>
      </c>
      <c r="AM40" s="2" t="s">
        <v>4494</v>
      </c>
      <c r="AN40" s="2" t="s">
        <v>4495</v>
      </c>
      <c r="AO40" s="2" t="s">
        <v>4496</v>
      </c>
      <c r="AP40" s="2" t="s">
        <v>4497</v>
      </c>
      <c r="AQ40" s="2" t="s">
        <v>3635</v>
      </c>
      <c r="AR40" s="2" t="s">
        <v>4498</v>
      </c>
      <c r="AS40" s="2" t="s">
        <v>4499</v>
      </c>
      <c r="AT40" s="2" t="s">
        <v>4500</v>
      </c>
      <c r="AU40" s="2">
        <v>2021.0</v>
      </c>
      <c r="AV40" s="2">
        <v>116.0</v>
      </c>
      <c r="AW40" s="2">
        <v>536.0</v>
      </c>
      <c r="AX40" s="2" t="s">
        <v>3635</v>
      </c>
      <c r="AY40" s="2" t="s">
        <v>3635</v>
      </c>
      <c r="AZ40" s="2" t="s">
        <v>3635</v>
      </c>
      <c r="BA40" s="2" t="s">
        <v>3635</v>
      </c>
      <c r="BB40" s="2">
        <v>1849.0</v>
      </c>
      <c r="BC40" s="2">
        <v>1864.0</v>
      </c>
      <c r="BD40" s="2" t="s">
        <v>3635</v>
      </c>
      <c r="BE40" s="2" t="s">
        <v>4501</v>
      </c>
      <c r="BF40" s="3" t="str">
        <f>HYPERLINK("http://dx.doi.org/10.1080/01621459.2021.1920957","http://dx.doi.org/10.1080/01621459.2021.1920957")</f>
        <v>http://dx.doi.org/10.1080/01621459.2021.1920957</v>
      </c>
      <c r="BG40" s="2" t="s">
        <v>3635</v>
      </c>
      <c r="BH40" s="2" t="s">
        <v>4502</v>
      </c>
      <c r="BI40" s="2">
        <v>16.0</v>
      </c>
      <c r="BJ40" s="2" t="s">
        <v>4377</v>
      </c>
      <c r="BK40" s="2" t="s">
        <v>4378</v>
      </c>
      <c r="BL40" s="2" t="s">
        <v>4379</v>
      </c>
      <c r="BM40" s="2" t="s">
        <v>4503</v>
      </c>
      <c r="BN40" s="2" t="s">
        <v>3635</v>
      </c>
      <c r="BO40" s="2" t="s">
        <v>3694</v>
      </c>
      <c r="BP40" s="2" t="s">
        <v>3635</v>
      </c>
      <c r="BQ40" s="2" t="s">
        <v>3635</v>
      </c>
      <c r="BR40" s="2" t="s">
        <v>3662</v>
      </c>
      <c r="BS40" s="2" t="s">
        <v>4504</v>
      </c>
      <c r="BT40" s="2" t="str">
        <f>HYPERLINK("https%3A%2F%2Fwww.webofscience.com%2Fwos%2Fwoscc%2Ffull-record%2FWOS:000656771300001","View Full Record in Web of Science")</f>
        <v>View Full Record in Web of Science</v>
      </c>
    </row>
    <row r="41" ht="15.75" customHeight="1">
      <c r="A41" s="2" t="s">
        <v>3633</v>
      </c>
      <c r="B41" s="2" t="s">
        <v>4505</v>
      </c>
      <c r="C41" s="2" t="s">
        <v>3635</v>
      </c>
      <c r="D41" s="2" t="s">
        <v>3635</v>
      </c>
      <c r="E41" s="2" t="s">
        <v>3635</v>
      </c>
      <c r="F41" s="2" t="s">
        <v>4506</v>
      </c>
      <c r="G41" s="2" t="s">
        <v>3635</v>
      </c>
      <c r="H41" s="2" t="s">
        <v>3635</v>
      </c>
      <c r="I41" s="2" t="s">
        <v>3427</v>
      </c>
      <c r="J41" s="2" t="s">
        <v>3637</v>
      </c>
      <c r="K41" s="2" t="s">
        <v>3635</v>
      </c>
      <c r="L41" s="2" t="s">
        <v>3635</v>
      </c>
      <c r="M41" s="2" t="s">
        <v>3638</v>
      </c>
      <c r="N41" s="2" t="s">
        <v>21</v>
      </c>
      <c r="O41" s="2" t="s">
        <v>3635</v>
      </c>
      <c r="P41" s="2" t="s">
        <v>3635</v>
      </c>
      <c r="Q41" s="2" t="s">
        <v>3635</v>
      </c>
      <c r="R41" s="2" t="s">
        <v>3635</v>
      </c>
      <c r="S41" s="2" t="s">
        <v>3635</v>
      </c>
      <c r="T41" s="2" t="s">
        <v>4507</v>
      </c>
      <c r="U41" s="2" t="s">
        <v>4508</v>
      </c>
      <c r="V41" s="2" t="s">
        <v>4509</v>
      </c>
      <c r="W41" s="2" t="s">
        <v>4510</v>
      </c>
      <c r="X41" s="2" t="s">
        <v>3677</v>
      </c>
      <c r="Y41" s="2" t="s">
        <v>3678</v>
      </c>
      <c r="Z41" s="2" t="s">
        <v>4511</v>
      </c>
      <c r="AA41" s="2" t="s">
        <v>4512</v>
      </c>
      <c r="AB41" s="2" t="s">
        <v>4513</v>
      </c>
      <c r="AC41" s="2" t="s">
        <v>4514</v>
      </c>
      <c r="AD41" s="2" t="s">
        <v>4515</v>
      </c>
      <c r="AE41" s="2" t="s">
        <v>4516</v>
      </c>
      <c r="AF41" s="2" t="s">
        <v>3635</v>
      </c>
      <c r="AG41" s="2">
        <v>103.0</v>
      </c>
      <c r="AH41" s="2">
        <v>0.0</v>
      </c>
      <c r="AI41" s="2">
        <v>0.0</v>
      </c>
      <c r="AJ41" s="2">
        <v>2.0</v>
      </c>
      <c r="AK41" s="2">
        <v>2.0</v>
      </c>
      <c r="AL41" s="2" t="s">
        <v>3650</v>
      </c>
      <c r="AM41" s="2" t="s">
        <v>3651</v>
      </c>
      <c r="AN41" s="2" t="s">
        <v>3652</v>
      </c>
      <c r="AO41" s="2" t="s">
        <v>3653</v>
      </c>
      <c r="AP41" s="2" t="s">
        <v>3654</v>
      </c>
      <c r="AQ41" s="2" t="s">
        <v>3635</v>
      </c>
      <c r="AR41" s="2" t="s">
        <v>3655</v>
      </c>
      <c r="AS41" s="2" t="s">
        <v>3414</v>
      </c>
      <c r="AT41" s="2" t="s">
        <v>4517</v>
      </c>
      <c r="AU41" s="2">
        <v>2024.0</v>
      </c>
      <c r="AV41" s="2">
        <v>33.0</v>
      </c>
      <c r="AW41" s="2">
        <v>3.0</v>
      </c>
      <c r="AX41" s="2" t="s">
        <v>3635</v>
      </c>
      <c r="AY41" s="2" t="s">
        <v>3635</v>
      </c>
      <c r="AZ41" s="2" t="s">
        <v>3635</v>
      </c>
      <c r="BA41" s="2" t="s">
        <v>3635</v>
      </c>
      <c r="BB41" s="2" t="s">
        <v>3635</v>
      </c>
      <c r="BC41" s="2" t="s">
        <v>3635</v>
      </c>
      <c r="BD41" s="2">
        <v>74.0</v>
      </c>
      <c r="BE41" s="2" t="s">
        <v>3429</v>
      </c>
      <c r="BF41" s="3" t="str">
        <f>HYPERLINK("http://dx.doi.org/10.1145/3635709","http://dx.doi.org/10.1145/3635709")</f>
        <v>http://dx.doi.org/10.1145/3635709</v>
      </c>
      <c r="BG41" s="2" t="s">
        <v>3635</v>
      </c>
      <c r="BH41" s="2" t="s">
        <v>3635</v>
      </c>
      <c r="BI41" s="2">
        <v>35.0</v>
      </c>
      <c r="BJ41" s="2" t="s">
        <v>3657</v>
      </c>
      <c r="BK41" s="2" t="s">
        <v>3658</v>
      </c>
      <c r="BL41" s="2" t="s">
        <v>3659</v>
      </c>
      <c r="BM41" s="2" t="s">
        <v>4518</v>
      </c>
      <c r="BN41" s="2" t="s">
        <v>3635</v>
      </c>
      <c r="BO41" s="2" t="s">
        <v>4519</v>
      </c>
      <c r="BP41" s="2" t="s">
        <v>3635</v>
      </c>
      <c r="BQ41" s="2" t="s">
        <v>3635</v>
      </c>
      <c r="BR41" s="2" t="s">
        <v>3662</v>
      </c>
      <c r="BS41" s="2" t="s">
        <v>4520</v>
      </c>
      <c r="BT41" s="2" t="str">
        <f>HYPERLINK("https%3A%2F%2Fwww.webofscience.com%2Fwos%2Fwoscc%2Ffull-record%2FWOS:001208684200021","View Full Record in Web of Science")</f>
        <v>View Full Record in Web of Science</v>
      </c>
    </row>
    <row r="42" ht="15.75" customHeight="1">
      <c r="A42" s="2" t="s">
        <v>3664</v>
      </c>
      <c r="B42" s="2" t="s">
        <v>4521</v>
      </c>
      <c r="C42" s="2" t="s">
        <v>3635</v>
      </c>
      <c r="D42" s="2" t="s">
        <v>4522</v>
      </c>
      <c r="E42" s="2" t="s">
        <v>3635</v>
      </c>
      <c r="F42" s="2" t="s">
        <v>4523</v>
      </c>
      <c r="G42" s="2" t="s">
        <v>3635</v>
      </c>
      <c r="H42" s="2" t="s">
        <v>3635</v>
      </c>
      <c r="I42" s="2" t="s">
        <v>3442</v>
      </c>
      <c r="J42" s="2" t="s">
        <v>4524</v>
      </c>
      <c r="K42" s="2" t="s">
        <v>3635</v>
      </c>
      <c r="L42" s="2" t="s">
        <v>3635</v>
      </c>
      <c r="M42" s="2" t="s">
        <v>3638</v>
      </c>
      <c r="N42" s="2" t="s">
        <v>3669</v>
      </c>
      <c r="O42" s="2" t="s">
        <v>4525</v>
      </c>
      <c r="P42" s="2" t="s">
        <v>4526</v>
      </c>
      <c r="Q42" s="2" t="s">
        <v>3843</v>
      </c>
      <c r="R42" s="2" t="s">
        <v>4527</v>
      </c>
      <c r="S42" s="2" t="s">
        <v>3635</v>
      </c>
      <c r="T42" s="2" t="s">
        <v>3635</v>
      </c>
      <c r="U42" s="2" t="s">
        <v>3635</v>
      </c>
      <c r="V42" s="2" t="s">
        <v>4528</v>
      </c>
      <c r="W42" s="2" t="s">
        <v>4529</v>
      </c>
      <c r="X42" s="2" t="s">
        <v>4530</v>
      </c>
      <c r="Y42" s="2" t="s">
        <v>4531</v>
      </c>
      <c r="Z42" s="2" t="s">
        <v>4532</v>
      </c>
      <c r="AA42" s="2" t="s">
        <v>4533</v>
      </c>
      <c r="AB42" s="2" t="s">
        <v>4534</v>
      </c>
      <c r="AC42" s="2" t="s">
        <v>4535</v>
      </c>
      <c r="AD42" s="2" t="s">
        <v>4536</v>
      </c>
      <c r="AE42" s="2" t="s">
        <v>4537</v>
      </c>
      <c r="AF42" s="2" t="s">
        <v>3635</v>
      </c>
      <c r="AG42" s="2">
        <v>30.0</v>
      </c>
      <c r="AH42" s="2">
        <v>0.0</v>
      </c>
      <c r="AI42" s="2">
        <v>0.0</v>
      </c>
      <c r="AJ42" s="2">
        <v>1.0</v>
      </c>
      <c r="AK42" s="2">
        <v>1.0</v>
      </c>
      <c r="AL42" s="2" t="s">
        <v>3650</v>
      </c>
      <c r="AM42" s="2" t="s">
        <v>3651</v>
      </c>
      <c r="AN42" s="2" t="s">
        <v>4137</v>
      </c>
      <c r="AO42" s="2" t="s">
        <v>3635</v>
      </c>
      <c r="AP42" s="2" t="s">
        <v>3635</v>
      </c>
      <c r="AQ42" s="2" t="s">
        <v>4538</v>
      </c>
      <c r="AR42" s="2" t="s">
        <v>3635</v>
      </c>
      <c r="AS42" s="2" t="s">
        <v>3635</v>
      </c>
      <c r="AT42" s="2" t="s">
        <v>3635</v>
      </c>
      <c r="AU42" s="2">
        <v>2021.0</v>
      </c>
      <c r="AV42" s="2" t="s">
        <v>3635</v>
      </c>
      <c r="AW42" s="2" t="s">
        <v>3635</v>
      </c>
      <c r="AX42" s="2" t="s">
        <v>3635</v>
      </c>
      <c r="AY42" s="2" t="s">
        <v>3635</v>
      </c>
      <c r="AZ42" s="2" t="s">
        <v>3635</v>
      </c>
      <c r="BA42" s="2" t="s">
        <v>3635</v>
      </c>
      <c r="BB42" s="2" t="s">
        <v>3635</v>
      </c>
      <c r="BC42" s="2" t="s">
        <v>3635</v>
      </c>
      <c r="BD42" s="2">
        <v>11.0</v>
      </c>
      <c r="BE42" s="2" t="s">
        <v>354</v>
      </c>
      <c r="BF42" s="3" t="str">
        <f>HYPERLINK("http://dx.doi.org/10.1145/3472538.3472550","http://dx.doi.org/10.1145/3472538.3472550")</f>
        <v>http://dx.doi.org/10.1145/3472538.3472550</v>
      </c>
      <c r="BG42" s="2" t="s">
        <v>3635</v>
      </c>
      <c r="BH42" s="2" t="s">
        <v>3635</v>
      </c>
      <c r="BI42" s="2">
        <v>9.0</v>
      </c>
      <c r="BJ42" s="2" t="s">
        <v>4539</v>
      </c>
      <c r="BK42" s="2" t="s">
        <v>3692</v>
      </c>
      <c r="BL42" s="2" t="s">
        <v>3659</v>
      </c>
      <c r="BM42" s="2" t="s">
        <v>4540</v>
      </c>
      <c r="BN42" s="2" t="s">
        <v>3635</v>
      </c>
      <c r="BO42" s="2" t="s">
        <v>4341</v>
      </c>
      <c r="BP42" s="2" t="s">
        <v>3635</v>
      </c>
      <c r="BQ42" s="2" t="s">
        <v>3635</v>
      </c>
      <c r="BR42" s="2" t="s">
        <v>3662</v>
      </c>
      <c r="BS42" s="2" t="s">
        <v>4541</v>
      </c>
      <c r="BT42" s="2" t="str">
        <f>HYPERLINK("https%3A%2F%2Fwww.webofscience.com%2Fwos%2Fwoscc%2Ffull-record%2FWOS:001124866500011","View Full Record in Web of Science")</f>
        <v>View Full Record in Web of Science</v>
      </c>
    </row>
    <row r="43" ht="15.75" customHeight="1">
      <c r="A43" s="2" t="s">
        <v>3664</v>
      </c>
      <c r="B43" s="2" t="s">
        <v>4542</v>
      </c>
      <c r="C43" s="2" t="s">
        <v>3635</v>
      </c>
      <c r="D43" s="2" t="s">
        <v>4543</v>
      </c>
      <c r="E43" s="2" t="s">
        <v>3635</v>
      </c>
      <c r="F43" s="2" t="s">
        <v>4544</v>
      </c>
      <c r="G43" s="2" t="s">
        <v>3635</v>
      </c>
      <c r="H43" s="2" t="s">
        <v>3635</v>
      </c>
      <c r="I43" s="2" t="s">
        <v>4545</v>
      </c>
      <c r="J43" s="2" t="s">
        <v>4546</v>
      </c>
      <c r="K43" s="2" t="s">
        <v>4258</v>
      </c>
      <c r="L43" s="2" t="s">
        <v>3635</v>
      </c>
      <c r="M43" s="2" t="s">
        <v>3638</v>
      </c>
      <c r="N43" s="2" t="s">
        <v>3669</v>
      </c>
      <c r="O43" s="2" t="s">
        <v>4547</v>
      </c>
      <c r="P43" s="2" t="s">
        <v>4548</v>
      </c>
      <c r="Q43" s="2" t="s">
        <v>4549</v>
      </c>
      <c r="R43" s="2" t="s">
        <v>3635</v>
      </c>
      <c r="S43" s="2" t="s">
        <v>3635</v>
      </c>
      <c r="T43" s="2" t="s">
        <v>4550</v>
      </c>
      <c r="U43" s="2" t="s">
        <v>4551</v>
      </c>
      <c r="V43" s="2" t="s">
        <v>4552</v>
      </c>
      <c r="W43" s="2" t="s">
        <v>4553</v>
      </c>
      <c r="X43" s="2" t="s">
        <v>4554</v>
      </c>
      <c r="Y43" s="2" t="s">
        <v>4555</v>
      </c>
      <c r="Z43" s="2" t="s">
        <v>4556</v>
      </c>
      <c r="AA43" s="2" t="s">
        <v>3635</v>
      </c>
      <c r="AB43" s="2" t="s">
        <v>3635</v>
      </c>
      <c r="AC43" s="2" t="s">
        <v>4557</v>
      </c>
      <c r="AD43" s="2" t="s">
        <v>4557</v>
      </c>
      <c r="AE43" s="2" t="s">
        <v>4558</v>
      </c>
      <c r="AF43" s="2" t="s">
        <v>3635</v>
      </c>
      <c r="AG43" s="2">
        <v>41.0</v>
      </c>
      <c r="AH43" s="2">
        <v>1.0</v>
      </c>
      <c r="AI43" s="2">
        <v>1.0</v>
      </c>
      <c r="AJ43" s="2">
        <v>0.0</v>
      </c>
      <c r="AK43" s="2">
        <v>2.0</v>
      </c>
      <c r="AL43" s="2" t="s">
        <v>4170</v>
      </c>
      <c r="AM43" s="2" t="s">
        <v>4171</v>
      </c>
      <c r="AN43" s="2" t="s">
        <v>4172</v>
      </c>
      <c r="AO43" s="2" t="s">
        <v>4274</v>
      </c>
      <c r="AP43" s="2" t="s">
        <v>4275</v>
      </c>
      <c r="AQ43" s="2" t="s">
        <v>4559</v>
      </c>
      <c r="AR43" s="2" t="s">
        <v>4277</v>
      </c>
      <c r="AS43" s="2" t="s">
        <v>3635</v>
      </c>
      <c r="AT43" s="2" t="s">
        <v>3635</v>
      </c>
      <c r="AU43" s="2">
        <v>2022.0</v>
      </c>
      <c r="AV43" s="2">
        <v>13306.0</v>
      </c>
      <c r="AW43" s="2" t="s">
        <v>3635</v>
      </c>
      <c r="AX43" s="2" t="s">
        <v>3635</v>
      </c>
      <c r="AY43" s="2" t="s">
        <v>3635</v>
      </c>
      <c r="AZ43" s="2" t="s">
        <v>3635</v>
      </c>
      <c r="BA43" s="2" t="s">
        <v>3635</v>
      </c>
      <c r="BB43" s="2">
        <v>352.0</v>
      </c>
      <c r="BC43" s="2">
        <v>366.0</v>
      </c>
      <c r="BD43" s="2" t="s">
        <v>3635</v>
      </c>
      <c r="BE43" s="2" t="s">
        <v>144</v>
      </c>
      <c r="BF43" s="3" t="str">
        <f>HYPERLINK("http://dx.doi.org/10.1007/978-3-031-06509-5_25","http://dx.doi.org/10.1007/978-3-031-06509-5_25")</f>
        <v>http://dx.doi.org/10.1007/978-3-031-06509-5_25</v>
      </c>
      <c r="BG43" s="2" t="s">
        <v>3635</v>
      </c>
      <c r="BH43" s="2" t="s">
        <v>3635</v>
      </c>
      <c r="BI43" s="2">
        <v>15.0</v>
      </c>
      <c r="BJ43" s="2" t="s">
        <v>4560</v>
      </c>
      <c r="BK43" s="2" t="s">
        <v>4561</v>
      </c>
      <c r="BL43" s="2" t="s">
        <v>4562</v>
      </c>
      <c r="BM43" s="2" t="s">
        <v>4563</v>
      </c>
      <c r="BN43" s="2" t="s">
        <v>3635</v>
      </c>
      <c r="BO43" s="2" t="s">
        <v>3635</v>
      </c>
      <c r="BP43" s="2" t="s">
        <v>3635</v>
      </c>
      <c r="BQ43" s="2" t="s">
        <v>3635</v>
      </c>
      <c r="BR43" s="2" t="s">
        <v>3662</v>
      </c>
      <c r="BS43" s="2" t="s">
        <v>4564</v>
      </c>
      <c r="BT43" s="2" t="str">
        <f>HYPERLINK("https%3A%2F%2Fwww.webofscience.com%2Fwos%2Fwoscc%2Ffull-record%2FWOS:000931950100024","View Full Record in Web of Science")</f>
        <v>View Full Record in Web of Science</v>
      </c>
    </row>
    <row r="44" ht="15.75" customHeight="1">
      <c r="A44" s="2" t="s">
        <v>3664</v>
      </c>
      <c r="B44" s="2" t="s">
        <v>4565</v>
      </c>
      <c r="C44" s="2" t="s">
        <v>3635</v>
      </c>
      <c r="D44" s="2" t="s">
        <v>3635</v>
      </c>
      <c r="E44" s="2" t="s">
        <v>1974</v>
      </c>
      <c r="F44" s="2" t="s">
        <v>4566</v>
      </c>
      <c r="G44" s="2" t="s">
        <v>3635</v>
      </c>
      <c r="H44" s="2" t="s">
        <v>3635</v>
      </c>
      <c r="I44" s="2" t="s">
        <v>849</v>
      </c>
      <c r="J44" s="2" t="s">
        <v>4567</v>
      </c>
      <c r="K44" s="2" t="s">
        <v>4568</v>
      </c>
      <c r="L44" s="2" t="s">
        <v>3635</v>
      </c>
      <c r="M44" s="2" t="s">
        <v>3638</v>
      </c>
      <c r="N44" s="2" t="s">
        <v>3669</v>
      </c>
      <c r="O44" s="2" t="s">
        <v>4569</v>
      </c>
      <c r="P44" s="2" t="s">
        <v>4570</v>
      </c>
      <c r="Q44" s="2" t="s">
        <v>4571</v>
      </c>
      <c r="R44" s="2" t="s">
        <v>3866</v>
      </c>
      <c r="S44" s="2" t="s">
        <v>3635</v>
      </c>
      <c r="T44" s="2" t="s">
        <v>4572</v>
      </c>
      <c r="U44" s="2" t="s">
        <v>4573</v>
      </c>
      <c r="V44" s="2" t="s">
        <v>4574</v>
      </c>
      <c r="W44" s="2" t="s">
        <v>4575</v>
      </c>
      <c r="X44" s="2" t="s">
        <v>4576</v>
      </c>
      <c r="Y44" s="2" t="s">
        <v>4577</v>
      </c>
      <c r="Z44" s="2" t="s">
        <v>3635</v>
      </c>
      <c r="AA44" s="2" t="s">
        <v>4578</v>
      </c>
      <c r="AB44" s="2" t="s">
        <v>4579</v>
      </c>
      <c r="AC44" s="2" t="s">
        <v>4580</v>
      </c>
      <c r="AD44" s="2" t="s">
        <v>4581</v>
      </c>
      <c r="AE44" s="2" t="s">
        <v>4582</v>
      </c>
      <c r="AF44" s="2" t="s">
        <v>3635</v>
      </c>
      <c r="AG44" s="2">
        <v>41.0</v>
      </c>
      <c r="AH44" s="2">
        <v>17.0</v>
      </c>
      <c r="AI44" s="2">
        <v>23.0</v>
      </c>
      <c r="AJ44" s="2">
        <v>0.0</v>
      </c>
      <c r="AK44" s="2">
        <v>4.0</v>
      </c>
      <c r="AL44" s="2" t="s">
        <v>1974</v>
      </c>
      <c r="AM44" s="2" t="s">
        <v>3651</v>
      </c>
      <c r="AN44" s="2" t="s">
        <v>3762</v>
      </c>
      <c r="AO44" s="2" t="s">
        <v>4583</v>
      </c>
      <c r="AP44" s="2" t="s">
        <v>3635</v>
      </c>
      <c r="AQ44" s="2" t="s">
        <v>4584</v>
      </c>
      <c r="AR44" s="2" t="s">
        <v>4585</v>
      </c>
      <c r="AS44" s="2" t="s">
        <v>3635</v>
      </c>
      <c r="AT44" s="2" t="s">
        <v>3635</v>
      </c>
      <c r="AU44" s="2">
        <v>2018.0</v>
      </c>
      <c r="AV44" s="2" t="s">
        <v>3635</v>
      </c>
      <c r="AW44" s="2" t="s">
        <v>3635</v>
      </c>
      <c r="AX44" s="2" t="s">
        <v>3635</v>
      </c>
      <c r="AY44" s="2" t="s">
        <v>3635</v>
      </c>
      <c r="AZ44" s="2" t="s">
        <v>3635</v>
      </c>
      <c r="BA44" s="2" t="s">
        <v>3635</v>
      </c>
      <c r="BB44" s="2">
        <v>1048.0</v>
      </c>
      <c r="BC44" s="2">
        <v>1062.0</v>
      </c>
      <c r="BD44" s="2" t="s">
        <v>3635</v>
      </c>
      <c r="BE44" s="2" t="s">
        <v>852</v>
      </c>
      <c r="BF44" s="3" t="str">
        <f>HYPERLINK("http://dx.doi.org/10.1109/SP.2018.00050","http://dx.doi.org/10.1109/SP.2018.00050")</f>
        <v>http://dx.doi.org/10.1109/SP.2018.00050</v>
      </c>
      <c r="BG44" s="2" t="s">
        <v>3635</v>
      </c>
      <c r="BH44" s="2" t="s">
        <v>3635</v>
      </c>
      <c r="BI44" s="2">
        <v>15.0</v>
      </c>
      <c r="BJ44" s="2" t="s">
        <v>4586</v>
      </c>
      <c r="BK44" s="2" t="s">
        <v>3692</v>
      </c>
      <c r="BL44" s="2" t="s">
        <v>3944</v>
      </c>
      <c r="BM44" s="2" t="s">
        <v>4587</v>
      </c>
      <c r="BN44" s="2" t="s">
        <v>3635</v>
      </c>
      <c r="BO44" s="2" t="s">
        <v>4141</v>
      </c>
      <c r="BP44" s="2" t="s">
        <v>3635</v>
      </c>
      <c r="BQ44" s="2" t="s">
        <v>3635</v>
      </c>
      <c r="BR44" s="2" t="s">
        <v>3662</v>
      </c>
      <c r="BS44" s="2" t="s">
        <v>4588</v>
      </c>
      <c r="BT44" s="2" t="str">
        <f>HYPERLINK("https%3A%2F%2Fwww.webofscience.com%2Fwos%2Fwoscc%2Ffull-record%2FWOS:000442163200062","View Full Record in Web of Science")</f>
        <v>View Full Record in Web of Science</v>
      </c>
    </row>
    <row r="45" ht="15.75" customHeight="1">
      <c r="A45" s="2" t="s">
        <v>3664</v>
      </c>
      <c r="B45" s="2" t="s">
        <v>4589</v>
      </c>
      <c r="C45" s="2" t="s">
        <v>3635</v>
      </c>
      <c r="D45" s="2" t="s">
        <v>3635</v>
      </c>
      <c r="E45" s="2" t="s">
        <v>4590</v>
      </c>
      <c r="F45" s="2" t="s">
        <v>4591</v>
      </c>
      <c r="G45" s="2" t="s">
        <v>3635</v>
      </c>
      <c r="H45" s="2" t="s">
        <v>3635</v>
      </c>
      <c r="I45" s="2" t="s">
        <v>4592</v>
      </c>
      <c r="J45" s="2" t="s">
        <v>4593</v>
      </c>
      <c r="K45" s="2" t="s">
        <v>3635</v>
      </c>
      <c r="L45" s="2" t="s">
        <v>3635</v>
      </c>
      <c r="M45" s="2" t="s">
        <v>3638</v>
      </c>
      <c r="N45" s="2" t="s">
        <v>3669</v>
      </c>
      <c r="O45" s="2" t="s">
        <v>4594</v>
      </c>
      <c r="P45" s="2" t="s">
        <v>4595</v>
      </c>
      <c r="Q45" s="2" t="s">
        <v>3843</v>
      </c>
      <c r="R45" s="2" t="s">
        <v>4590</v>
      </c>
      <c r="S45" s="2" t="s">
        <v>3635</v>
      </c>
      <c r="T45" s="2" t="s">
        <v>3635</v>
      </c>
      <c r="U45" s="2" t="s">
        <v>3635</v>
      </c>
      <c r="V45" s="2" t="s">
        <v>4596</v>
      </c>
      <c r="W45" s="2" t="s">
        <v>4597</v>
      </c>
      <c r="X45" s="2" t="s">
        <v>4598</v>
      </c>
      <c r="Y45" s="2" t="s">
        <v>4599</v>
      </c>
      <c r="Z45" s="2" t="s">
        <v>3635</v>
      </c>
      <c r="AA45" s="2" t="s">
        <v>3635</v>
      </c>
      <c r="AB45" s="2" t="s">
        <v>3635</v>
      </c>
      <c r="AC45" s="2" t="s">
        <v>4600</v>
      </c>
      <c r="AD45" s="2" t="s">
        <v>4601</v>
      </c>
      <c r="AE45" s="2" t="s">
        <v>4602</v>
      </c>
      <c r="AF45" s="2" t="s">
        <v>3635</v>
      </c>
      <c r="AG45" s="2">
        <v>63.0</v>
      </c>
      <c r="AH45" s="2">
        <v>4.0</v>
      </c>
      <c r="AI45" s="2">
        <v>4.0</v>
      </c>
      <c r="AJ45" s="2">
        <v>0.0</v>
      </c>
      <c r="AK45" s="2">
        <v>0.0</v>
      </c>
      <c r="AL45" s="2" t="s">
        <v>4603</v>
      </c>
      <c r="AM45" s="2" t="s">
        <v>4604</v>
      </c>
      <c r="AN45" s="2" t="s">
        <v>4605</v>
      </c>
      <c r="AO45" s="2" t="s">
        <v>3635</v>
      </c>
      <c r="AP45" s="2" t="s">
        <v>3635</v>
      </c>
      <c r="AQ45" s="2" t="s">
        <v>4606</v>
      </c>
      <c r="AR45" s="2" t="s">
        <v>3635</v>
      </c>
      <c r="AS45" s="2" t="s">
        <v>3635</v>
      </c>
      <c r="AT45" s="2" t="s">
        <v>3635</v>
      </c>
      <c r="AU45" s="2">
        <v>2021.0</v>
      </c>
      <c r="AV45" s="2" t="s">
        <v>3635</v>
      </c>
      <c r="AW45" s="2" t="s">
        <v>3635</v>
      </c>
      <c r="AX45" s="2" t="s">
        <v>3635</v>
      </c>
      <c r="AY45" s="2" t="s">
        <v>3635</v>
      </c>
      <c r="AZ45" s="2" t="s">
        <v>3635</v>
      </c>
      <c r="BA45" s="2" t="s">
        <v>3635</v>
      </c>
      <c r="BB45" s="2">
        <v>3183.0</v>
      </c>
      <c r="BC45" s="2">
        <v>3200.0</v>
      </c>
      <c r="BD45" s="2" t="s">
        <v>3635</v>
      </c>
      <c r="BE45" s="2" t="s">
        <v>3635</v>
      </c>
      <c r="BF45" s="2" t="s">
        <v>3635</v>
      </c>
      <c r="BG45" s="2" t="s">
        <v>3635</v>
      </c>
      <c r="BH45" s="2" t="s">
        <v>3635</v>
      </c>
      <c r="BI45" s="2">
        <v>18.0</v>
      </c>
      <c r="BJ45" s="2" t="s">
        <v>3833</v>
      </c>
      <c r="BK45" s="2" t="s">
        <v>3692</v>
      </c>
      <c r="BL45" s="2" t="s">
        <v>3659</v>
      </c>
      <c r="BM45" s="2" t="s">
        <v>4607</v>
      </c>
      <c r="BN45" s="2" t="s">
        <v>3635</v>
      </c>
      <c r="BO45" s="2" t="s">
        <v>3635</v>
      </c>
      <c r="BP45" s="2" t="s">
        <v>3635</v>
      </c>
      <c r="BQ45" s="2" t="s">
        <v>3635</v>
      </c>
      <c r="BR45" s="2" t="s">
        <v>3662</v>
      </c>
      <c r="BS45" s="2" t="s">
        <v>4608</v>
      </c>
      <c r="BT45" s="2" t="str">
        <f>HYPERLINK("https%3A%2F%2Fwww.webofscience.com%2Fwos%2Fwoscc%2Ffull-record%2FWOS:000722006803026","View Full Record in Web of Science")</f>
        <v>View Full Record in Web of Science</v>
      </c>
    </row>
    <row r="46" ht="15.75" customHeight="1">
      <c r="A46" s="2" t="s">
        <v>3633</v>
      </c>
      <c r="B46" s="2" t="s">
        <v>4609</v>
      </c>
      <c r="C46" s="2" t="s">
        <v>3635</v>
      </c>
      <c r="D46" s="2" t="s">
        <v>3635</v>
      </c>
      <c r="E46" s="2" t="s">
        <v>3635</v>
      </c>
      <c r="F46" s="2" t="s">
        <v>4610</v>
      </c>
      <c r="G46" s="2" t="s">
        <v>3635</v>
      </c>
      <c r="H46" s="2" t="s">
        <v>3635</v>
      </c>
      <c r="I46" s="2" t="s">
        <v>4611</v>
      </c>
      <c r="J46" s="2" t="s">
        <v>4612</v>
      </c>
      <c r="K46" s="2" t="s">
        <v>3635</v>
      </c>
      <c r="L46" s="2" t="s">
        <v>3635</v>
      </c>
      <c r="M46" s="2" t="s">
        <v>3638</v>
      </c>
      <c r="N46" s="2" t="s">
        <v>21</v>
      </c>
      <c r="O46" s="2" t="s">
        <v>3635</v>
      </c>
      <c r="P46" s="2" t="s">
        <v>3635</v>
      </c>
      <c r="Q46" s="2" t="s">
        <v>3635</v>
      </c>
      <c r="R46" s="2" t="s">
        <v>3635</v>
      </c>
      <c r="S46" s="2" t="s">
        <v>3635</v>
      </c>
      <c r="T46" s="2" t="s">
        <v>4613</v>
      </c>
      <c r="U46" s="2" t="s">
        <v>4614</v>
      </c>
      <c r="V46" s="2" t="s">
        <v>4615</v>
      </c>
      <c r="W46" s="2" t="s">
        <v>4616</v>
      </c>
      <c r="X46" s="2" t="s">
        <v>4617</v>
      </c>
      <c r="Y46" s="2" t="s">
        <v>4618</v>
      </c>
      <c r="Z46" s="2" t="s">
        <v>4619</v>
      </c>
      <c r="AA46" s="2" t="s">
        <v>3635</v>
      </c>
      <c r="AB46" s="2" t="s">
        <v>3635</v>
      </c>
      <c r="AC46" s="2" t="s">
        <v>4620</v>
      </c>
      <c r="AD46" s="2" t="s">
        <v>4621</v>
      </c>
      <c r="AE46" s="2" t="s">
        <v>3635</v>
      </c>
      <c r="AF46" s="2" t="s">
        <v>3635</v>
      </c>
      <c r="AG46" s="2">
        <v>41.0</v>
      </c>
      <c r="AH46" s="2">
        <v>14.0</v>
      </c>
      <c r="AI46" s="2">
        <v>18.0</v>
      </c>
      <c r="AJ46" s="2">
        <v>0.0</v>
      </c>
      <c r="AK46" s="2">
        <v>26.0</v>
      </c>
      <c r="AL46" s="2" t="s">
        <v>3709</v>
      </c>
      <c r="AM46" s="2" t="s">
        <v>3710</v>
      </c>
      <c r="AN46" s="2" t="s">
        <v>3711</v>
      </c>
      <c r="AO46" s="2" t="s">
        <v>4622</v>
      </c>
      <c r="AP46" s="2" t="s">
        <v>4623</v>
      </c>
      <c r="AQ46" s="2" t="s">
        <v>3635</v>
      </c>
      <c r="AR46" s="2" t="s">
        <v>4624</v>
      </c>
      <c r="AS46" s="2" t="s">
        <v>4625</v>
      </c>
      <c r="AT46" s="2" t="s">
        <v>4626</v>
      </c>
      <c r="AU46" s="2">
        <v>2018.0</v>
      </c>
      <c r="AV46" s="2">
        <v>37.0</v>
      </c>
      <c r="AW46" s="2">
        <v>5.0</v>
      </c>
      <c r="AX46" s="2" t="s">
        <v>3635</v>
      </c>
      <c r="AY46" s="2" t="s">
        <v>3635</v>
      </c>
      <c r="AZ46" s="2" t="s">
        <v>3635</v>
      </c>
      <c r="BA46" s="2" t="s">
        <v>3635</v>
      </c>
      <c r="BB46" s="2">
        <v>829.0</v>
      </c>
      <c r="BC46" s="2">
        <v>846.0</v>
      </c>
      <c r="BD46" s="2" t="s">
        <v>3635</v>
      </c>
      <c r="BE46" s="2" t="s">
        <v>4627</v>
      </c>
      <c r="BF46" s="3" t="str">
        <f>HYPERLINK("http://dx.doi.org/10.1002/sim.7567","http://dx.doi.org/10.1002/sim.7567")</f>
        <v>http://dx.doi.org/10.1002/sim.7567</v>
      </c>
      <c r="BG46" s="2" t="s">
        <v>3635</v>
      </c>
      <c r="BH46" s="2" t="s">
        <v>3635</v>
      </c>
      <c r="BI46" s="2">
        <v>18.0</v>
      </c>
      <c r="BJ46" s="2" t="s">
        <v>4628</v>
      </c>
      <c r="BK46" s="2" t="s">
        <v>3658</v>
      </c>
      <c r="BL46" s="2" t="s">
        <v>4629</v>
      </c>
      <c r="BM46" s="2" t="s">
        <v>4630</v>
      </c>
      <c r="BN46" s="2">
        <v>2.9205454E7</v>
      </c>
      <c r="BO46" s="2" t="s">
        <v>4201</v>
      </c>
      <c r="BP46" s="2" t="s">
        <v>3635</v>
      </c>
      <c r="BQ46" s="2" t="s">
        <v>3635</v>
      </c>
      <c r="BR46" s="2" t="s">
        <v>3662</v>
      </c>
      <c r="BS46" s="2" t="s">
        <v>4631</v>
      </c>
      <c r="BT46" s="2" t="str">
        <f>HYPERLINK("https%3A%2F%2Fwww.webofscience.com%2Fwos%2Fwoscc%2Ffull-record%2FWOS:000424206800011","View Full Record in Web of Science")</f>
        <v>View Full Record in Web of Science</v>
      </c>
    </row>
    <row r="47" ht="15.75" customHeight="1">
      <c r="A47" s="2" t="s">
        <v>3633</v>
      </c>
      <c r="B47" s="2" t="s">
        <v>4632</v>
      </c>
      <c r="C47" s="2" t="s">
        <v>3635</v>
      </c>
      <c r="D47" s="2" t="s">
        <v>3635</v>
      </c>
      <c r="E47" s="2" t="s">
        <v>3635</v>
      </c>
      <c r="F47" s="2" t="s">
        <v>4633</v>
      </c>
      <c r="G47" s="2" t="s">
        <v>3635</v>
      </c>
      <c r="H47" s="2" t="s">
        <v>3635</v>
      </c>
      <c r="I47" s="2" t="s">
        <v>4634</v>
      </c>
      <c r="J47" s="2" t="s">
        <v>4635</v>
      </c>
      <c r="K47" s="2" t="s">
        <v>3635</v>
      </c>
      <c r="L47" s="2" t="s">
        <v>3635</v>
      </c>
      <c r="M47" s="2" t="s">
        <v>3638</v>
      </c>
      <c r="N47" s="2" t="s">
        <v>4207</v>
      </c>
      <c r="O47" s="2" t="s">
        <v>3635</v>
      </c>
      <c r="P47" s="2" t="s">
        <v>3635</v>
      </c>
      <c r="Q47" s="2" t="s">
        <v>3635</v>
      </c>
      <c r="R47" s="2" t="s">
        <v>3635</v>
      </c>
      <c r="S47" s="2" t="s">
        <v>3635</v>
      </c>
      <c r="T47" s="2" t="s">
        <v>4636</v>
      </c>
      <c r="U47" s="2" t="s">
        <v>4637</v>
      </c>
      <c r="V47" s="2" t="s">
        <v>4638</v>
      </c>
      <c r="W47" s="2" t="s">
        <v>4639</v>
      </c>
      <c r="X47" s="2" t="s">
        <v>4640</v>
      </c>
      <c r="Y47" s="2" t="s">
        <v>4641</v>
      </c>
      <c r="Z47" s="2" t="s">
        <v>4642</v>
      </c>
      <c r="AA47" s="2" t="s">
        <v>3635</v>
      </c>
      <c r="AB47" s="2" t="s">
        <v>4643</v>
      </c>
      <c r="AC47" s="2" t="s">
        <v>3635</v>
      </c>
      <c r="AD47" s="2" t="s">
        <v>3635</v>
      </c>
      <c r="AE47" s="2" t="s">
        <v>3635</v>
      </c>
      <c r="AF47" s="2" t="s">
        <v>3635</v>
      </c>
      <c r="AG47" s="2">
        <v>80.0</v>
      </c>
      <c r="AH47" s="2">
        <v>0.0</v>
      </c>
      <c r="AI47" s="2">
        <v>0.0</v>
      </c>
      <c r="AJ47" s="2">
        <v>0.0</v>
      </c>
      <c r="AK47" s="2">
        <v>0.0</v>
      </c>
      <c r="AL47" s="2" t="s">
        <v>4644</v>
      </c>
      <c r="AM47" s="2" t="s">
        <v>4645</v>
      </c>
      <c r="AN47" s="2" t="s">
        <v>4646</v>
      </c>
      <c r="AO47" s="2" t="s">
        <v>3635</v>
      </c>
      <c r="AP47" s="2" t="s">
        <v>4647</v>
      </c>
      <c r="AQ47" s="2" t="s">
        <v>3635</v>
      </c>
      <c r="AR47" s="2" t="s">
        <v>4648</v>
      </c>
      <c r="AS47" s="2" t="s">
        <v>4649</v>
      </c>
      <c r="AT47" s="2" t="s">
        <v>4650</v>
      </c>
      <c r="AU47" s="2">
        <v>2024.0</v>
      </c>
      <c r="AV47" s="2">
        <v>14.0</v>
      </c>
      <c r="AW47" s="2">
        <v>9.0</v>
      </c>
      <c r="AX47" s="2" t="s">
        <v>3635</v>
      </c>
      <c r="AY47" s="2" t="s">
        <v>3635</v>
      </c>
      <c r="AZ47" s="2" t="s">
        <v>3635</v>
      </c>
      <c r="BA47" s="2" t="s">
        <v>3635</v>
      </c>
      <c r="BB47" s="2" t="s">
        <v>3635</v>
      </c>
      <c r="BC47" s="2" t="s">
        <v>3635</v>
      </c>
      <c r="BD47" s="2">
        <v>3662.0</v>
      </c>
      <c r="BE47" s="2" t="s">
        <v>4651</v>
      </c>
      <c r="BF47" s="3" t="str">
        <f>HYPERLINK("http://dx.doi.org/10.3390/app14093662","http://dx.doi.org/10.3390/app14093662")</f>
        <v>http://dx.doi.org/10.3390/app14093662</v>
      </c>
      <c r="BG47" s="2" t="s">
        <v>3635</v>
      </c>
      <c r="BH47" s="2" t="s">
        <v>3635</v>
      </c>
      <c r="BI47" s="2">
        <v>16.0</v>
      </c>
      <c r="BJ47" s="2" t="s">
        <v>4652</v>
      </c>
      <c r="BK47" s="2" t="s">
        <v>3658</v>
      </c>
      <c r="BL47" s="2" t="s">
        <v>4653</v>
      </c>
      <c r="BM47" s="2" t="s">
        <v>4654</v>
      </c>
      <c r="BN47" s="2" t="s">
        <v>3635</v>
      </c>
      <c r="BO47" s="2" t="s">
        <v>3635</v>
      </c>
      <c r="BP47" s="2" t="s">
        <v>3635</v>
      </c>
      <c r="BQ47" s="2" t="s">
        <v>3635</v>
      </c>
      <c r="BR47" s="2" t="s">
        <v>3662</v>
      </c>
      <c r="BS47" s="2" t="s">
        <v>4655</v>
      </c>
      <c r="BT47" s="2" t="str">
        <f>HYPERLINK("https%3A%2F%2Fwww.webofscience.com%2Fwos%2Fwoscc%2Ffull-record%2FWOS:001219780000001","View Full Record in Web of Science")</f>
        <v>View Full Record in Web of Science</v>
      </c>
    </row>
    <row r="48" ht="15.75" customHeight="1">
      <c r="A48" s="2" t="s">
        <v>3633</v>
      </c>
      <c r="B48" s="2" t="s">
        <v>4656</v>
      </c>
      <c r="C48" s="2" t="s">
        <v>3635</v>
      </c>
      <c r="D48" s="2" t="s">
        <v>3635</v>
      </c>
      <c r="E48" s="2" t="s">
        <v>3635</v>
      </c>
      <c r="F48" s="2" t="s">
        <v>4657</v>
      </c>
      <c r="G48" s="2" t="s">
        <v>3635</v>
      </c>
      <c r="H48" s="2" t="s">
        <v>3635</v>
      </c>
      <c r="I48" s="2" t="s">
        <v>4658</v>
      </c>
      <c r="J48" s="2" t="s">
        <v>4659</v>
      </c>
      <c r="K48" s="2" t="s">
        <v>3635</v>
      </c>
      <c r="L48" s="2" t="s">
        <v>3635</v>
      </c>
      <c r="M48" s="2" t="s">
        <v>3638</v>
      </c>
      <c r="N48" s="2" t="s">
        <v>21</v>
      </c>
      <c r="O48" s="2" t="s">
        <v>3635</v>
      </c>
      <c r="P48" s="2" t="s">
        <v>3635</v>
      </c>
      <c r="Q48" s="2" t="s">
        <v>3635</v>
      </c>
      <c r="R48" s="2" t="s">
        <v>3635</v>
      </c>
      <c r="S48" s="2" t="s">
        <v>3635</v>
      </c>
      <c r="T48" s="2" t="s">
        <v>4660</v>
      </c>
      <c r="U48" s="2" t="s">
        <v>4661</v>
      </c>
      <c r="V48" s="2" t="s">
        <v>4662</v>
      </c>
      <c r="W48" s="2" t="s">
        <v>4663</v>
      </c>
      <c r="X48" s="2" t="s">
        <v>4664</v>
      </c>
      <c r="Y48" s="2" t="s">
        <v>4665</v>
      </c>
      <c r="Z48" s="2" t="s">
        <v>4666</v>
      </c>
      <c r="AA48" s="2" t="s">
        <v>3635</v>
      </c>
      <c r="AB48" s="2" t="s">
        <v>3635</v>
      </c>
      <c r="AC48" s="2" t="s">
        <v>3635</v>
      </c>
      <c r="AD48" s="2" t="s">
        <v>3635</v>
      </c>
      <c r="AE48" s="2" t="s">
        <v>3635</v>
      </c>
      <c r="AF48" s="2" t="s">
        <v>3635</v>
      </c>
      <c r="AG48" s="2">
        <v>41.0</v>
      </c>
      <c r="AH48" s="2">
        <v>1.0</v>
      </c>
      <c r="AI48" s="2">
        <v>1.0</v>
      </c>
      <c r="AJ48" s="2">
        <v>1.0</v>
      </c>
      <c r="AK48" s="2">
        <v>2.0</v>
      </c>
      <c r="AL48" s="2" t="s">
        <v>4667</v>
      </c>
      <c r="AM48" s="2" t="s">
        <v>4668</v>
      </c>
      <c r="AN48" s="2" t="s">
        <v>4669</v>
      </c>
      <c r="AO48" s="2" t="s">
        <v>4670</v>
      </c>
      <c r="AP48" s="2" t="s">
        <v>3635</v>
      </c>
      <c r="AQ48" s="2" t="s">
        <v>3635</v>
      </c>
      <c r="AR48" s="2" t="s">
        <v>4671</v>
      </c>
      <c r="AS48" s="2" t="s">
        <v>4672</v>
      </c>
      <c r="AT48" s="2" t="s">
        <v>4673</v>
      </c>
      <c r="AU48" s="2">
        <v>2018.0</v>
      </c>
      <c r="AV48" s="2">
        <v>9.0</v>
      </c>
      <c r="AW48" s="2" t="s">
        <v>3635</v>
      </c>
      <c r="AX48" s="2" t="s">
        <v>3635</v>
      </c>
      <c r="AY48" s="2" t="s">
        <v>3635</v>
      </c>
      <c r="AZ48" s="2" t="s">
        <v>3635</v>
      </c>
      <c r="BA48" s="2" t="s">
        <v>3635</v>
      </c>
      <c r="BB48" s="2" t="s">
        <v>3635</v>
      </c>
      <c r="BC48" s="2" t="s">
        <v>3635</v>
      </c>
      <c r="BD48" s="2">
        <v>1.179597218756896E15</v>
      </c>
      <c r="BE48" s="2" t="s">
        <v>4674</v>
      </c>
      <c r="BF48" s="3" t="str">
        <f>HYPERLINK("http://dx.doi.org/10.1177/1179597218756896","http://dx.doi.org/10.1177/1179597218756896")</f>
        <v>http://dx.doi.org/10.1177/1179597218756896</v>
      </c>
      <c r="BG48" s="2" t="s">
        <v>3635</v>
      </c>
      <c r="BH48" s="2" t="s">
        <v>3635</v>
      </c>
      <c r="BI48" s="2">
        <v>9.0</v>
      </c>
      <c r="BJ48" s="2" t="s">
        <v>4675</v>
      </c>
      <c r="BK48" s="2" t="s">
        <v>3993</v>
      </c>
      <c r="BL48" s="2" t="s">
        <v>3971</v>
      </c>
      <c r="BM48" s="2" t="s">
        <v>4676</v>
      </c>
      <c r="BN48" s="2">
        <v>2.9511363E7</v>
      </c>
      <c r="BO48" s="2" t="s">
        <v>4251</v>
      </c>
      <c r="BP48" s="2" t="s">
        <v>3635</v>
      </c>
      <c r="BQ48" s="2" t="s">
        <v>3635</v>
      </c>
      <c r="BR48" s="2" t="s">
        <v>3662</v>
      </c>
      <c r="BS48" s="2" t="s">
        <v>4677</v>
      </c>
      <c r="BT48" s="2" t="str">
        <f>HYPERLINK("https%3A%2F%2Fwww.webofscience.com%2Fwos%2Fwoscc%2Ffull-record%2FWOS:000427430800001","View Full Record in Web of Science")</f>
        <v>View Full Record in Web of Science</v>
      </c>
    </row>
    <row r="49" ht="15.75" customHeight="1">
      <c r="A49" s="2" t="s">
        <v>3664</v>
      </c>
      <c r="B49" s="2" t="s">
        <v>4678</v>
      </c>
      <c r="C49" s="2" t="s">
        <v>3635</v>
      </c>
      <c r="D49" s="2" t="s">
        <v>3635</v>
      </c>
      <c r="E49" s="2" t="s">
        <v>4118</v>
      </c>
      <c r="F49" s="2" t="s">
        <v>4679</v>
      </c>
      <c r="G49" s="2" t="s">
        <v>3635</v>
      </c>
      <c r="H49" s="2" t="s">
        <v>3635</v>
      </c>
      <c r="I49" s="2" t="s">
        <v>4680</v>
      </c>
      <c r="J49" s="2" t="s">
        <v>4681</v>
      </c>
      <c r="K49" s="2" t="s">
        <v>4682</v>
      </c>
      <c r="L49" s="2" t="s">
        <v>3635</v>
      </c>
      <c r="M49" s="2" t="s">
        <v>3638</v>
      </c>
      <c r="N49" s="2" t="s">
        <v>3669</v>
      </c>
      <c r="O49" s="2" t="s">
        <v>4683</v>
      </c>
      <c r="P49" s="2" t="s">
        <v>4684</v>
      </c>
      <c r="Q49" s="2" t="s">
        <v>4685</v>
      </c>
      <c r="R49" s="2" t="s">
        <v>3887</v>
      </c>
      <c r="S49" s="2" t="s">
        <v>3635</v>
      </c>
      <c r="T49" s="2" t="s">
        <v>4686</v>
      </c>
      <c r="U49" s="2" t="s">
        <v>3635</v>
      </c>
      <c r="V49" s="2" t="s">
        <v>4687</v>
      </c>
      <c r="W49" s="2" t="s">
        <v>4688</v>
      </c>
      <c r="X49" s="2" t="s">
        <v>4689</v>
      </c>
      <c r="Y49" s="2" t="s">
        <v>4690</v>
      </c>
      <c r="Z49" s="2" t="s">
        <v>4691</v>
      </c>
      <c r="AA49" s="2" t="s">
        <v>4692</v>
      </c>
      <c r="AB49" s="2" t="s">
        <v>4693</v>
      </c>
      <c r="AC49" s="2" t="s">
        <v>4694</v>
      </c>
      <c r="AD49" s="2" t="s">
        <v>4695</v>
      </c>
      <c r="AE49" s="2" t="s">
        <v>4696</v>
      </c>
      <c r="AF49" s="2" t="s">
        <v>3635</v>
      </c>
      <c r="AG49" s="2">
        <v>79.0</v>
      </c>
      <c r="AH49" s="2">
        <v>0.0</v>
      </c>
      <c r="AI49" s="2">
        <v>0.0</v>
      </c>
      <c r="AJ49" s="2">
        <v>2.0</v>
      </c>
      <c r="AK49" s="2">
        <v>3.0</v>
      </c>
      <c r="AL49" s="2" t="s">
        <v>3650</v>
      </c>
      <c r="AM49" s="2" t="s">
        <v>3651</v>
      </c>
      <c r="AN49" s="2" t="s">
        <v>4137</v>
      </c>
      <c r="AO49" s="2" t="s">
        <v>4697</v>
      </c>
      <c r="AP49" s="2" t="s">
        <v>3635</v>
      </c>
      <c r="AQ49" s="2" t="s">
        <v>4698</v>
      </c>
      <c r="AR49" s="2" t="s">
        <v>4699</v>
      </c>
      <c r="AS49" s="2" t="s">
        <v>3635</v>
      </c>
      <c r="AT49" s="2" t="s">
        <v>3635</v>
      </c>
      <c r="AU49" s="2">
        <v>2022.0</v>
      </c>
      <c r="AV49" s="2" t="s">
        <v>3635</v>
      </c>
      <c r="AW49" s="2" t="s">
        <v>3635</v>
      </c>
      <c r="AX49" s="2" t="s">
        <v>3635</v>
      </c>
      <c r="AY49" s="2" t="s">
        <v>3635</v>
      </c>
      <c r="AZ49" s="2" t="s">
        <v>3635</v>
      </c>
      <c r="BA49" s="2" t="s">
        <v>3635</v>
      </c>
      <c r="BB49" s="2">
        <v>217.0</v>
      </c>
      <c r="BC49" s="2">
        <v>231.0</v>
      </c>
      <c r="BD49" s="2" t="s">
        <v>3635</v>
      </c>
      <c r="BE49" s="2" t="s">
        <v>293</v>
      </c>
      <c r="BF49" s="3" t="str">
        <f>HYPERLINK("http://dx.doi.org/10.1145/3514221.3517864","http://dx.doi.org/10.1145/3514221.3517864")</f>
        <v>http://dx.doi.org/10.1145/3514221.3517864</v>
      </c>
      <c r="BG49" s="2" t="s">
        <v>3635</v>
      </c>
      <c r="BH49" s="2" t="s">
        <v>3635</v>
      </c>
      <c r="BI49" s="2">
        <v>15.0</v>
      </c>
      <c r="BJ49" s="2" t="s">
        <v>3833</v>
      </c>
      <c r="BK49" s="2" t="s">
        <v>3692</v>
      </c>
      <c r="BL49" s="2" t="s">
        <v>3659</v>
      </c>
      <c r="BM49" s="2" t="s">
        <v>4700</v>
      </c>
      <c r="BN49" s="2" t="s">
        <v>3635</v>
      </c>
      <c r="BO49" s="2" t="s">
        <v>4701</v>
      </c>
      <c r="BP49" s="2" t="s">
        <v>3635</v>
      </c>
      <c r="BQ49" s="2" t="s">
        <v>3635</v>
      </c>
      <c r="BR49" s="2" t="s">
        <v>3662</v>
      </c>
      <c r="BS49" s="2" t="s">
        <v>4702</v>
      </c>
      <c r="BT49" s="2" t="str">
        <f>HYPERLINK("https%3A%2F%2Fwww.webofscience.com%2Fwos%2Fwoscc%2Ffull-record%2FWOS:000852705400019","View Full Record in Web of Science")</f>
        <v>View Full Record in Web of Science</v>
      </c>
    </row>
    <row r="50" ht="15.75" customHeight="1">
      <c r="A50" s="2" t="s">
        <v>3664</v>
      </c>
      <c r="B50" s="2" t="s">
        <v>4703</v>
      </c>
      <c r="C50" s="2" t="s">
        <v>3635</v>
      </c>
      <c r="D50" s="2" t="s">
        <v>4704</v>
      </c>
      <c r="E50" s="2" t="s">
        <v>3635</v>
      </c>
      <c r="F50" s="2" t="s">
        <v>4705</v>
      </c>
      <c r="G50" s="2" t="s">
        <v>3635</v>
      </c>
      <c r="H50" s="2" t="s">
        <v>3635</v>
      </c>
      <c r="I50" s="2" t="s">
        <v>548</v>
      </c>
      <c r="J50" s="2" t="s">
        <v>4706</v>
      </c>
      <c r="K50" s="2" t="s">
        <v>4707</v>
      </c>
      <c r="L50" s="2" t="s">
        <v>3635</v>
      </c>
      <c r="M50" s="2" t="s">
        <v>3638</v>
      </c>
      <c r="N50" s="2" t="s">
        <v>3669</v>
      </c>
      <c r="O50" s="2" t="s">
        <v>4708</v>
      </c>
      <c r="P50" s="2" t="s">
        <v>4709</v>
      </c>
      <c r="Q50" s="2" t="s">
        <v>4710</v>
      </c>
      <c r="R50" s="2" t="s">
        <v>4711</v>
      </c>
      <c r="S50" s="2" t="s">
        <v>4712</v>
      </c>
      <c r="T50" s="2" t="s">
        <v>4713</v>
      </c>
      <c r="U50" s="2" t="s">
        <v>4714</v>
      </c>
      <c r="V50" s="2" t="s">
        <v>4715</v>
      </c>
      <c r="W50" s="2" t="s">
        <v>4716</v>
      </c>
      <c r="X50" s="2" t="s">
        <v>3870</v>
      </c>
      <c r="Y50" s="2" t="s">
        <v>4717</v>
      </c>
      <c r="Z50" s="2" t="s">
        <v>4718</v>
      </c>
      <c r="AA50" s="2" t="s">
        <v>3635</v>
      </c>
      <c r="AB50" s="2" t="s">
        <v>3635</v>
      </c>
      <c r="AC50" s="2" t="s">
        <v>3635</v>
      </c>
      <c r="AD50" s="2" t="s">
        <v>3635</v>
      </c>
      <c r="AE50" s="2" t="s">
        <v>3635</v>
      </c>
      <c r="AF50" s="2" t="s">
        <v>3635</v>
      </c>
      <c r="AG50" s="2">
        <v>19.0</v>
      </c>
      <c r="AH50" s="2">
        <v>4.0</v>
      </c>
      <c r="AI50" s="2">
        <v>4.0</v>
      </c>
      <c r="AJ50" s="2">
        <v>0.0</v>
      </c>
      <c r="AK50" s="2">
        <v>2.0</v>
      </c>
      <c r="AL50" s="2" t="s">
        <v>1974</v>
      </c>
      <c r="AM50" s="2" t="s">
        <v>3651</v>
      </c>
      <c r="AN50" s="2" t="s">
        <v>3762</v>
      </c>
      <c r="AO50" s="2" t="s">
        <v>4719</v>
      </c>
      <c r="AP50" s="2" t="s">
        <v>3635</v>
      </c>
      <c r="AQ50" s="2" t="s">
        <v>4720</v>
      </c>
      <c r="AR50" s="2" t="s">
        <v>4721</v>
      </c>
      <c r="AS50" s="2" t="s">
        <v>3635</v>
      </c>
      <c r="AT50" s="2" t="s">
        <v>3635</v>
      </c>
      <c r="AU50" s="2">
        <v>2018.0</v>
      </c>
      <c r="AV50" s="2" t="s">
        <v>3635</v>
      </c>
      <c r="AW50" s="2" t="s">
        <v>3635</v>
      </c>
      <c r="AX50" s="2" t="s">
        <v>3635</v>
      </c>
      <c r="AY50" s="2" t="s">
        <v>3635</v>
      </c>
      <c r="AZ50" s="2" t="s">
        <v>3635</v>
      </c>
      <c r="BA50" s="2" t="s">
        <v>3635</v>
      </c>
      <c r="BB50" s="2">
        <v>90.0</v>
      </c>
      <c r="BC50" s="2">
        <v>95.0</v>
      </c>
      <c r="BD50" s="2" t="s">
        <v>3635</v>
      </c>
      <c r="BE50" s="2" t="s">
        <v>3635</v>
      </c>
      <c r="BF50" s="2" t="s">
        <v>3635</v>
      </c>
      <c r="BG50" s="2" t="s">
        <v>3635</v>
      </c>
      <c r="BH50" s="2" t="s">
        <v>3635</v>
      </c>
      <c r="BI50" s="2">
        <v>6.0</v>
      </c>
      <c r="BJ50" s="2" t="s">
        <v>3657</v>
      </c>
      <c r="BK50" s="2" t="s">
        <v>3692</v>
      </c>
      <c r="BL50" s="2" t="s">
        <v>3659</v>
      </c>
      <c r="BM50" s="2" t="s">
        <v>4722</v>
      </c>
      <c r="BN50" s="2" t="s">
        <v>3635</v>
      </c>
      <c r="BO50" s="2" t="s">
        <v>3635</v>
      </c>
      <c r="BP50" s="2" t="s">
        <v>3635</v>
      </c>
      <c r="BQ50" s="2" t="s">
        <v>3635</v>
      </c>
      <c r="BR50" s="2" t="s">
        <v>3662</v>
      </c>
      <c r="BS50" s="2" t="s">
        <v>4723</v>
      </c>
      <c r="BT50" s="2" t="str">
        <f>HYPERLINK("https%3A%2F%2Fwww.webofscience.com%2Fwos%2Fwoscc%2Ffull-record%2FWOS:000467282900018","View Full Record in Web of Science")</f>
        <v>View Full Record in Web of Science</v>
      </c>
    </row>
    <row r="51" ht="15.75" customHeight="1">
      <c r="A51" s="2" t="s">
        <v>3633</v>
      </c>
      <c r="B51" s="2" t="s">
        <v>4724</v>
      </c>
      <c r="C51" s="2" t="s">
        <v>3635</v>
      </c>
      <c r="D51" s="2" t="s">
        <v>3635</v>
      </c>
      <c r="E51" s="2" t="s">
        <v>3635</v>
      </c>
      <c r="F51" s="2" t="s">
        <v>4725</v>
      </c>
      <c r="G51" s="2" t="s">
        <v>3635</v>
      </c>
      <c r="H51" s="2" t="s">
        <v>3635</v>
      </c>
      <c r="I51" s="2" t="s">
        <v>4726</v>
      </c>
      <c r="J51" s="2" t="s">
        <v>4727</v>
      </c>
      <c r="K51" s="2" t="s">
        <v>3635</v>
      </c>
      <c r="L51" s="2" t="s">
        <v>3635</v>
      </c>
      <c r="M51" s="2" t="s">
        <v>3638</v>
      </c>
      <c r="N51" s="2" t="s">
        <v>21</v>
      </c>
      <c r="O51" s="2" t="s">
        <v>3635</v>
      </c>
      <c r="P51" s="2" t="s">
        <v>3635</v>
      </c>
      <c r="Q51" s="2" t="s">
        <v>3635</v>
      </c>
      <c r="R51" s="2" t="s">
        <v>3635</v>
      </c>
      <c r="S51" s="2" t="s">
        <v>3635</v>
      </c>
      <c r="T51" s="2" t="s">
        <v>4728</v>
      </c>
      <c r="U51" s="2" t="s">
        <v>4729</v>
      </c>
      <c r="V51" s="2" t="s">
        <v>4730</v>
      </c>
      <c r="W51" s="2" t="s">
        <v>4731</v>
      </c>
      <c r="X51" s="2" t="s">
        <v>4732</v>
      </c>
      <c r="Y51" s="2" t="s">
        <v>4733</v>
      </c>
      <c r="Z51" s="2" t="s">
        <v>4734</v>
      </c>
      <c r="AA51" s="2" t="s">
        <v>4735</v>
      </c>
      <c r="AB51" s="2" t="s">
        <v>4736</v>
      </c>
      <c r="AC51" s="2" t="s">
        <v>4737</v>
      </c>
      <c r="AD51" s="2" t="s">
        <v>4738</v>
      </c>
      <c r="AE51" s="2" t="s">
        <v>4739</v>
      </c>
      <c r="AF51" s="2" t="s">
        <v>3635</v>
      </c>
      <c r="AG51" s="2">
        <v>30.0</v>
      </c>
      <c r="AH51" s="2">
        <v>5.0</v>
      </c>
      <c r="AI51" s="2">
        <v>6.0</v>
      </c>
      <c r="AJ51" s="2">
        <v>0.0</v>
      </c>
      <c r="AK51" s="2">
        <v>2.0</v>
      </c>
      <c r="AL51" s="2" t="s">
        <v>4740</v>
      </c>
      <c r="AM51" s="2" t="s">
        <v>4668</v>
      </c>
      <c r="AN51" s="2" t="s">
        <v>4741</v>
      </c>
      <c r="AO51" s="2" t="s">
        <v>3635</v>
      </c>
      <c r="AP51" s="2" t="s">
        <v>4742</v>
      </c>
      <c r="AQ51" s="2" t="s">
        <v>3635</v>
      </c>
      <c r="AR51" s="2" t="s">
        <v>4743</v>
      </c>
      <c r="AS51" s="2" t="s">
        <v>4744</v>
      </c>
      <c r="AT51" s="2" t="s">
        <v>4745</v>
      </c>
      <c r="AU51" s="2">
        <v>2018.0</v>
      </c>
      <c r="AV51" s="2">
        <v>18.0</v>
      </c>
      <c r="AW51" s="2" t="s">
        <v>3635</v>
      </c>
      <c r="AX51" s="2" t="s">
        <v>3635</v>
      </c>
      <c r="AY51" s="2" t="s">
        <v>3635</v>
      </c>
      <c r="AZ51" s="2" t="s">
        <v>3635</v>
      </c>
      <c r="BA51" s="2" t="s">
        <v>3635</v>
      </c>
      <c r="BB51" s="2" t="s">
        <v>3635</v>
      </c>
      <c r="BC51" s="2" t="s">
        <v>3635</v>
      </c>
      <c r="BD51" s="2">
        <v>86.0</v>
      </c>
      <c r="BE51" s="2" t="s">
        <v>625</v>
      </c>
      <c r="BF51" s="3" t="str">
        <f>HYPERLINK("http://dx.doi.org/10.1186/s12911-018-0667-x","http://dx.doi.org/10.1186/s12911-018-0667-x")</f>
        <v>http://dx.doi.org/10.1186/s12911-018-0667-x</v>
      </c>
      <c r="BG51" s="2" t="s">
        <v>3635</v>
      </c>
      <c r="BH51" s="2" t="s">
        <v>3635</v>
      </c>
      <c r="BI51" s="2">
        <v>10.0</v>
      </c>
      <c r="BJ51" s="2" t="s">
        <v>4746</v>
      </c>
      <c r="BK51" s="2" t="s">
        <v>3658</v>
      </c>
      <c r="BL51" s="2" t="s">
        <v>4746</v>
      </c>
      <c r="BM51" s="2" t="s">
        <v>4747</v>
      </c>
      <c r="BN51" s="2">
        <v>3.0340483E7</v>
      </c>
      <c r="BO51" s="2" t="s">
        <v>4748</v>
      </c>
      <c r="BP51" s="2" t="s">
        <v>3635</v>
      </c>
      <c r="BQ51" s="2" t="s">
        <v>3635</v>
      </c>
      <c r="BR51" s="2" t="s">
        <v>3662</v>
      </c>
      <c r="BS51" s="2" t="s">
        <v>4749</v>
      </c>
      <c r="BT51" s="2" t="str">
        <f>HYPERLINK("https%3A%2F%2Fwww.webofscience.com%2Fwos%2Fwoscc%2Ffull-record%2FWOS:000447856600001","View Full Record in Web of Science")</f>
        <v>View Full Record in Web of Science</v>
      </c>
    </row>
    <row r="52" ht="15.75" customHeight="1">
      <c r="A52" s="2" t="s">
        <v>3664</v>
      </c>
      <c r="B52" s="2" t="s">
        <v>4750</v>
      </c>
      <c r="C52" s="2" t="s">
        <v>3635</v>
      </c>
      <c r="D52" s="2" t="s">
        <v>3635</v>
      </c>
      <c r="E52" s="2" t="s">
        <v>1974</v>
      </c>
      <c r="F52" s="2" t="s">
        <v>4751</v>
      </c>
      <c r="G52" s="2" t="s">
        <v>3635</v>
      </c>
      <c r="H52" s="2" t="s">
        <v>3635</v>
      </c>
      <c r="I52" s="2" t="s">
        <v>4752</v>
      </c>
      <c r="J52" s="2" t="s">
        <v>4753</v>
      </c>
      <c r="K52" s="2" t="s">
        <v>4754</v>
      </c>
      <c r="L52" s="2" t="s">
        <v>3635</v>
      </c>
      <c r="M52" s="2" t="s">
        <v>3638</v>
      </c>
      <c r="N52" s="2" t="s">
        <v>3669</v>
      </c>
      <c r="O52" s="2" t="s">
        <v>4755</v>
      </c>
      <c r="P52" s="2" t="s">
        <v>4756</v>
      </c>
      <c r="Q52" s="2" t="s">
        <v>4757</v>
      </c>
      <c r="R52" s="2" t="s">
        <v>4758</v>
      </c>
      <c r="S52" s="2" t="s">
        <v>3635</v>
      </c>
      <c r="T52" s="2" t="s">
        <v>4759</v>
      </c>
      <c r="U52" s="2" t="s">
        <v>3635</v>
      </c>
      <c r="V52" s="2" t="s">
        <v>4760</v>
      </c>
      <c r="W52" s="2" t="s">
        <v>4761</v>
      </c>
      <c r="X52" s="2" t="s">
        <v>4762</v>
      </c>
      <c r="Y52" s="2" t="s">
        <v>4763</v>
      </c>
      <c r="Z52" s="2" t="s">
        <v>4764</v>
      </c>
      <c r="AA52" s="2" t="s">
        <v>4765</v>
      </c>
      <c r="AB52" s="2" t="s">
        <v>3635</v>
      </c>
      <c r="AC52" s="2" t="s">
        <v>4766</v>
      </c>
      <c r="AD52" s="2" t="s">
        <v>4767</v>
      </c>
      <c r="AE52" s="2" t="s">
        <v>4768</v>
      </c>
      <c r="AF52" s="2" t="s">
        <v>3635</v>
      </c>
      <c r="AG52" s="2">
        <v>14.0</v>
      </c>
      <c r="AH52" s="2">
        <v>0.0</v>
      </c>
      <c r="AI52" s="2">
        <v>0.0</v>
      </c>
      <c r="AJ52" s="2">
        <v>0.0</v>
      </c>
      <c r="AK52" s="2">
        <v>2.0</v>
      </c>
      <c r="AL52" s="2" t="s">
        <v>1974</v>
      </c>
      <c r="AM52" s="2" t="s">
        <v>3651</v>
      </c>
      <c r="AN52" s="2" t="s">
        <v>3762</v>
      </c>
      <c r="AO52" s="2" t="s">
        <v>4769</v>
      </c>
      <c r="AP52" s="2" t="s">
        <v>3635</v>
      </c>
      <c r="AQ52" s="2" t="s">
        <v>4770</v>
      </c>
      <c r="AR52" s="2" t="s">
        <v>4771</v>
      </c>
      <c r="AS52" s="2" t="s">
        <v>3635</v>
      </c>
      <c r="AT52" s="2" t="s">
        <v>3635</v>
      </c>
      <c r="AU52" s="2">
        <v>2017.0</v>
      </c>
      <c r="AV52" s="2" t="s">
        <v>3635</v>
      </c>
      <c r="AW52" s="2" t="s">
        <v>3635</v>
      </c>
      <c r="AX52" s="2" t="s">
        <v>3635</v>
      </c>
      <c r="AY52" s="2" t="s">
        <v>3635</v>
      </c>
      <c r="AZ52" s="2" t="s">
        <v>3635</v>
      </c>
      <c r="BA52" s="2" t="s">
        <v>3635</v>
      </c>
      <c r="BB52" s="2">
        <v>651.0</v>
      </c>
      <c r="BC52" s="2">
        <v>655.0</v>
      </c>
      <c r="BD52" s="2" t="s">
        <v>3635</v>
      </c>
      <c r="BE52" s="2" t="s">
        <v>3635</v>
      </c>
      <c r="BF52" s="2" t="s">
        <v>3635</v>
      </c>
      <c r="BG52" s="2" t="s">
        <v>3635</v>
      </c>
      <c r="BH52" s="2" t="s">
        <v>3635</v>
      </c>
      <c r="BI52" s="2">
        <v>5.0</v>
      </c>
      <c r="BJ52" s="2" t="s">
        <v>3833</v>
      </c>
      <c r="BK52" s="2" t="s">
        <v>3692</v>
      </c>
      <c r="BL52" s="2" t="s">
        <v>3659</v>
      </c>
      <c r="BM52" s="2" t="s">
        <v>4772</v>
      </c>
      <c r="BN52" s="2" t="s">
        <v>3635</v>
      </c>
      <c r="BO52" s="2" t="s">
        <v>3635</v>
      </c>
      <c r="BP52" s="2" t="s">
        <v>3635</v>
      </c>
      <c r="BQ52" s="2" t="s">
        <v>3635</v>
      </c>
      <c r="BR52" s="2" t="s">
        <v>3662</v>
      </c>
      <c r="BS52" s="2" t="s">
        <v>4773</v>
      </c>
      <c r="BT52" s="2" t="str">
        <f>HYPERLINK("https%3A%2F%2Fwww.webofscience.com%2Fwos%2Fwoscc%2Ffull-record%2FWOS:000403403400094","View Full Record in Web of Science")</f>
        <v>View Full Record in Web of Science</v>
      </c>
    </row>
    <row r="53" ht="15.75" customHeight="1">
      <c r="A53" s="2" t="s">
        <v>3633</v>
      </c>
      <c r="B53" s="2" t="s">
        <v>4774</v>
      </c>
      <c r="C53" s="2" t="s">
        <v>3635</v>
      </c>
      <c r="D53" s="2" t="s">
        <v>3635</v>
      </c>
      <c r="E53" s="2" t="s">
        <v>3635</v>
      </c>
      <c r="F53" s="2" t="s">
        <v>4775</v>
      </c>
      <c r="G53" s="2" t="s">
        <v>3635</v>
      </c>
      <c r="H53" s="2" t="s">
        <v>3635</v>
      </c>
      <c r="I53" s="2" t="s">
        <v>4776</v>
      </c>
      <c r="J53" s="2" t="s">
        <v>4777</v>
      </c>
      <c r="K53" s="2" t="s">
        <v>3635</v>
      </c>
      <c r="L53" s="2" t="s">
        <v>3635</v>
      </c>
      <c r="M53" s="2" t="s">
        <v>3638</v>
      </c>
      <c r="N53" s="2" t="s">
        <v>21</v>
      </c>
      <c r="O53" s="2" t="s">
        <v>3635</v>
      </c>
      <c r="P53" s="2" t="s">
        <v>3635</v>
      </c>
      <c r="Q53" s="2" t="s">
        <v>3635</v>
      </c>
      <c r="R53" s="2" t="s">
        <v>3635</v>
      </c>
      <c r="S53" s="2" t="s">
        <v>3635</v>
      </c>
      <c r="T53" s="2" t="s">
        <v>4778</v>
      </c>
      <c r="U53" s="2" t="s">
        <v>4779</v>
      </c>
      <c r="V53" s="2" t="s">
        <v>4780</v>
      </c>
      <c r="W53" s="2" t="s">
        <v>4781</v>
      </c>
      <c r="X53" s="2" t="s">
        <v>4782</v>
      </c>
      <c r="Y53" s="2" t="s">
        <v>4783</v>
      </c>
      <c r="Z53" s="2" t="s">
        <v>4784</v>
      </c>
      <c r="AA53" s="2" t="s">
        <v>3635</v>
      </c>
      <c r="AB53" s="2" t="s">
        <v>3635</v>
      </c>
      <c r="AC53" s="2" t="s">
        <v>3635</v>
      </c>
      <c r="AD53" s="2" t="s">
        <v>3635</v>
      </c>
      <c r="AE53" s="2" t="s">
        <v>3635</v>
      </c>
      <c r="AF53" s="2" t="s">
        <v>3635</v>
      </c>
      <c r="AG53" s="2">
        <v>114.0</v>
      </c>
      <c r="AH53" s="2">
        <v>2.0</v>
      </c>
      <c r="AI53" s="2">
        <v>2.0</v>
      </c>
      <c r="AJ53" s="2">
        <v>1.0</v>
      </c>
      <c r="AK53" s="2">
        <v>4.0</v>
      </c>
      <c r="AL53" s="2" t="s">
        <v>3807</v>
      </c>
      <c r="AM53" s="2" t="s">
        <v>3808</v>
      </c>
      <c r="AN53" s="2" t="s">
        <v>3809</v>
      </c>
      <c r="AO53" s="2" t="s">
        <v>4785</v>
      </c>
      <c r="AP53" s="2" t="s">
        <v>4786</v>
      </c>
      <c r="AQ53" s="2" t="s">
        <v>3635</v>
      </c>
      <c r="AR53" s="2" t="s">
        <v>4787</v>
      </c>
      <c r="AS53" s="2" t="s">
        <v>4788</v>
      </c>
      <c r="AT53" s="2" t="s">
        <v>3790</v>
      </c>
      <c r="AU53" s="2">
        <v>2023.0</v>
      </c>
      <c r="AV53" s="2">
        <v>159.0</v>
      </c>
      <c r="AW53" s="2" t="s">
        <v>3635</v>
      </c>
      <c r="AX53" s="2" t="s">
        <v>3635</v>
      </c>
      <c r="AY53" s="2" t="s">
        <v>3635</v>
      </c>
      <c r="AZ53" s="2" t="s">
        <v>3635</v>
      </c>
      <c r="BA53" s="2" t="s">
        <v>3635</v>
      </c>
      <c r="BB53" s="2" t="s">
        <v>3635</v>
      </c>
      <c r="BC53" s="2" t="s">
        <v>3635</v>
      </c>
      <c r="BD53" s="2">
        <v>107198.0</v>
      </c>
      <c r="BE53" s="2" t="s">
        <v>4789</v>
      </c>
      <c r="BF53" s="3" t="str">
        <f>HYPERLINK("http://dx.doi.org/10.1016/j.infsof.2023.107198","http://dx.doi.org/10.1016/j.infsof.2023.107198")</f>
        <v>http://dx.doi.org/10.1016/j.infsof.2023.107198</v>
      </c>
      <c r="BG53" s="2" t="s">
        <v>3635</v>
      </c>
      <c r="BH53" s="2" t="s">
        <v>4790</v>
      </c>
      <c r="BI53" s="2">
        <v>16.0</v>
      </c>
      <c r="BJ53" s="2" t="s">
        <v>4791</v>
      </c>
      <c r="BK53" s="2" t="s">
        <v>3658</v>
      </c>
      <c r="BL53" s="2" t="s">
        <v>3659</v>
      </c>
      <c r="BM53" s="2" t="s">
        <v>4792</v>
      </c>
      <c r="BN53" s="2" t="s">
        <v>3635</v>
      </c>
      <c r="BO53" s="2" t="s">
        <v>3694</v>
      </c>
      <c r="BP53" s="2" t="s">
        <v>3635</v>
      </c>
      <c r="BQ53" s="2" t="s">
        <v>3635</v>
      </c>
      <c r="BR53" s="2" t="s">
        <v>3662</v>
      </c>
      <c r="BS53" s="2" t="s">
        <v>4793</v>
      </c>
      <c r="BT53" s="2" t="str">
        <f>HYPERLINK("https%3A%2F%2Fwww.webofscience.com%2Fwos%2Fwoscc%2Ffull-record%2FWOS:000965710800001","View Full Record in Web of Science")</f>
        <v>View Full Record in Web of Science</v>
      </c>
    </row>
    <row r="54" ht="15.75" customHeight="1">
      <c r="A54" s="2" t="s">
        <v>3664</v>
      </c>
      <c r="B54" s="2" t="s">
        <v>4794</v>
      </c>
      <c r="C54" s="2" t="s">
        <v>3635</v>
      </c>
      <c r="D54" s="2" t="s">
        <v>4795</v>
      </c>
      <c r="E54" s="2" t="s">
        <v>3635</v>
      </c>
      <c r="F54" s="2" t="s">
        <v>4796</v>
      </c>
      <c r="G54" s="2" t="s">
        <v>3635</v>
      </c>
      <c r="H54" s="2" t="s">
        <v>3635</v>
      </c>
      <c r="I54" s="2" t="s">
        <v>32</v>
      </c>
      <c r="J54" s="2" t="s">
        <v>4797</v>
      </c>
      <c r="K54" s="2" t="s">
        <v>3635</v>
      </c>
      <c r="L54" s="2" t="s">
        <v>3635</v>
      </c>
      <c r="M54" s="2" t="s">
        <v>3638</v>
      </c>
      <c r="N54" s="2" t="s">
        <v>3669</v>
      </c>
      <c r="O54" s="2" t="s">
        <v>4798</v>
      </c>
      <c r="P54" s="2" t="s">
        <v>4799</v>
      </c>
      <c r="Q54" s="2" t="s">
        <v>4800</v>
      </c>
      <c r="R54" s="2" t="s">
        <v>4801</v>
      </c>
      <c r="S54" s="2" t="s">
        <v>4802</v>
      </c>
      <c r="T54" s="2" t="s">
        <v>3635</v>
      </c>
      <c r="U54" s="2" t="s">
        <v>3635</v>
      </c>
      <c r="V54" s="2" t="s">
        <v>4803</v>
      </c>
      <c r="W54" s="2" t="s">
        <v>4804</v>
      </c>
      <c r="X54" s="2" t="s">
        <v>4805</v>
      </c>
      <c r="Y54" s="2" t="s">
        <v>4806</v>
      </c>
      <c r="Z54" s="2" t="s">
        <v>4807</v>
      </c>
      <c r="AA54" s="2" t="s">
        <v>4808</v>
      </c>
      <c r="AB54" s="2" t="s">
        <v>4809</v>
      </c>
      <c r="AC54" s="2" t="s">
        <v>3635</v>
      </c>
      <c r="AD54" s="2" t="s">
        <v>3635</v>
      </c>
      <c r="AE54" s="2" t="s">
        <v>3635</v>
      </c>
      <c r="AF54" s="2" t="s">
        <v>3635</v>
      </c>
      <c r="AG54" s="2">
        <v>22.0</v>
      </c>
      <c r="AH54" s="2">
        <v>0.0</v>
      </c>
      <c r="AI54" s="2">
        <v>0.0</v>
      </c>
      <c r="AJ54" s="2">
        <v>0.0</v>
      </c>
      <c r="AK54" s="2">
        <v>0.0</v>
      </c>
      <c r="AL54" s="2" t="s">
        <v>4810</v>
      </c>
      <c r="AM54" s="2" t="s">
        <v>3651</v>
      </c>
      <c r="AN54" s="2" t="s">
        <v>4811</v>
      </c>
      <c r="AO54" s="2" t="s">
        <v>3635</v>
      </c>
      <c r="AP54" s="2" t="s">
        <v>3635</v>
      </c>
      <c r="AQ54" s="2" t="s">
        <v>4812</v>
      </c>
      <c r="AR54" s="2" t="s">
        <v>3635</v>
      </c>
      <c r="AS54" s="2" t="s">
        <v>3635</v>
      </c>
      <c r="AT54" s="2" t="s">
        <v>3635</v>
      </c>
      <c r="AU54" s="2">
        <v>2024.0</v>
      </c>
      <c r="AV54" s="2" t="s">
        <v>3635</v>
      </c>
      <c r="AW54" s="2" t="s">
        <v>3635</v>
      </c>
      <c r="AX54" s="2" t="s">
        <v>3635</v>
      </c>
      <c r="AY54" s="2" t="s">
        <v>3635</v>
      </c>
      <c r="AZ54" s="2" t="s">
        <v>3635</v>
      </c>
      <c r="BA54" s="2" t="s">
        <v>3635</v>
      </c>
      <c r="BB54" s="2">
        <v>461.0</v>
      </c>
      <c r="BC54" s="2">
        <v>468.0</v>
      </c>
      <c r="BD54" s="2" t="s">
        <v>3635</v>
      </c>
      <c r="BE54" s="2" t="s">
        <v>3635</v>
      </c>
      <c r="BF54" s="2" t="s">
        <v>3635</v>
      </c>
      <c r="BG54" s="2" t="s">
        <v>3635</v>
      </c>
      <c r="BH54" s="2" t="s">
        <v>3635</v>
      </c>
      <c r="BI54" s="2">
        <v>8.0</v>
      </c>
      <c r="BJ54" s="2" t="s">
        <v>4813</v>
      </c>
      <c r="BK54" s="2" t="s">
        <v>3692</v>
      </c>
      <c r="BL54" s="2" t="s">
        <v>4814</v>
      </c>
      <c r="BM54" s="2" t="s">
        <v>4815</v>
      </c>
      <c r="BN54" s="2" t="s">
        <v>3635</v>
      </c>
      <c r="BO54" s="2" t="s">
        <v>3635</v>
      </c>
      <c r="BP54" s="2" t="s">
        <v>3635</v>
      </c>
      <c r="BQ54" s="2" t="s">
        <v>3635</v>
      </c>
      <c r="BR54" s="2" t="s">
        <v>3662</v>
      </c>
      <c r="BS54" s="2" t="s">
        <v>4816</v>
      </c>
      <c r="BT54" s="2" t="str">
        <f>HYPERLINK("https%3A%2F%2Fwww.webofscience.com%2Fwos%2Fwoscc%2Ffull-record%2FWOS:001175759800055","View Full Record in Web of Science")</f>
        <v>View Full Record in Web of Science</v>
      </c>
    </row>
    <row r="55" ht="15.75" customHeight="1">
      <c r="A55" s="2" t="s">
        <v>3633</v>
      </c>
      <c r="B55" s="2" t="s">
        <v>4817</v>
      </c>
      <c r="C55" s="2" t="s">
        <v>3635</v>
      </c>
      <c r="D55" s="2" t="s">
        <v>3635</v>
      </c>
      <c r="E55" s="2" t="s">
        <v>3635</v>
      </c>
      <c r="F55" s="2" t="s">
        <v>4817</v>
      </c>
      <c r="G55" s="2" t="s">
        <v>3635</v>
      </c>
      <c r="H55" s="2" t="s">
        <v>3635</v>
      </c>
      <c r="I55" s="2" t="s">
        <v>1844</v>
      </c>
      <c r="J55" s="2" t="s">
        <v>4818</v>
      </c>
      <c r="K55" s="2" t="s">
        <v>3635</v>
      </c>
      <c r="L55" s="2" t="s">
        <v>3635</v>
      </c>
      <c r="M55" s="2" t="s">
        <v>3638</v>
      </c>
      <c r="N55" s="2" t="s">
        <v>21</v>
      </c>
      <c r="O55" s="2" t="s">
        <v>3635</v>
      </c>
      <c r="P55" s="2" t="s">
        <v>3635</v>
      </c>
      <c r="Q55" s="2" t="s">
        <v>3635</v>
      </c>
      <c r="R55" s="2" t="s">
        <v>3635</v>
      </c>
      <c r="S55" s="2" t="s">
        <v>3635</v>
      </c>
      <c r="T55" s="2" t="s">
        <v>3635</v>
      </c>
      <c r="U55" s="2" t="s">
        <v>4819</v>
      </c>
      <c r="V55" s="2" t="s">
        <v>4820</v>
      </c>
      <c r="W55" s="2" t="s">
        <v>4821</v>
      </c>
      <c r="X55" s="2" t="s">
        <v>4822</v>
      </c>
      <c r="Y55" s="2" t="s">
        <v>4823</v>
      </c>
      <c r="Z55" s="2" t="s">
        <v>3635</v>
      </c>
      <c r="AA55" s="2" t="s">
        <v>3635</v>
      </c>
      <c r="AB55" s="2" t="s">
        <v>3635</v>
      </c>
      <c r="AC55" s="2" t="s">
        <v>3635</v>
      </c>
      <c r="AD55" s="2" t="s">
        <v>3635</v>
      </c>
      <c r="AE55" s="2" t="s">
        <v>3635</v>
      </c>
      <c r="AF55" s="2" t="s">
        <v>3635</v>
      </c>
      <c r="AG55" s="2">
        <v>34.0</v>
      </c>
      <c r="AH55" s="2">
        <v>31.0</v>
      </c>
      <c r="AI55" s="2">
        <v>32.0</v>
      </c>
      <c r="AJ55" s="2">
        <v>0.0</v>
      </c>
      <c r="AK55" s="2">
        <v>4.0</v>
      </c>
      <c r="AL55" s="2" t="s">
        <v>4824</v>
      </c>
      <c r="AM55" s="2" t="s">
        <v>3915</v>
      </c>
      <c r="AN55" s="2" t="s">
        <v>4825</v>
      </c>
      <c r="AO55" s="2" t="s">
        <v>4826</v>
      </c>
      <c r="AP55" s="2" t="s">
        <v>4827</v>
      </c>
      <c r="AQ55" s="2" t="s">
        <v>3635</v>
      </c>
      <c r="AR55" s="2" t="s">
        <v>4828</v>
      </c>
      <c r="AS55" s="2" t="s">
        <v>4829</v>
      </c>
      <c r="AT55" s="2" t="s">
        <v>4830</v>
      </c>
      <c r="AU55" s="2">
        <v>1998.0</v>
      </c>
      <c r="AV55" s="2">
        <v>62.0</v>
      </c>
      <c r="AW55" s="2" t="s">
        <v>4831</v>
      </c>
      <c r="AX55" s="2" t="s">
        <v>3635</v>
      </c>
      <c r="AY55" s="2" t="s">
        <v>3635</v>
      </c>
      <c r="AZ55" s="2" t="s">
        <v>3635</v>
      </c>
      <c r="BA55" s="2" t="s">
        <v>3635</v>
      </c>
      <c r="BB55" s="2">
        <v>23.0</v>
      </c>
      <c r="BC55" s="2">
        <v>32.0</v>
      </c>
      <c r="BD55" s="2" t="s">
        <v>3635</v>
      </c>
      <c r="BE55" s="2" t="s">
        <v>1847</v>
      </c>
      <c r="BF55" s="3" t="str">
        <f>HYPERLINK("http://dx.doi.org/10.1016/S0951-8320(98)00002-7","http://dx.doi.org/10.1016/S0951-8320(98)00002-7")</f>
        <v>http://dx.doi.org/10.1016/S0951-8320(98)00002-7</v>
      </c>
      <c r="BG55" s="2" t="s">
        <v>3635</v>
      </c>
      <c r="BH55" s="2" t="s">
        <v>3635</v>
      </c>
      <c r="BI55" s="2">
        <v>10.0</v>
      </c>
      <c r="BJ55" s="2" t="s">
        <v>4832</v>
      </c>
      <c r="BK55" s="2" t="s">
        <v>3658</v>
      </c>
      <c r="BL55" s="2" t="s">
        <v>4833</v>
      </c>
      <c r="BM55" s="2" t="s">
        <v>4834</v>
      </c>
      <c r="BN55" s="2" t="s">
        <v>3635</v>
      </c>
      <c r="BO55" s="2" t="s">
        <v>3635</v>
      </c>
      <c r="BP55" s="2" t="s">
        <v>3635</v>
      </c>
      <c r="BQ55" s="2" t="s">
        <v>3635</v>
      </c>
      <c r="BR55" s="2" t="s">
        <v>3662</v>
      </c>
      <c r="BS55" s="2" t="s">
        <v>4835</v>
      </c>
      <c r="BT55" s="2" t="str">
        <f>HYPERLINK("https%3A%2F%2Fwww.webofscience.com%2Fwos%2Fwoscc%2Ffull-record%2FWOS:000075307200007","View Full Record in Web of Science")</f>
        <v>View Full Record in Web of Science</v>
      </c>
    </row>
    <row r="56" ht="15.75" customHeight="1">
      <c r="A56" s="2" t="s">
        <v>3664</v>
      </c>
      <c r="B56" s="2" t="s">
        <v>4836</v>
      </c>
      <c r="C56" s="2" t="s">
        <v>3635</v>
      </c>
      <c r="D56" s="2" t="s">
        <v>3635</v>
      </c>
      <c r="E56" s="2" t="s">
        <v>3837</v>
      </c>
      <c r="F56" s="2" t="s">
        <v>4837</v>
      </c>
      <c r="G56" s="2" t="s">
        <v>3635</v>
      </c>
      <c r="H56" s="2" t="s">
        <v>3635</v>
      </c>
      <c r="I56" s="2" t="s">
        <v>571</v>
      </c>
      <c r="J56" s="2" t="s">
        <v>4838</v>
      </c>
      <c r="K56" s="2" t="s">
        <v>3635</v>
      </c>
      <c r="L56" s="2" t="s">
        <v>3635</v>
      </c>
      <c r="M56" s="2" t="s">
        <v>3638</v>
      </c>
      <c r="N56" s="2" t="s">
        <v>3669</v>
      </c>
      <c r="O56" s="2" t="s">
        <v>4839</v>
      </c>
      <c r="P56" s="2" t="s">
        <v>4840</v>
      </c>
      <c r="Q56" s="2" t="s">
        <v>3843</v>
      </c>
      <c r="R56" s="2" t="s">
        <v>3844</v>
      </c>
      <c r="S56" s="2" t="s">
        <v>3635</v>
      </c>
      <c r="T56" s="2" t="s">
        <v>4841</v>
      </c>
      <c r="U56" s="2" t="s">
        <v>4842</v>
      </c>
      <c r="V56" s="2" t="s">
        <v>4843</v>
      </c>
      <c r="W56" s="2" t="s">
        <v>4844</v>
      </c>
      <c r="X56" s="2" t="s">
        <v>4845</v>
      </c>
      <c r="Y56" s="2" t="s">
        <v>4846</v>
      </c>
      <c r="Z56" s="2" t="s">
        <v>4847</v>
      </c>
      <c r="AA56" s="2" t="s">
        <v>4848</v>
      </c>
      <c r="AB56" s="2" t="s">
        <v>4849</v>
      </c>
      <c r="AC56" s="2" t="s">
        <v>3635</v>
      </c>
      <c r="AD56" s="2" t="s">
        <v>3635</v>
      </c>
      <c r="AE56" s="2" t="s">
        <v>3635</v>
      </c>
      <c r="AF56" s="2" t="s">
        <v>3635</v>
      </c>
      <c r="AG56" s="2">
        <v>50.0</v>
      </c>
      <c r="AH56" s="2">
        <v>11.0</v>
      </c>
      <c r="AI56" s="2">
        <v>20.0</v>
      </c>
      <c r="AJ56" s="2">
        <v>0.0</v>
      </c>
      <c r="AK56" s="2">
        <v>2.0</v>
      </c>
      <c r="AL56" s="2" t="s">
        <v>3685</v>
      </c>
      <c r="AM56" s="2" t="s">
        <v>3686</v>
      </c>
      <c r="AN56" s="2" t="s">
        <v>3687</v>
      </c>
      <c r="AO56" s="2" t="s">
        <v>3635</v>
      </c>
      <c r="AP56" s="2" t="s">
        <v>3635</v>
      </c>
      <c r="AQ56" s="2" t="s">
        <v>4850</v>
      </c>
      <c r="AR56" s="2" t="s">
        <v>3635</v>
      </c>
      <c r="AS56" s="2" t="s">
        <v>3635</v>
      </c>
      <c r="AT56" s="2" t="s">
        <v>3635</v>
      </c>
      <c r="AU56" s="2">
        <v>2021.0</v>
      </c>
      <c r="AV56" s="2" t="s">
        <v>3635</v>
      </c>
      <c r="AW56" s="2" t="s">
        <v>3635</v>
      </c>
      <c r="AX56" s="2" t="s">
        <v>3635</v>
      </c>
      <c r="AY56" s="2" t="s">
        <v>3635</v>
      </c>
      <c r="AZ56" s="2" t="s">
        <v>3635</v>
      </c>
      <c r="BA56" s="2" t="s">
        <v>3635</v>
      </c>
      <c r="BB56" s="2">
        <v>28.0</v>
      </c>
      <c r="BC56" s="2">
        <v>39.0</v>
      </c>
      <c r="BD56" s="2" t="s">
        <v>3635</v>
      </c>
      <c r="BE56" s="2" t="s">
        <v>574</v>
      </c>
      <c r="BF56" s="3" t="str">
        <f>HYPERLINK("http://dx.doi.org/10.1109/MobileSoft52590.2021.00010","http://dx.doi.org/10.1109/MobileSoft52590.2021.00010")</f>
        <v>http://dx.doi.org/10.1109/MobileSoft52590.2021.00010</v>
      </c>
      <c r="BG56" s="2" t="s">
        <v>3635</v>
      </c>
      <c r="BH56" s="2" t="s">
        <v>3635</v>
      </c>
      <c r="BI56" s="2">
        <v>12.0</v>
      </c>
      <c r="BJ56" s="2" t="s">
        <v>3691</v>
      </c>
      <c r="BK56" s="2" t="s">
        <v>3692</v>
      </c>
      <c r="BL56" s="2" t="s">
        <v>3659</v>
      </c>
      <c r="BM56" s="2" t="s">
        <v>4851</v>
      </c>
      <c r="BN56" s="2" t="s">
        <v>3635</v>
      </c>
      <c r="BO56" s="2" t="s">
        <v>3635</v>
      </c>
      <c r="BP56" s="2" t="s">
        <v>3635</v>
      </c>
      <c r="BQ56" s="2" t="s">
        <v>3635</v>
      </c>
      <c r="BR56" s="2" t="s">
        <v>3662</v>
      </c>
      <c r="BS56" s="2" t="s">
        <v>4852</v>
      </c>
      <c r="BT56" s="2" t="str">
        <f>HYPERLINK("https%3A%2F%2Fwww.webofscience.com%2Fwos%2Fwoscc%2Ffull-record%2FWOS:000713911700004","View Full Record in Web of Science")</f>
        <v>View Full Record in Web of Science</v>
      </c>
    </row>
    <row r="57" ht="15.75" customHeight="1">
      <c r="A57" s="2" t="s">
        <v>3664</v>
      </c>
      <c r="B57" s="2" t="s">
        <v>4853</v>
      </c>
      <c r="C57" s="2" t="s">
        <v>3635</v>
      </c>
      <c r="D57" s="2" t="s">
        <v>3635</v>
      </c>
      <c r="E57" s="2" t="s">
        <v>1974</v>
      </c>
      <c r="F57" s="2" t="s">
        <v>4854</v>
      </c>
      <c r="G57" s="2" t="s">
        <v>3635</v>
      </c>
      <c r="H57" s="2" t="s">
        <v>3635</v>
      </c>
      <c r="I57" s="2" t="s">
        <v>2336</v>
      </c>
      <c r="J57" s="2" t="s">
        <v>4855</v>
      </c>
      <c r="K57" s="2" t="s">
        <v>4856</v>
      </c>
      <c r="L57" s="2" t="s">
        <v>3635</v>
      </c>
      <c r="M57" s="2" t="s">
        <v>3638</v>
      </c>
      <c r="N57" s="2" t="s">
        <v>3669</v>
      </c>
      <c r="O57" s="2" t="s">
        <v>4857</v>
      </c>
      <c r="P57" s="2" t="s">
        <v>4858</v>
      </c>
      <c r="Q57" s="2" t="s">
        <v>4859</v>
      </c>
      <c r="R57" s="2" t="s">
        <v>3866</v>
      </c>
      <c r="S57" s="2" t="s">
        <v>3635</v>
      </c>
      <c r="T57" s="2" t="s">
        <v>4860</v>
      </c>
      <c r="U57" s="2" t="s">
        <v>3635</v>
      </c>
      <c r="V57" s="2" t="s">
        <v>4861</v>
      </c>
      <c r="W57" s="2" t="s">
        <v>4862</v>
      </c>
      <c r="X57" s="2" t="s">
        <v>4863</v>
      </c>
      <c r="Y57" s="2" t="s">
        <v>4864</v>
      </c>
      <c r="Z57" s="2" t="s">
        <v>4865</v>
      </c>
      <c r="AA57" s="2" t="s">
        <v>4866</v>
      </c>
      <c r="AB57" s="2" t="s">
        <v>4867</v>
      </c>
      <c r="AC57" s="2" t="s">
        <v>4868</v>
      </c>
      <c r="AD57" s="2" t="s">
        <v>4869</v>
      </c>
      <c r="AE57" s="2" t="s">
        <v>4870</v>
      </c>
      <c r="AF57" s="2" t="s">
        <v>3635</v>
      </c>
      <c r="AG57" s="2">
        <v>31.0</v>
      </c>
      <c r="AH57" s="2">
        <v>2.0</v>
      </c>
      <c r="AI57" s="2">
        <v>2.0</v>
      </c>
      <c r="AJ57" s="2">
        <v>0.0</v>
      </c>
      <c r="AK57" s="2">
        <v>3.0</v>
      </c>
      <c r="AL57" s="2" t="s">
        <v>1974</v>
      </c>
      <c r="AM57" s="2" t="s">
        <v>3651</v>
      </c>
      <c r="AN57" s="2" t="s">
        <v>3762</v>
      </c>
      <c r="AO57" s="2" t="s">
        <v>4871</v>
      </c>
      <c r="AP57" s="2" t="s">
        <v>3635</v>
      </c>
      <c r="AQ57" s="2" t="s">
        <v>4872</v>
      </c>
      <c r="AR57" s="2" t="s">
        <v>4873</v>
      </c>
      <c r="AS57" s="2" t="s">
        <v>3635</v>
      </c>
      <c r="AT57" s="2" t="s">
        <v>3635</v>
      </c>
      <c r="AU57" s="2">
        <v>2018.0</v>
      </c>
      <c r="AV57" s="2" t="s">
        <v>3635</v>
      </c>
      <c r="AW57" s="2" t="s">
        <v>3635</v>
      </c>
      <c r="AX57" s="2" t="s">
        <v>3635</v>
      </c>
      <c r="AY57" s="2" t="s">
        <v>3635</v>
      </c>
      <c r="AZ57" s="2" t="s">
        <v>3635</v>
      </c>
      <c r="BA57" s="2" t="s">
        <v>3635</v>
      </c>
      <c r="BB57" s="2">
        <v>347.0</v>
      </c>
      <c r="BC57" s="2">
        <v>352.0</v>
      </c>
      <c r="BD57" s="2" t="s">
        <v>3635</v>
      </c>
      <c r="BE57" s="2" t="s">
        <v>888</v>
      </c>
      <c r="BF57" s="3" t="str">
        <f>HYPERLINK("http://dx.doi.org/10.1109/IPDPSW.2018.00066","http://dx.doi.org/10.1109/IPDPSW.2018.00066")</f>
        <v>http://dx.doi.org/10.1109/IPDPSW.2018.00066</v>
      </c>
      <c r="BG57" s="2" t="s">
        <v>3635</v>
      </c>
      <c r="BH57" s="2" t="s">
        <v>3635</v>
      </c>
      <c r="BI57" s="2">
        <v>6.0</v>
      </c>
      <c r="BJ57" s="2" t="s">
        <v>4874</v>
      </c>
      <c r="BK57" s="2" t="s">
        <v>3692</v>
      </c>
      <c r="BL57" s="2" t="s">
        <v>3659</v>
      </c>
      <c r="BM57" s="2" t="s">
        <v>4875</v>
      </c>
      <c r="BN57" s="2" t="s">
        <v>3635</v>
      </c>
      <c r="BO57" s="2" t="s">
        <v>3635</v>
      </c>
      <c r="BP57" s="2" t="s">
        <v>3635</v>
      </c>
      <c r="BQ57" s="2" t="s">
        <v>3635</v>
      </c>
      <c r="BR57" s="2" t="s">
        <v>3662</v>
      </c>
      <c r="BS57" s="2" t="s">
        <v>4876</v>
      </c>
      <c r="BT57" s="2" t="str">
        <f>HYPERLINK("https%3A%2F%2Fwww.webofscience.com%2Fwos%2Fwoscc%2Ffull-record%2FWOS:000541051600042","View Full Record in Web of Science")</f>
        <v>View Full Record in Web of Science</v>
      </c>
    </row>
    <row r="58" ht="15.75" customHeight="1">
      <c r="A58" s="2" t="s">
        <v>3664</v>
      </c>
      <c r="B58" s="2" t="s">
        <v>4877</v>
      </c>
      <c r="C58" s="2" t="s">
        <v>3635</v>
      </c>
      <c r="D58" s="2" t="s">
        <v>3635</v>
      </c>
      <c r="E58" s="2" t="s">
        <v>4144</v>
      </c>
      <c r="F58" s="2" t="s">
        <v>4878</v>
      </c>
      <c r="G58" s="2" t="s">
        <v>3635</v>
      </c>
      <c r="H58" s="2" t="s">
        <v>3635</v>
      </c>
      <c r="I58" s="2" t="s">
        <v>539</v>
      </c>
      <c r="J58" s="2" t="s">
        <v>4879</v>
      </c>
      <c r="K58" s="2" t="s">
        <v>3635</v>
      </c>
      <c r="L58" s="2" t="s">
        <v>3635</v>
      </c>
      <c r="M58" s="2" t="s">
        <v>3638</v>
      </c>
      <c r="N58" s="2" t="s">
        <v>3669</v>
      </c>
      <c r="O58" s="2" t="s">
        <v>4880</v>
      </c>
      <c r="P58" s="2" t="s">
        <v>4881</v>
      </c>
      <c r="Q58" s="2" t="s">
        <v>3843</v>
      </c>
      <c r="R58" s="2" t="s">
        <v>3866</v>
      </c>
      <c r="S58" s="2" t="s">
        <v>3635</v>
      </c>
      <c r="T58" s="2" t="s">
        <v>4882</v>
      </c>
      <c r="U58" s="2" t="s">
        <v>4883</v>
      </c>
      <c r="V58" s="2" t="s">
        <v>4884</v>
      </c>
      <c r="W58" s="2" t="s">
        <v>4885</v>
      </c>
      <c r="X58" s="2" t="s">
        <v>4886</v>
      </c>
      <c r="Y58" s="2" t="s">
        <v>4887</v>
      </c>
      <c r="Z58" s="2" t="s">
        <v>4888</v>
      </c>
      <c r="AA58" s="2" t="s">
        <v>4889</v>
      </c>
      <c r="AB58" s="2" t="s">
        <v>4890</v>
      </c>
      <c r="AC58" s="2" t="s">
        <v>4891</v>
      </c>
      <c r="AD58" s="2" t="s">
        <v>4892</v>
      </c>
      <c r="AE58" s="2" t="s">
        <v>4893</v>
      </c>
      <c r="AF58" s="2" t="s">
        <v>3635</v>
      </c>
      <c r="AG58" s="2">
        <v>42.0</v>
      </c>
      <c r="AH58" s="2">
        <v>3.0</v>
      </c>
      <c r="AI58" s="2">
        <v>3.0</v>
      </c>
      <c r="AJ58" s="2">
        <v>0.0</v>
      </c>
      <c r="AK58" s="2">
        <v>0.0</v>
      </c>
      <c r="AL58" s="2" t="s">
        <v>3685</v>
      </c>
      <c r="AM58" s="2" t="s">
        <v>3686</v>
      </c>
      <c r="AN58" s="2" t="s">
        <v>3687</v>
      </c>
      <c r="AO58" s="2" t="s">
        <v>3635</v>
      </c>
      <c r="AP58" s="2" t="s">
        <v>3635</v>
      </c>
      <c r="AQ58" s="2" t="s">
        <v>4894</v>
      </c>
      <c r="AR58" s="2" t="s">
        <v>3635</v>
      </c>
      <c r="AS58" s="2" t="s">
        <v>3635</v>
      </c>
      <c r="AT58" s="2" t="s">
        <v>3635</v>
      </c>
      <c r="AU58" s="2">
        <v>2021.0</v>
      </c>
      <c r="AV58" s="2" t="s">
        <v>3635</v>
      </c>
      <c r="AW58" s="2" t="s">
        <v>3635</v>
      </c>
      <c r="AX58" s="2" t="s">
        <v>3635</v>
      </c>
      <c r="AY58" s="2" t="s">
        <v>3635</v>
      </c>
      <c r="AZ58" s="2" t="s">
        <v>3635</v>
      </c>
      <c r="BA58" s="2" t="s">
        <v>3635</v>
      </c>
      <c r="BB58" s="2">
        <v>54.0</v>
      </c>
      <c r="BC58" s="2">
        <v>63.0</v>
      </c>
      <c r="BD58" s="2" t="s">
        <v>3635</v>
      </c>
      <c r="BE58" s="2" t="s">
        <v>542</v>
      </c>
      <c r="BF58" s="3" t="str">
        <f>HYPERLINK("http://dx.doi.org/10.1109/CogMI52975.2021.00016","http://dx.doi.org/10.1109/CogMI52975.2021.00016")</f>
        <v>http://dx.doi.org/10.1109/CogMI52975.2021.00016</v>
      </c>
      <c r="BG58" s="2" t="s">
        <v>3635</v>
      </c>
      <c r="BH58" s="2" t="s">
        <v>3635</v>
      </c>
      <c r="BI58" s="2">
        <v>10.0</v>
      </c>
      <c r="BJ58" s="2" t="s">
        <v>4895</v>
      </c>
      <c r="BK58" s="2" t="s">
        <v>3692</v>
      </c>
      <c r="BL58" s="2" t="s">
        <v>3659</v>
      </c>
      <c r="BM58" s="2" t="s">
        <v>4896</v>
      </c>
      <c r="BN58" s="2" t="s">
        <v>3635</v>
      </c>
      <c r="BO58" s="2" t="s">
        <v>3694</v>
      </c>
      <c r="BP58" s="2" t="s">
        <v>3635</v>
      </c>
      <c r="BQ58" s="2" t="s">
        <v>3635</v>
      </c>
      <c r="BR58" s="2" t="s">
        <v>3662</v>
      </c>
      <c r="BS58" s="2" t="s">
        <v>4897</v>
      </c>
      <c r="BT58" s="2" t="str">
        <f>HYPERLINK("https%3A%2F%2Fwww.webofscience.com%2Fwos%2Fwoscc%2Ffull-record%2FWOS:000835349000007","View Full Record in Web of Science")</f>
        <v>View Full Record in Web of Science</v>
      </c>
    </row>
    <row r="59" ht="15.75" customHeight="1">
      <c r="A59" s="2" t="s">
        <v>3633</v>
      </c>
      <c r="B59" s="2" t="s">
        <v>4898</v>
      </c>
      <c r="C59" s="2" t="s">
        <v>3635</v>
      </c>
      <c r="D59" s="2" t="s">
        <v>3635</v>
      </c>
      <c r="E59" s="2" t="s">
        <v>3635</v>
      </c>
      <c r="F59" s="2" t="s">
        <v>4899</v>
      </c>
      <c r="G59" s="2" t="s">
        <v>3635</v>
      </c>
      <c r="H59" s="2" t="s">
        <v>3635</v>
      </c>
      <c r="I59" s="2" t="s">
        <v>4900</v>
      </c>
      <c r="J59" s="2" t="s">
        <v>4901</v>
      </c>
      <c r="K59" s="2" t="s">
        <v>3635</v>
      </c>
      <c r="L59" s="2" t="s">
        <v>3635</v>
      </c>
      <c r="M59" s="2" t="s">
        <v>3638</v>
      </c>
      <c r="N59" s="2" t="s">
        <v>21</v>
      </c>
      <c r="O59" s="2" t="s">
        <v>3635</v>
      </c>
      <c r="P59" s="2" t="s">
        <v>3635</v>
      </c>
      <c r="Q59" s="2" t="s">
        <v>3635</v>
      </c>
      <c r="R59" s="2" t="s">
        <v>3635</v>
      </c>
      <c r="S59" s="2" t="s">
        <v>3635</v>
      </c>
      <c r="T59" s="2" t="s">
        <v>4902</v>
      </c>
      <c r="U59" s="2" t="s">
        <v>4903</v>
      </c>
      <c r="V59" s="2" t="s">
        <v>4904</v>
      </c>
      <c r="W59" s="2" t="s">
        <v>4905</v>
      </c>
      <c r="X59" s="2" t="s">
        <v>4906</v>
      </c>
      <c r="Y59" s="2" t="s">
        <v>4907</v>
      </c>
      <c r="Z59" s="2" t="s">
        <v>4908</v>
      </c>
      <c r="AA59" s="2" t="s">
        <v>3635</v>
      </c>
      <c r="AB59" s="2" t="s">
        <v>4909</v>
      </c>
      <c r="AC59" s="2" t="s">
        <v>4910</v>
      </c>
      <c r="AD59" s="2" t="s">
        <v>4515</v>
      </c>
      <c r="AE59" s="2" t="s">
        <v>4911</v>
      </c>
      <c r="AF59" s="2" t="s">
        <v>3635</v>
      </c>
      <c r="AG59" s="2">
        <v>67.0</v>
      </c>
      <c r="AH59" s="2">
        <v>0.0</v>
      </c>
      <c r="AI59" s="2">
        <v>0.0</v>
      </c>
      <c r="AJ59" s="2">
        <v>4.0</v>
      </c>
      <c r="AK59" s="2">
        <v>4.0</v>
      </c>
      <c r="AL59" s="2" t="s">
        <v>4740</v>
      </c>
      <c r="AM59" s="2" t="s">
        <v>4668</v>
      </c>
      <c r="AN59" s="2" t="s">
        <v>4741</v>
      </c>
      <c r="AO59" s="2" t="s">
        <v>3635</v>
      </c>
      <c r="AP59" s="2" t="s">
        <v>4912</v>
      </c>
      <c r="AQ59" s="2" t="s">
        <v>3635</v>
      </c>
      <c r="AR59" s="2" t="s">
        <v>4913</v>
      </c>
      <c r="AS59" s="2" t="s">
        <v>4914</v>
      </c>
      <c r="AT59" s="2" t="s">
        <v>4915</v>
      </c>
      <c r="AU59" s="2">
        <v>2023.0</v>
      </c>
      <c r="AV59" s="2">
        <v>23.0</v>
      </c>
      <c r="AW59" s="2">
        <v>1.0</v>
      </c>
      <c r="AX59" s="2" t="s">
        <v>3635</v>
      </c>
      <c r="AY59" s="2" t="s">
        <v>3635</v>
      </c>
      <c r="AZ59" s="2" t="s">
        <v>3635</v>
      </c>
      <c r="BA59" s="2" t="s">
        <v>3635</v>
      </c>
      <c r="BB59" s="2" t="s">
        <v>3635</v>
      </c>
      <c r="BC59" s="2" t="s">
        <v>3635</v>
      </c>
      <c r="BD59" s="2">
        <v>248.0</v>
      </c>
      <c r="BE59" s="2" t="s">
        <v>4916</v>
      </c>
      <c r="BF59" s="3" t="str">
        <f>HYPERLINK("http://dx.doi.org/10.1186/s12874-023-02068-3","http://dx.doi.org/10.1186/s12874-023-02068-3")</f>
        <v>http://dx.doi.org/10.1186/s12874-023-02068-3</v>
      </c>
      <c r="BG59" s="2" t="s">
        <v>3635</v>
      </c>
      <c r="BH59" s="2" t="s">
        <v>3635</v>
      </c>
      <c r="BI59" s="2">
        <v>15.0</v>
      </c>
      <c r="BJ59" s="2" t="s">
        <v>4917</v>
      </c>
      <c r="BK59" s="2" t="s">
        <v>3658</v>
      </c>
      <c r="BL59" s="2" t="s">
        <v>4917</v>
      </c>
      <c r="BM59" s="2" t="s">
        <v>4918</v>
      </c>
      <c r="BN59" s="2">
        <v>3.7872541E7</v>
      </c>
      <c r="BO59" s="2" t="s">
        <v>4251</v>
      </c>
      <c r="BP59" s="2" t="s">
        <v>3635</v>
      </c>
      <c r="BQ59" s="2" t="s">
        <v>3635</v>
      </c>
      <c r="BR59" s="2" t="s">
        <v>3662</v>
      </c>
      <c r="BS59" s="2" t="s">
        <v>4919</v>
      </c>
      <c r="BT59" s="2" t="str">
        <f>HYPERLINK("https%3A%2F%2Fwww.webofscience.com%2Fwos%2Fwoscc%2Ffull-record%2FWOS:001095876800001","View Full Record in Web of Science")</f>
        <v>View Full Record in Web of Science</v>
      </c>
    </row>
    <row r="60" ht="15.75" customHeight="1">
      <c r="A60" s="2" t="s">
        <v>3633</v>
      </c>
      <c r="B60" s="2" t="s">
        <v>4920</v>
      </c>
      <c r="C60" s="2" t="s">
        <v>3635</v>
      </c>
      <c r="D60" s="2" t="s">
        <v>3635</v>
      </c>
      <c r="E60" s="2" t="s">
        <v>3635</v>
      </c>
      <c r="F60" s="2" t="s">
        <v>4921</v>
      </c>
      <c r="G60" s="2" t="s">
        <v>3635</v>
      </c>
      <c r="H60" s="2" t="s">
        <v>3635</v>
      </c>
      <c r="I60" s="2" t="s">
        <v>4922</v>
      </c>
      <c r="J60" s="2" t="s">
        <v>4923</v>
      </c>
      <c r="K60" s="2" t="s">
        <v>3635</v>
      </c>
      <c r="L60" s="2" t="s">
        <v>3635</v>
      </c>
      <c r="M60" s="2" t="s">
        <v>3638</v>
      </c>
      <c r="N60" s="2" t="s">
        <v>21</v>
      </c>
      <c r="O60" s="2" t="s">
        <v>3635</v>
      </c>
      <c r="P60" s="2" t="s">
        <v>3635</v>
      </c>
      <c r="Q60" s="2" t="s">
        <v>3635</v>
      </c>
      <c r="R60" s="2" t="s">
        <v>3635</v>
      </c>
      <c r="S60" s="2" t="s">
        <v>3635</v>
      </c>
      <c r="T60" s="2" t="s">
        <v>4924</v>
      </c>
      <c r="U60" s="2" t="s">
        <v>4925</v>
      </c>
      <c r="V60" s="2" t="s">
        <v>4926</v>
      </c>
      <c r="W60" s="2" t="s">
        <v>4927</v>
      </c>
      <c r="X60" s="2" t="s">
        <v>4928</v>
      </c>
      <c r="Y60" s="2" t="s">
        <v>4929</v>
      </c>
      <c r="Z60" s="2" t="s">
        <v>4930</v>
      </c>
      <c r="AA60" s="2" t="s">
        <v>3635</v>
      </c>
      <c r="AB60" s="2" t="s">
        <v>4931</v>
      </c>
      <c r="AC60" s="2" t="s">
        <v>4932</v>
      </c>
      <c r="AD60" s="2" t="s">
        <v>4933</v>
      </c>
      <c r="AE60" s="2" t="s">
        <v>4934</v>
      </c>
      <c r="AF60" s="2" t="s">
        <v>3635</v>
      </c>
      <c r="AG60" s="2">
        <v>22.0</v>
      </c>
      <c r="AH60" s="2">
        <v>0.0</v>
      </c>
      <c r="AI60" s="2">
        <v>0.0</v>
      </c>
      <c r="AJ60" s="2">
        <v>0.0</v>
      </c>
      <c r="AK60" s="2">
        <v>1.0</v>
      </c>
      <c r="AL60" s="2" t="s">
        <v>4935</v>
      </c>
      <c r="AM60" s="2" t="s">
        <v>4494</v>
      </c>
      <c r="AN60" s="2" t="s">
        <v>4936</v>
      </c>
      <c r="AO60" s="2" t="s">
        <v>4937</v>
      </c>
      <c r="AP60" s="2" t="s">
        <v>4938</v>
      </c>
      <c r="AQ60" s="2" t="s">
        <v>3635</v>
      </c>
      <c r="AR60" s="2" t="s">
        <v>4939</v>
      </c>
      <c r="AS60" s="2" t="s">
        <v>4940</v>
      </c>
      <c r="AT60" s="2" t="s">
        <v>4941</v>
      </c>
      <c r="AU60" s="2">
        <v>2023.0</v>
      </c>
      <c r="AV60" s="2">
        <v>16.0</v>
      </c>
      <c r="AW60" s="2">
        <v>2.0</v>
      </c>
      <c r="AX60" s="2" t="s">
        <v>3635</v>
      </c>
      <c r="AY60" s="2" t="s">
        <v>3635</v>
      </c>
      <c r="AZ60" s="2" t="s">
        <v>3635</v>
      </c>
      <c r="BA60" s="2" t="s">
        <v>3635</v>
      </c>
      <c r="BB60" s="2">
        <v>157.0</v>
      </c>
      <c r="BC60" s="2">
        <v>165.0</v>
      </c>
      <c r="BD60" s="2" t="s">
        <v>4942</v>
      </c>
      <c r="BE60" s="2" t="s">
        <v>4943</v>
      </c>
      <c r="BF60" s="3" t="str">
        <f>HYPERLINK("http://dx.doi.org/10.1161/CIRCOUTCOMES.122.009277","http://dx.doi.org/10.1161/CIRCOUTCOMES.122.009277")</f>
        <v>http://dx.doi.org/10.1161/CIRCOUTCOMES.122.009277</v>
      </c>
      <c r="BG60" s="2" t="s">
        <v>3635</v>
      </c>
      <c r="BH60" s="2" t="s">
        <v>3635</v>
      </c>
      <c r="BI60" s="2">
        <v>9.0</v>
      </c>
      <c r="BJ60" s="2" t="s">
        <v>4248</v>
      </c>
      <c r="BK60" s="2" t="s">
        <v>3658</v>
      </c>
      <c r="BL60" s="2" t="s">
        <v>4249</v>
      </c>
      <c r="BM60" s="2" t="s">
        <v>4944</v>
      </c>
      <c r="BN60" s="2">
        <v>3.6727516E7</v>
      </c>
      <c r="BO60" s="2" t="s">
        <v>4141</v>
      </c>
      <c r="BP60" s="2" t="s">
        <v>3635</v>
      </c>
      <c r="BQ60" s="2" t="s">
        <v>3635</v>
      </c>
      <c r="BR60" s="2" t="s">
        <v>3662</v>
      </c>
      <c r="BS60" s="2" t="s">
        <v>4945</v>
      </c>
      <c r="BT60" s="2" t="str">
        <f>HYPERLINK("https%3A%2F%2Fwww.webofscience.com%2Fwos%2Fwoscc%2Ffull-record%2FWOS:000938279600002","View Full Record in Web of Science")</f>
        <v>View Full Record in Web of Science</v>
      </c>
    </row>
    <row r="61" ht="15.75" customHeight="1">
      <c r="A61" s="2" t="s">
        <v>3664</v>
      </c>
      <c r="B61" s="2" t="s">
        <v>4946</v>
      </c>
      <c r="C61" s="2" t="s">
        <v>3635</v>
      </c>
      <c r="D61" s="2" t="s">
        <v>3635</v>
      </c>
      <c r="E61" s="2" t="s">
        <v>4947</v>
      </c>
      <c r="F61" s="2" t="s">
        <v>4946</v>
      </c>
      <c r="G61" s="2" t="s">
        <v>3635</v>
      </c>
      <c r="H61" s="2" t="s">
        <v>3635</v>
      </c>
      <c r="I61" s="2" t="s">
        <v>2840</v>
      </c>
      <c r="J61" s="2" t="s">
        <v>4948</v>
      </c>
      <c r="K61" s="2" t="s">
        <v>1661</v>
      </c>
      <c r="L61" s="2" t="s">
        <v>3635</v>
      </c>
      <c r="M61" s="2" t="s">
        <v>3638</v>
      </c>
      <c r="N61" s="2" t="s">
        <v>3669</v>
      </c>
      <c r="O61" s="2" t="s">
        <v>4949</v>
      </c>
      <c r="P61" s="2" t="s">
        <v>4950</v>
      </c>
      <c r="Q61" s="2" t="s">
        <v>4951</v>
      </c>
      <c r="R61" s="2" t="s">
        <v>4952</v>
      </c>
      <c r="S61" s="2" t="s">
        <v>3635</v>
      </c>
      <c r="T61" s="2" t="s">
        <v>3635</v>
      </c>
      <c r="U61" s="2" t="s">
        <v>3635</v>
      </c>
      <c r="V61" s="2" t="s">
        <v>4953</v>
      </c>
      <c r="W61" s="2" t="s">
        <v>4954</v>
      </c>
      <c r="X61" s="2" t="s">
        <v>4955</v>
      </c>
      <c r="Y61" s="2" t="s">
        <v>4956</v>
      </c>
      <c r="Z61" s="2" t="s">
        <v>4957</v>
      </c>
      <c r="AA61" s="2" t="s">
        <v>4958</v>
      </c>
      <c r="AB61" s="2" t="s">
        <v>4959</v>
      </c>
      <c r="AC61" s="2" t="s">
        <v>3635</v>
      </c>
      <c r="AD61" s="2" t="s">
        <v>3635</v>
      </c>
      <c r="AE61" s="2" t="s">
        <v>3635</v>
      </c>
      <c r="AF61" s="2" t="s">
        <v>3635</v>
      </c>
      <c r="AG61" s="2">
        <v>6.0</v>
      </c>
      <c r="AH61" s="2">
        <v>3.0</v>
      </c>
      <c r="AI61" s="2">
        <v>3.0</v>
      </c>
      <c r="AJ61" s="2">
        <v>0.0</v>
      </c>
      <c r="AK61" s="2">
        <v>1.0</v>
      </c>
      <c r="AL61" s="2" t="s">
        <v>1974</v>
      </c>
      <c r="AM61" s="2" t="s">
        <v>3651</v>
      </c>
      <c r="AN61" s="2" t="s">
        <v>3762</v>
      </c>
      <c r="AO61" s="2" t="s">
        <v>4960</v>
      </c>
      <c r="AP61" s="2" t="s">
        <v>4961</v>
      </c>
      <c r="AQ61" s="2" t="s">
        <v>4962</v>
      </c>
      <c r="AR61" s="2" t="s">
        <v>4963</v>
      </c>
      <c r="AS61" s="2" t="s">
        <v>3635</v>
      </c>
      <c r="AT61" s="2" t="s">
        <v>3635</v>
      </c>
      <c r="AU61" s="2">
        <v>2000.0</v>
      </c>
      <c r="AV61" s="2" t="s">
        <v>3635</v>
      </c>
      <c r="AW61" s="2" t="s">
        <v>3635</v>
      </c>
      <c r="AX61" s="2" t="s">
        <v>3635</v>
      </c>
      <c r="AY61" s="2" t="s">
        <v>3635</v>
      </c>
      <c r="AZ61" s="2" t="s">
        <v>3635</v>
      </c>
      <c r="BA61" s="2" t="s">
        <v>3635</v>
      </c>
      <c r="BB61" s="2">
        <v>3165.0</v>
      </c>
      <c r="BC61" s="2">
        <v>3166.0</v>
      </c>
      <c r="BD61" s="2" t="s">
        <v>3635</v>
      </c>
      <c r="BE61" s="2" t="s">
        <v>3635</v>
      </c>
      <c r="BF61" s="2" t="s">
        <v>3635</v>
      </c>
      <c r="BG61" s="2" t="s">
        <v>3635</v>
      </c>
      <c r="BH61" s="2" t="s">
        <v>3635</v>
      </c>
      <c r="BI61" s="2">
        <v>2.0</v>
      </c>
      <c r="BJ61" s="2" t="s">
        <v>4964</v>
      </c>
      <c r="BK61" s="2" t="s">
        <v>3692</v>
      </c>
      <c r="BL61" s="2" t="s">
        <v>4964</v>
      </c>
      <c r="BM61" s="2" t="s">
        <v>4965</v>
      </c>
      <c r="BN61" s="2" t="s">
        <v>3635</v>
      </c>
      <c r="BO61" s="2" t="s">
        <v>3635</v>
      </c>
      <c r="BP61" s="2" t="s">
        <v>3635</v>
      </c>
      <c r="BQ61" s="2" t="s">
        <v>3635</v>
      </c>
      <c r="BR61" s="2" t="s">
        <v>3662</v>
      </c>
      <c r="BS61" s="2" t="s">
        <v>4966</v>
      </c>
      <c r="BT61" s="2" t="str">
        <f>HYPERLINK("https%3A%2F%2Fwww.webofscience.com%2Fwos%2Fwoscc%2Ffull-record%2FWOS:000166106200648","View Full Record in Web of Science")</f>
        <v>View Full Record in Web of Science</v>
      </c>
    </row>
    <row r="62" ht="15.75" customHeight="1">
      <c r="A62" s="2" t="s">
        <v>3633</v>
      </c>
      <c r="B62" s="2" t="s">
        <v>4967</v>
      </c>
      <c r="C62" s="2" t="s">
        <v>3635</v>
      </c>
      <c r="D62" s="2" t="s">
        <v>3635</v>
      </c>
      <c r="E62" s="2" t="s">
        <v>3635</v>
      </c>
      <c r="F62" s="2" t="s">
        <v>4967</v>
      </c>
      <c r="G62" s="2" t="s">
        <v>3635</v>
      </c>
      <c r="H62" s="2" t="s">
        <v>3635</v>
      </c>
      <c r="I62" s="2" t="s">
        <v>1557</v>
      </c>
      <c r="J62" s="2" t="s">
        <v>4968</v>
      </c>
      <c r="K62" s="2" t="s">
        <v>3635</v>
      </c>
      <c r="L62" s="2" t="s">
        <v>3635</v>
      </c>
      <c r="M62" s="2" t="s">
        <v>3638</v>
      </c>
      <c r="N62" s="2" t="s">
        <v>21</v>
      </c>
      <c r="O62" s="2" t="s">
        <v>3635</v>
      </c>
      <c r="P62" s="2" t="s">
        <v>3635</v>
      </c>
      <c r="Q62" s="2" t="s">
        <v>3635</v>
      </c>
      <c r="R62" s="2" t="s">
        <v>3635</v>
      </c>
      <c r="S62" s="2" t="s">
        <v>3635</v>
      </c>
      <c r="T62" s="2" t="s">
        <v>4969</v>
      </c>
      <c r="U62" s="2" t="s">
        <v>4970</v>
      </c>
      <c r="V62" s="2" t="s">
        <v>4971</v>
      </c>
      <c r="W62" s="2" t="s">
        <v>4972</v>
      </c>
      <c r="X62" s="2" t="s">
        <v>4973</v>
      </c>
      <c r="Y62" s="2" t="s">
        <v>4974</v>
      </c>
      <c r="Z62" s="2" t="s">
        <v>3635</v>
      </c>
      <c r="AA62" s="2" t="s">
        <v>4975</v>
      </c>
      <c r="AB62" s="2" t="s">
        <v>4976</v>
      </c>
      <c r="AC62" s="2" t="s">
        <v>3635</v>
      </c>
      <c r="AD62" s="2" t="s">
        <v>3635</v>
      </c>
      <c r="AE62" s="2" t="s">
        <v>3635</v>
      </c>
      <c r="AF62" s="2" t="s">
        <v>3635</v>
      </c>
      <c r="AG62" s="2">
        <v>21.0</v>
      </c>
      <c r="AH62" s="2">
        <v>1.0</v>
      </c>
      <c r="AI62" s="2">
        <v>2.0</v>
      </c>
      <c r="AJ62" s="2">
        <v>0.0</v>
      </c>
      <c r="AK62" s="2">
        <v>2.0</v>
      </c>
      <c r="AL62" s="2" t="s">
        <v>4977</v>
      </c>
      <c r="AM62" s="2" t="s">
        <v>4978</v>
      </c>
      <c r="AN62" s="2" t="s">
        <v>4979</v>
      </c>
      <c r="AO62" s="2" t="s">
        <v>4980</v>
      </c>
      <c r="AP62" s="2" t="s">
        <v>4981</v>
      </c>
      <c r="AQ62" s="2" t="s">
        <v>3635</v>
      </c>
      <c r="AR62" s="2" t="s">
        <v>4982</v>
      </c>
      <c r="AS62" s="2" t="s">
        <v>4983</v>
      </c>
      <c r="AT62" s="2" t="s">
        <v>4984</v>
      </c>
      <c r="AU62" s="2">
        <v>2004.0</v>
      </c>
      <c r="AV62" s="2">
        <v>14.0</v>
      </c>
      <c r="AW62" s="2">
        <v>3.0</v>
      </c>
      <c r="AX62" s="2" t="s">
        <v>3635</v>
      </c>
      <c r="AY62" s="2" t="s">
        <v>3635</v>
      </c>
      <c r="AZ62" s="2" t="s">
        <v>3635</v>
      </c>
      <c r="BA62" s="2" t="s">
        <v>3635</v>
      </c>
      <c r="BB62" s="2">
        <v>351.0</v>
      </c>
      <c r="BC62" s="2">
        <v>364.0</v>
      </c>
      <c r="BD62" s="2" t="s">
        <v>3635</v>
      </c>
      <c r="BE62" s="2" t="s">
        <v>1560</v>
      </c>
      <c r="BF62" s="3" t="str">
        <f>HYPERLINK("http://dx.doi.org/10.1142/S021819400400166X","http://dx.doi.org/10.1142/S021819400400166X")</f>
        <v>http://dx.doi.org/10.1142/S021819400400166X</v>
      </c>
      <c r="BG62" s="2" t="s">
        <v>3635</v>
      </c>
      <c r="BH62" s="2" t="s">
        <v>3635</v>
      </c>
      <c r="BI62" s="2">
        <v>14.0</v>
      </c>
      <c r="BJ62" s="2" t="s">
        <v>4985</v>
      </c>
      <c r="BK62" s="2" t="s">
        <v>3658</v>
      </c>
      <c r="BL62" s="2" t="s">
        <v>3944</v>
      </c>
      <c r="BM62" s="2" t="s">
        <v>4986</v>
      </c>
      <c r="BN62" s="2" t="s">
        <v>3635</v>
      </c>
      <c r="BO62" s="2" t="s">
        <v>3635</v>
      </c>
      <c r="BP62" s="2" t="s">
        <v>3635</v>
      </c>
      <c r="BQ62" s="2" t="s">
        <v>3635</v>
      </c>
      <c r="BR62" s="2" t="s">
        <v>3662</v>
      </c>
      <c r="BS62" s="2" t="s">
        <v>4987</v>
      </c>
      <c r="BT62" s="2" t="str">
        <f>HYPERLINK("https%3A%2F%2Fwww.webofscience.com%2Fwos%2Fwoscc%2Ffull-record%2FWOS:000223298800005","View Full Record in Web of Science")</f>
        <v>View Full Record in Web of Science</v>
      </c>
    </row>
    <row r="63" ht="15.75" customHeight="1">
      <c r="A63" s="2" t="s">
        <v>3633</v>
      </c>
      <c r="B63" s="2" t="s">
        <v>4988</v>
      </c>
      <c r="C63" s="2" t="s">
        <v>3635</v>
      </c>
      <c r="D63" s="2" t="s">
        <v>3635</v>
      </c>
      <c r="E63" s="2" t="s">
        <v>3635</v>
      </c>
      <c r="F63" s="2" t="s">
        <v>4989</v>
      </c>
      <c r="G63" s="2" t="s">
        <v>3635</v>
      </c>
      <c r="H63" s="2" t="s">
        <v>3635</v>
      </c>
      <c r="I63" s="2" t="s">
        <v>4990</v>
      </c>
      <c r="J63" s="2" t="s">
        <v>4991</v>
      </c>
      <c r="K63" s="2" t="s">
        <v>3635</v>
      </c>
      <c r="L63" s="2" t="s">
        <v>3635</v>
      </c>
      <c r="M63" s="2" t="s">
        <v>3638</v>
      </c>
      <c r="N63" s="2" t="s">
        <v>21</v>
      </c>
      <c r="O63" s="2" t="s">
        <v>3635</v>
      </c>
      <c r="P63" s="2" t="s">
        <v>3635</v>
      </c>
      <c r="Q63" s="2" t="s">
        <v>3635</v>
      </c>
      <c r="R63" s="2" t="s">
        <v>3635</v>
      </c>
      <c r="S63" s="2" t="s">
        <v>3635</v>
      </c>
      <c r="T63" s="2" t="s">
        <v>4992</v>
      </c>
      <c r="U63" s="2" t="s">
        <v>4993</v>
      </c>
      <c r="V63" s="2" t="s">
        <v>4994</v>
      </c>
      <c r="W63" s="2" t="s">
        <v>4995</v>
      </c>
      <c r="X63" s="2" t="s">
        <v>4996</v>
      </c>
      <c r="Y63" s="2" t="s">
        <v>4997</v>
      </c>
      <c r="Z63" s="2" t="s">
        <v>4998</v>
      </c>
      <c r="AA63" s="2" t="s">
        <v>4999</v>
      </c>
      <c r="AB63" s="2" t="s">
        <v>5000</v>
      </c>
      <c r="AC63" s="2" t="s">
        <v>3635</v>
      </c>
      <c r="AD63" s="2" t="s">
        <v>3635</v>
      </c>
      <c r="AE63" s="2" t="s">
        <v>3635</v>
      </c>
      <c r="AF63" s="2" t="s">
        <v>3635</v>
      </c>
      <c r="AG63" s="2">
        <v>49.0</v>
      </c>
      <c r="AH63" s="2">
        <v>2.0</v>
      </c>
      <c r="AI63" s="2">
        <v>2.0</v>
      </c>
      <c r="AJ63" s="2">
        <v>2.0</v>
      </c>
      <c r="AK63" s="2">
        <v>11.0</v>
      </c>
      <c r="AL63" s="2" t="s">
        <v>4493</v>
      </c>
      <c r="AM63" s="2" t="s">
        <v>4494</v>
      </c>
      <c r="AN63" s="2" t="s">
        <v>4495</v>
      </c>
      <c r="AO63" s="2" t="s">
        <v>5001</v>
      </c>
      <c r="AP63" s="2" t="s">
        <v>5002</v>
      </c>
      <c r="AQ63" s="2" t="s">
        <v>3635</v>
      </c>
      <c r="AR63" s="2" t="s">
        <v>5003</v>
      </c>
      <c r="AS63" s="2" t="s">
        <v>5004</v>
      </c>
      <c r="AT63" s="2" t="s">
        <v>5005</v>
      </c>
      <c r="AU63" s="2">
        <v>2023.0</v>
      </c>
      <c r="AV63" s="2">
        <v>52.0</v>
      </c>
      <c r="AW63" s="2">
        <v>9.0</v>
      </c>
      <c r="AX63" s="2" t="s">
        <v>3635</v>
      </c>
      <c r="AY63" s="2" t="s">
        <v>3635</v>
      </c>
      <c r="AZ63" s="2" t="s">
        <v>3635</v>
      </c>
      <c r="BA63" s="2" t="s">
        <v>3635</v>
      </c>
      <c r="BB63" s="2">
        <v>4293.0</v>
      </c>
      <c r="BC63" s="2">
        <v>4312.0</v>
      </c>
      <c r="BD63" s="2" t="s">
        <v>3635</v>
      </c>
      <c r="BE63" s="2" t="s">
        <v>5006</v>
      </c>
      <c r="BF63" s="3" t="str">
        <f>HYPERLINK("http://dx.doi.org/10.1080/03610918.2021.1960374","http://dx.doi.org/10.1080/03610918.2021.1960374")</f>
        <v>http://dx.doi.org/10.1080/03610918.2021.1960374</v>
      </c>
      <c r="BG63" s="2" t="s">
        <v>3635</v>
      </c>
      <c r="BH63" s="2" t="s">
        <v>5007</v>
      </c>
      <c r="BI63" s="2">
        <v>20.0</v>
      </c>
      <c r="BJ63" s="2" t="s">
        <v>4377</v>
      </c>
      <c r="BK63" s="2" t="s">
        <v>3658</v>
      </c>
      <c r="BL63" s="2" t="s">
        <v>4379</v>
      </c>
      <c r="BM63" s="2" t="s">
        <v>5008</v>
      </c>
      <c r="BN63" s="2" t="s">
        <v>3635</v>
      </c>
      <c r="BO63" s="2" t="s">
        <v>4519</v>
      </c>
      <c r="BP63" s="2" t="s">
        <v>3635</v>
      </c>
      <c r="BQ63" s="2" t="s">
        <v>3635</v>
      </c>
      <c r="BR63" s="2" t="s">
        <v>3662</v>
      </c>
      <c r="BS63" s="2" t="s">
        <v>5009</v>
      </c>
      <c r="BT63" s="2" t="str">
        <f>HYPERLINK("https%3A%2F%2Fwww.webofscience.com%2Fwos%2Fwoscc%2Ffull-record%2FWOS:000685987200001","View Full Record in Web of Science")</f>
        <v>View Full Record in Web of Science</v>
      </c>
    </row>
    <row r="64" ht="15.75" customHeight="1">
      <c r="A64" s="2" t="s">
        <v>3664</v>
      </c>
      <c r="B64" s="2" t="s">
        <v>5010</v>
      </c>
      <c r="C64" s="2" t="s">
        <v>3635</v>
      </c>
      <c r="D64" s="2" t="s">
        <v>3635</v>
      </c>
      <c r="E64" s="2" t="s">
        <v>5011</v>
      </c>
      <c r="F64" s="2" t="s">
        <v>5012</v>
      </c>
      <c r="G64" s="2" t="s">
        <v>3635</v>
      </c>
      <c r="H64" s="2" t="s">
        <v>3635</v>
      </c>
      <c r="I64" s="2" t="s">
        <v>5013</v>
      </c>
      <c r="J64" s="2" t="s">
        <v>5014</v>
      </c>
      <c r="K64" s="2" t="s">
        <v>3635</v>
      </c>
      <c r="L64" s="2" t="s">
        <v>3635</v>
      </c>
      <c r="M64" s="2" t="s">
        <v>3638</v>
      </c>
      <c r="N64" s="2" t="s">
        <v>3669</v>
      </c>
      <c r="O64" s="2" t="s">
        <v>5015</v>
      </c>
      <c r="P64" s="2" t="s">
        <v>5016</v>
      </c>
      <c r="Q64" s="2" t="s">
        <v>5017</v>
      </c>
      <c r="R64" s="2" t="s">
        <v>5018</v>
      </c>
      <c r="S64" s="2" t="s">
        <v>3635</v>
      </c>
      <c r="T64" s="2" t="s">
        <v>5019</v>
      </c>
      <c r="U64" s="2" t="s">
        <v>5020</v>
      </c>
      <c r="V64" s="2" t="s">
        <v>5021</v>
      </c>
      <c r="W64" s="2" t="s">
        <v>5022</v>
      </c>
      <c r="X64" s="2" t="s">
        <v>5023</v>
      </c>
      <c r="Y64" s="2" t="s">
        <v>5024</v>
      </c>
      <c r="Z64" s="2" t="s">
        <v>5025</v>
      </c>
      <c r="AA64" s="2" t="s">
        <v>5026</v>
      </c>
      <c r="AB64" s="2" t="s">
        <v>5027</v>
      </c>
      <c r="AC64" s="2" t="s">
        <v>3635</v>
      </c>
      <c r="AD64" s="2" t="s">
        <v>3635</v>
      </c>
      <c r="AE64" s="2" t="s">
        <v>3635</v>
      </c>
      <c r="AF64" s="2" t="s">
        <v>3635</v>
      </c>
      <c r="AG64" s="2">
        <v>31.0</v>
      </c>
      <c r="AH64" s="2">
        <v>3.0</v>
      </c>
      <c r="AI64" s="2">
        <v>3.0</v>
      </c>
      <c r="AJ64" s="2">
        <v>1.0</v>
      </c>
      <c r="AK64" s="2">
        <v>4.0</v>
      </c>
      <c r="AL64" s="2" t="s">
        <v>3685</v>
      </c>
      <c r="AM64" s="2" t="s">
        <v>3686</v>
      </c>
      <c r="AN64" s="2" t="s">
        <v>3687</v>
      </c>
      <c r="AO64" s="2" t="s">
        <v>3635</v>
      </c>
      <c r="AP64" s="2" t="s">
        <v>3635</v>
      </c>
      <c r="AQ64" s="2" t="s">
        <v>5028</v>
      </c>
      <c r="AR64" s="2" t="s">
        <v>3635</v>
      </c>
      <c r="AS64" s="2" t="s">
        <v>3635</v>
      </c>
      <c r="AT64" s="2" t="s">
        <v>3635</v>
      </c>
      <c r="AU64" s="2">
        <v>2013.0</v>
      </c>
      <c r="AV64" s="2" t="s">
        <v>3635</v>
      </c>
      <c r="AW64" s="2" t="s">
        <v>3635</v>
      </c>
      <c r="AX64" s="2" t="s">
        <v>3635</v>
      </c>
      <c r="AY64" s="2" t="s">
        <v>3635</v>
      </c>
      <c r="AZ64" s="2" t="s">
        <v>3635</v>
      </c>
      <c r="BA64" s="2" t="s">
        <v>3635</v>
      </c>
      <c r="BB64" s="2">
        <v>478.0</v>
      </c>
      <c r="BC64" s="2">
        <v>485.0</v>
      </c>
      <c r="BD64" s="2" t="s">
        <v>3635</v>
      </c>
      <c r="BE64" s="2" t="s">
        <v>1374</v>
      </c>
      <c r="BF64" s="3" t="str">
        <f>HYPERLINK("http://dx.doi.org/10.1109/SocialCom.2013.74","http://dx.doi.org/10.1109/SocialCom.2013.74")</f>
        <v>http://dx.doi.org/10.1109/SocialCom.2013.74</v>
      </c>
      <c r="BG64" s="2" t="s">
        <v>3635</v>
      </c>
      <c r="BH64" s="2" t="s">
        <v>3635</v>
      </c>
      <c r="BI64" s="2">
        <v>8.0</v>
      </c>
      <c r="BJ64" s="2" t="s">
        <v>3896</v>
      </c>
      <c r="BK64" s="2" t="s">
        <v>3692</v>
      </c>
      <c r="BL64" s="2" t="s">
        <v>3659</v>
      </c>
      <c r="BM64" s="2" t="s">
        <v>5029</v>
      </c>
      <c r="BN64" s="2" t="s">
        <v>3635</v>
      </c>
      <c r="BO64" s="2" t="s">
        <v>3635</v>
      </c>
      <c r="BP64" s="2" t="s">
        <v>3635</v>
      </c>
      <c r="BQ64" s="2" t="s">
        <v>3635</v>
      </c>
      <c r="BR64" s="2" t="s">
        <v>3662</v>
      </c>
      <c r="BS64" s="2" t="s">
        <v>5030</v>
      </c>
      <c r="BT64" s="2" t="str">
        <f>HYPERLINK("https%3A%2F%2Fwww.webofscience.com%2Fwos%2Fwoscc%2Ffull-record%2FWOS:000330563800069","View Full Record in Web of Science")</f>
        <v>View Full Record in Web of Science</v>
      </c>
    </row>
    <row r="65" ht="15.75" customHeight="1">
      <c r="A65" s="2" t="s">
        <v>3633</v>
      </c>
      <c r="B65" s="2" t="s">
        <v>5031</v>
      </c>
      <c r="C65" s="2" t="s">
        <v>3635</v>
      </c>
      <c r="D65" s="2" t="s">
        <v>3635</v>
      </c>
      <c r="E65" s="2" t="s">
        <v>3635</v>
      </c>
      <c r="F65" s="2" t="s">
        <v>5032</v>
      </c>
      <c r="G65" s="2" t="s">
        <v>3635</v>
      </c>
      <c r="H65" s="2" t="s">
        <v>3635</v>
      </c>
      <c r="I65" s="2" t="s">
        <v>5033</v>
      </c>
      <c r="J65" s="2" t="s">
        <v>5034</v>
      </c>
      <c r="K65" s="2" t="s">
        <v>3635</v>
      </c>
      <c r="L65" s="2" t="s">
        <v>3635</v>
      </c>
      <c r="M65" s="2" t="s">
        <v>3638</v>
      </c>
      <c r="N65" s="2" t="s">
        <v>5035</v>
      </c>
      <c r="O65" s="2" t="s">
        <v>3635</v>
      </c>
      <c r="P65" s="2" t="s">
        <v>3635</v>
      </c>
      <c r="Q65" s="2" t="s">
        <v>3635</v>
      </c>
      <c r="R65" s="2" t="s">
        <v>3635</v>
      </c>
      <c r="S65" s="2" t="s">
        <v>3635</v>
      </c>
      <c r="T65" s="2" t="s">
        <v>5036</v>
      </c>
      <c r="U65" s="2" t="s">
        <v>5037</v>
      </c>
      <c r="V65" s="2" t="s">
        <v>5038</v>
      </c>
      <c r="W65" s="2" t="s">
        <v>5039</v>
      </c>
      <c r="X65" s="2" t="s">
        <v>5040</v>
      </c>
      <c r="Y65" s="2" t="s">
        <v>5041</v>
      </c>
      <c r="Z65" s="2" t="s">
        <v>5042</v>
      </c>
      <c r="AA65" s="2" t="s">
        <v>5043</v>
      </c>
      <c r="AB65" s="2" t="s">
        <v>5044</v>
      </c>
      <c r="AC65" s="2" t="s">
        <v>5045</v>
      </c>
      <c r="AD65" s="2" t="s">
        <v>5046</v>
      </c>
      <c r="AE65" s="2" t="s">
        <v>5047</v>
      </c>
      <c r="AF65" s="2" t="s">
        <v>3635</v>
      </c>
      <c r="AG65" s="2">
        <v>28.0</v>
      </c>
      <c r="AH65" s="2">
        <v>2.0</v>
      </c>
      <c r="AI65" s="2">
        <v>2.0</v>
      </c>
      <c r="AJ65" s="2">
        <v>0.0</v>
      </c>
      <c r="AK65" s="2">
        <v>1.0</v>
      </c>
      <c r="AL65" s="2" t="s">
        <v>3709</v>
      </c>
      <c r="AM65" s="2" t="s">
        <v>3710</v>
      </c>
      <c r="AN65" s="2" t="s">
        <v>3711</v>
      </c>
      <c r="AO65" s="2" t="s">
        <v>5048</v>
      </c>
      <c r="AP65" s="2" t="s">
        <v>5049</v>
      </c>
      <c r="AQ65" s="2" t="s">
        <v>3635</v>
      </c>
      <c r="AR65" s="2" t="s">
        <v>5034</v>
      </c>
      <c r="AS65" s="2" t="s">
        <v>5050</v>
      </c>
      <c r="AT65" s="2" t="s">
        <v>5051</v>
      </c>
      <c r="AU65" s="2">
        <v>2022.0</v>
      </c>
      <c r="AV65" s="2" t="s">
        <v>3635</v>
      </c>
      <c r="AW65" s="2" t="s">
        <v>3635</v>
      </c>
      <c r="AX65" s="2" t="s">
        <v>3635</v>
      </c>
      <c r="AY65" s="2" t="s">
        <v>3635</v>
      </c>
      <c r="AZ65" s="2" t="s">
        <v>3635</v>
      </c>
      <c r="BA65" s="2" t="s">
        <v>3635</v>
      </c>
      <c r="BB65" s="2" t="s">
        <v>3635</v>
      </c>
      <c r="BC65" s="2" t="s">
        <v>3635</v>
      </c>
      <c r="BD65" s="2" t="s">
        <v>3635</v>
      </c>
      <c r="BE65" s="2" t="s">
        <v>5052</v>
      </c>
      <c r="BF65" s="3" t="str">
        <f>HYPERLINK("http://dx.doi.org/10.1111/biom.13782","http://dx.doi.org/10.1111/biom.13782")</f>
        <v>http://dx.doi.org/10.1111/biom.13782</v>
      </c>
      <c r="BG65" s="2" t="s">
        <v>3635</v>
      </c>
      <c r="BH65" s="2" t="s">
        <v>5053</v>
      </c>
      <c r="BI65" s="2">
        <v>12.0</v>
      </c>
      <c r="BJ65" s="2" t="s">
        <v>5054</v>
      </c>
      <c r="BK65" s="2" t="s">
        <v>3658</v>
      </c>
      <c r="BL65" s="2" t="s">
        <v>5055</v>
      </c>
      <c r="BM65" s="2" t="s">
        <v>5056</v>
      </c>
      <c r="BN65" s="2">
        <v>3.6285364E7</v>
      </c>
      <c r="BO65" s="2" t="s">
        <v>3694</v>
      </c>
      <c r="BP65" s="2" t="s">
        <v>3635</v>
      </c>
      <c r="BQ65" s="2" t="s">
        <v>3635</v>
      </c>
      <c r="BR65" s="2" t="s">
        <v>3662</v>
      </c>
      <c r="BS65" s="2" t="s">
        <v>5057</v>
      </c>
      <c r="BT65" s="2" t="str">
        <f>HYPERLINK("https%3A%2F%2Fwww.webofscience.com%2Fwos%2Fwoscc%2Ffull-record%2FWOS:000882580800001","View Full Record in Web of Science")</f>
        <v>View Full Record in Web of Science</v>
      </c>
    </row>
    <row r="66" ht="15.75" customHeight="1">
      <c r="A66" s="2" t="s">
        <v>3664</v>
      </c>
      <c r="B66" s="2" t="s">
        <v>5058</v>
      </c>
      <c r="C66" s="2" t="s">
        <v>3635</v>
      </c>
      <c r="D66" s="2" t="s">
        <v>3635</v>
      </c>
      <c r="E66" s="2" t="s">
        <v>1974</v>
      </c>
      <c r="F66" s="2" t="s">
        <v>5059</v>
      </c>
      <c r="G66" s="2" t="s">
        <v>3635</v>
      </c>
      <c r="H66" s="2" t="s">
        <v>3635</v>
      </c>
      <c r="I66" s="2" t="s">
        <v>305</v>
      </c>
      <c r="J66" s="2" t="s">
        <v>5060</v>
      </c>
      <c r="K66" s="2" t="s">
        <v>5061</v>
      </c>
      <c r="L66" s="2" t="s">
        <v>3635</v>
      </c>
      <c r="M66" s="2" t="s">
        <v>3638</v>
      </c>
      <c r="N66" s="2" t="s">
        <v>3669</v>
      </c>
      <c r="O66" s="2" t="s">
        <v>5062</v>
      </c>
      <c r="P66" s="2" t="s">
        <v>3671</v>
      </c>
      <c r="Q66" s="2" t="s">
        <v>3672</v>
      </c>
      <c r="R66" s="2" t="s">
        <v>3729</v>
      </c>
      <c r="S66" s="2" t="s">
        <v>3635</v>
      </c>
      <c r="T66" s="2" t="s">
        <v>5063</v>
      </c>
      <c r="U66" s="2" t="s">
        <v>5064</v>
      </c>
      <c r="V66" s="2" t="s">
        <v>5065</v>
      </c>
      <c r="W66" s="2" t="s">
        <v>5066</v>
      </c>
      <c r="X66" s="2" t="s">
        <v>5067</v>
      </c>
      <c r="Y66" s="2" t="s">
        <v>5068</v>
      </c>
      <c r="Z66" s="2" t="s">
        <v>5069</v>
      </c>
      <c r="AA66" s="2" t="s">
        <v>3635</v>
      </c>
      <c r="AB66" s="2" t="s">
        <v>3635</v>
      </c>
      <c r="AC66" s="2" t="s">
        <v>5070</v>
      </c>
      <c r="AD66" s="2" t="s">
        <v>5070</v>
      </c>
      <c r="AE66" s="2" t="s">
        <v>5071</v>
      </c>
      <c r="AF66" s="2" t="s">
        <v>3635</v>
      </c>
      <c r="AG66" s="2">
        <v>47.0</v>
      </c>
      <c r="AH66" s="2">
        <v>0.0</v>
      </c>
      <c r="AI66" s="2">
        <v>0.0</v>
      </c>
      <c r="AJ66" s="2">
        <v>3.0</v>
      </c>
      <c r="AK66" s="2">
        <v>4.0</v>
      </c>
      <c r="AL66" s="2" t="s">
        <v>3685</v>
      </c>
      <c r="AM66" s="2" t="s">
        <v>3686</v>
      </c>
      <c r="AN66" s="2" t="s">
        <v>3687</v>
      </c>
      <c r="AO66" s="2" t="s">
        <v>5072</v>
      </c>
      <c r="AP66" s="2" t="s">
        <v>3635</v>
      </c>
      <c r="AQ66" s="2" t="s">
        <v>5073</v>
      </c>
      <c r="AR66" s="2" t="s">
        <v>5074</v>
      </c>
      <c r="AS66" s="2" t="s">
        <v>3635</v>
      </c>
      <c r="AT66" s="2" t="s">
        <v>3635</v>
      </c>
      <c r="AU66" s="2">
        <v>2023.0</v>
      </c>
      <c r="AV66" s="2" t="s">
        <v>3635</v>
      </c>
      <c r="AW66" s="2" t="s">
        <v>3635</v>
      </c>
      <c r="AX66" s="2" t="s">
        <v>3635</v>
      </c>
      <c r="AY66" s="2" t="s">
        <v>3635</v>
      </c>
      <c r="AZ66" s="2" t="s">
        <v>3635</v>
      </c>
      <c r="BA66" s="2" t="s">
        <v>3635</v>
      </c>
      <c r="BB66" s="2">
        <v>70.0</v>
      </c>
      <c r="BC66" s="2">
        <v>81.0</v>
      </c>
      <c r="BD66" s="2" t="s">
        <v>3635</v>
      </c>
      <c r="BE66" s="2" t="s">
        <v>307</v>
      </c>
      <c r="BF66" s="3" t="str">
        <f>HYPERLINK("http://dx.doi.org/10.1109/ICSE-SEET58685.2023.00013","http://dx.doi.org/10.1109/ICSE-SEET58685.2023.00013")</f>
        <v>http://dx.doi.org/10.1109/ICSE-SEET58685.2023.00013</v>
      </c>
      <c r="BG66" s="2" t="s">
        <v>3635</v>
      </c>
      <c r="BH66" s="2" t="s">
        <v>3635</v>
      </c>
      <c r="BI66" s="2">
        <v>12.0</v>
      </c>
      <c r="BJ66" s="2" t="s">
        <v>5075</v>
      </c>
      <c r="BK66" s="2" t="s">
        <v>3692</v>
      </c>
      <c r="BL66" s="2" t="s">
        <v>5076</v>
      </c>
      <c r="BM66" s="2" t="s">
        <v>5077</v>
      </c>
      <c r="BN66" s="2" t="s">
        <v>3635</v>
      </c>
      <c r="BO66" s="2" t="s">
        <v>3635</v>
      </c>
      <c r="BP66" s="2" t="s">
        <v>3635</v>
      </c>
      <c r="BQ66" s="2" t="s">
        <v>3635</v>
      </c>
      <c r="BR66" s="2" t="s">
        <v>3662</v>
      </c>
      <c r="BS66" s="2" t="s">
        <v>5078</v>
      </c>
      <c r="BT66" s="2" t="str">
        <f>HYPERLINK("https%3A%2F%2Fwww.webofscience.com%2Fwos%2Fwoscc%2Ffull-record%2FWOS:001032813100008","View Full Record in Web of Science")</f>
        <v>View Full Record in Web of Science</v>
      </c>
    </row>
    <row r="67" ht="15.75" customHeight="1">
      <c r="A67" s="2" t="s">
        <v>3664</v>
      </c>
      <c r="B67" s="2" t="s">
        <v>5079</v>
      </c>
      <c r="C67" s="2" t="s">
        <v>3635</v>
      </c>
      <c r="D67" s="2" t="s">
        <v>3635</v>
      </c>
      <c r="E67" s="2" t="s">
        <v>1974</v>
      </c>
      <c r="F67" s="2" t="s">
        <v>5080</v>
      </c>
      <c r="G67" s="2" t="s">
        <v>3635</v>
      </c>
      <c r="H67" s="2" t="s">
        <v>3635</v>
      </c>
      <c r="I67" s="2" t="s">
        <v>5081</v>
      </c>
      <c r="J67" s="2" t="s">
        <v>5082</v>
      </c>
      <c r="K67" s="2" t="s">
        <v>5083</v>
      </c>
      <c r="L67" s="2" t="s">
        <v>3635</v>
      </c>
      <c r="M67" s="2" t="s">
        <v>3638</v>
      </c>
      <c r="N67" s="2" t="s">
        <v>3669</v>
      </c>
      <c r="O67" s="2" t="s">
        <v>5084</v>
      </c>
      <c r="P67" s="2" t="s">
        <v>5085</v>
      </c>
      <c r="Q67" s="2" t="s">
        <v>5086</v>
      </c>
      <c r="R67" s="2" t="s">
        <v>1974</v>
      </c>
      <c r="S67" s="2" t="s">
        <v>3635</v>
      </c>
      <c r="T67" s="2" t="s">
        <v>3635</v>
      </c>
      <c r="U67" s="2" t="s">
        <v>3635</v>
      </c>
      <c r="V67" s="2" t="s">
        <v>5087</v>
      </c>
      <c r="W67" s="2" t="s">
        <v>5088</v>
      </c>
      <c r="X67" s="2" t="s">
        <v>5089</v>
      </c>
      <c r="Y67" s="2" t="s">
        <v>5090</v>
      </c>
      <c r="Z67" s="2" t="s">
        <v>5091</v>
      </c>
      <c r="AA67" s="2" t="s">
        <v>3635</v>
      </c>
      <c r="AB67" s="2" t="s">
        <v>3635</v>
      </c>
      <c r="AC67" s="2" t="s">
        <v>3635</v>
      </c>
      <c r="AD67" s="2" t="s">
        <v>3635</v>
      </c>
      <c r="AE67" s="2" t="s">
        <v>3635</v>
      </c>
      <c r="AF67" s="2" t="s">
        <v>3635</v>
      </c>
      <c r="AG67" s="2">
        <v>22.0</v>
      </c>
      <c r="AH67" s="2">
        <v>68.0</v>
      </c>
      <c r="AI67" s="2">
        <v>79.0</v>
      </c>
      <c r="AJ67" s="2">
        <v>0.0</v>
      </c>
      <c r="AK67" s="2">
        <v>5.0</v>
      </c>
      <c r="AL67" s="2" t="s">
        <v>1974</v>
      </c>
      <c r="AM67" s="2" t="s">
        <v>3651</v>
      </c>
      <c r="AN67" s="2" t="s">
        <v>3762</v>
      </c>
      <c r="AO67" s="2" t="s">
        <v>5092</v>
      </c>
      <c r="AP67" s="2" t="s">
        <v>3635</v>
      </c>
      <c r="AQ67" s="2" t="s">
        <v>5093</v>
      </c>
      <c r="AR67" s="2" t="s">
        <v>5094</v>
      </c>
      <c r="AS67" s="2" t="s">
        <v>3635</v>
      </c>
      <c r="AT67" s="2" t="s">
        <v>3635</v>
      </c>
      <c r="AU67" s="2">
        <v>2014.0</v>
      </c>
      <c r="AV67" s="2" t="s">
        <v>3635</v>
      </c>
      <c r="AW67" s="2" t="s">
        <v>3635</v>
      </c>
      <c r="AX67" s="2" t="s">
        <v>3635</v>
      </c>
      <c r="AY67" s="2" t="s">
        <v>3635</v>
      </c>
      <c r="AZ67" s="2" t="s">
        <v>3635</v>
      </c>
      <c r="BA67" s="2" t="s">
        <v>3635</v>
      </c>
      <c r="BB67" s="2">
        <v>1887.0</v>
      </c>
      <c r="BC67" s="2">
        <v>1895.0</v>
      </c>
      <c r="BD67" s="2" t="s">
        <v>3635</v>
      </c>
      <c r="BE67" s="2" t="s">
        <v>3635</v>
      </c>
      <c r="BF67" s="2" t="s">
        <v>3635</v>
      </c>
      <c r="BG67" s="2" t="s">
        <v>3635</v>
      </c>
      <c r="BH67" s="2" t="s">
        <v>3635</v>
      </c>
      <c r="BI67" s="2">
        <v>9.0</v>
      </c>
      <c r="BJ67" s="2" t="s">
        <v>5095</v>
      </c>
      <c r="BK67" s="2" t="s">
        <v>3692</v>
      </c>
      <c r="BL67" s="2" t="s">
        <v>3816</v>
      </c>
      <c r="BM67" s="2" t="s">
        <v>5096</v>
      </c>
      <c r="BN67" s="2" t="s">
        <v>3635</v>
      </c>
      <c r="BO67" s="2" t="s">
        <v>3635</v>
      </c>
      <c r="BP67" s="2" t="s">
        <v>3635</v>
      </c>
      <c r="BQ67" s="2" t="s">
        <v>3635</v>
      </c>
      <c r="BR67" s="2" t="s">
        <v>3662</v>
      </c>
      <c r="BS67" s="2" t="s">
        <v>5097</v>
      </c>
      <c r="BT67" s="2" t="str">
        <f>HYPERLINK("https%3A%2F%2Fwww.webofscience.com%2Fwos%2Fwoscc%2Ffull-record%2FWOS:000361544200211","View Full Record in Web of Science")</f>
        <v>View Full Record in Web of Science</v>
      </c>
    </row>
    <row r="68" ht="15.75" customHeight="1">
      <c r="A68" s="2" t="s">
        <v>3633</v>
      </c>
      <c r="B68" s="2" t="s">
        <v>5098</v>
      </c>
      <c r="C68" s="2" t="s">
        <v>3635</v>
      </c>
      <c r="D68" s="2" t="s">
        <v>3635</v>
      </c>
      <c r="E68" s="2" t="s">
        <v>3635</v>
      </c>
      <c r="F68" s="2" t="s">
        <v>5099</v>
      </c>
      <c r="G68" s="2" t="s">
        <v>3635</v>
      </c>
      <c r="H68" s="2" t="s">
        <v>3635</v>
      </c>
      <c r="I68" s="2" t="s">
        <v>5100</v>
      </c>
      <c r="J68" s="2" t="s">
        <v>5101</v>
      </c>
      <c r="K68" s="2" t="s">
        <v>3635</v>
      </c>
      <c r="L68" s="2" t="s">
        <v>3635</v>
      </c>
      <c r="M68" s="2" t="s">
        <v>3638</v>
      </c>
      <c r="N68" s="2" t="s">
        <v>21</v>
      </c>
      <c r="O68" s="2" t="s">
        <v>3635</v>
      </c>
      <c r="P68" s="2" t="s">
        <v>3635</v>
      </c>
      <c r="Q68" s="2" t="s">
        <v>3635</v>
      </c>
      <c r="R68" s="2" t="s">
        <v>3635</v>
      </c>
      <c r="S68" s="2" t="s">
        <v>3635</v>
      </c>
      <c r="T68" s="2" t="s">
        <v>3635</v>
      </c>
      <c r="U68" s="2" t="s">
        <v>5102</v>
      </c>
      <c r="V68" s="2" t="s">
        <v>5103</v>
      </c>
      <c r="W68" s="2" t="s">
        <v>5104</v>
      </c>
      <c r="X68" s="2" t="s">
        <v>5105</v>
      </c>
      <c r="Y68" s="2" t="s">
        <v>5106</v>
      </c>
      <c r="Z68" s="2" t="s">
        <v>5107</v>
      </c>
      <c r="AA68" s="2" t="s">
        <v>3635</v>
      </c>
      <c r="AB68" s="2" t="s">
        <v>5108</v>
      </c>
      <c r="AC68" s="2" t="s">
        <v>5109</v>
      </c>
      <c r="AD68" s="2" t="s">
        <v>5110</v>
      </c>
      <c r="AE68" s="2" t="s">
        <v>3635</v>
      </c>
      <c r="AF68" s="2" t="s">
        <v>3635</v>
      </c>
      <c r="AG68" s="2">
        <v>38.0</v>
      </c>
      <c r="AH68" s="2">
        <v>2.0</v>
      </c>
      <c r="AI68" s="2">
        <v>2.0</v>
      </c>
      <c r="AJ68" s="2">
        <v>0.0</v>
      </c>
      <c r="AK68" s="2">
        <v>5.0</v>
      </c>
      <c r="AL68" s="2" t="s">
        <v>5111</v>
      </c>
      <c r="AM68" s="2" t="s">
        <v>5112</v>
      </c>
      <c r="AN68" s="2" t="s">
        <v>5113</v>
      </c>
      <c r="AO68" s="2" t="s">
        <v>3635</v>
      </c>
      <c r="AP68" s="2" t="s">
        <v>5114</v>
      </c>
      <c r="AQ68" s="2" t="s">
        <v>3635</v>
      </c>
      <c r="AR68" s="2" t="s">
        <v>5115</v>
      </c>
      <c r="AS68" s="2" t="s">
        <v>5116</v>
      </c>
      <c r="AT68" s="2" t="s">
        <v>5117</v>
      </c>
      <c r="AU68" s="2">
        <v>2021.0</v>
      </c>
      <c r="AV68" s="2">
        <v>17.0</v>
      </c>
      <c r="AW68" s="2">
        <v>2.0</v>
      </c>
      <c r="AX68" s="2" t="s">
        <v>3635</v>
      </c>
      <c r="AY68" s="2" t="s">
        <v>3635</v>
      </c>
      <c r="AZ68" s="2" t="s">
        <v>3635</v>
      </c>
      <c r="BA68" s="2" t="s">
        <v>3635</v>
      </c>
      <c r="BB68" s="2">
        <v>241.0</v>
      </c>
      <c r="BC68" s="2">
        <v>251.0</v>
      </c>
      <c r="BD68" s="2" t="s">
        <v>3635</v>
      </c>
      <c r="BE68" s="2" t="s">
        <v>5118</v>
      </c>
      <c r="BF68" s="3" t="str">
        <f>HYPERLINK("http://dx.doi.org/10.1039/d0mo00140f","http://dx.doi.org/10.1039/d0mo00140f")</f>
        <v>http://dx.doi.org/10.1039/d0mo00140f</v>
      </c>
      <c r="BG68" s="2" t="s">
        <v>3635</v>
      </c>
      <c r="BH68" s="2" t="s">
        <v>3635</v>
      </c>
      <c r="BI68" s="2">
        <v>11.0</v>
      </c>
      <c r="BJ68" s="2" t="s">
        <v>5119</v>
      </c>
      <c r="BK68" s="2" t="s">
        <v>3658</v>
      </c>
      <c r="BL68" s="2" t="s">
        <v>5119</v>
      </c>
      <c r="BM68" s="2" t="s">
        <v>5120</v>
      </c>
      <c r="BN68" s="2">
        <v>3.3438713E7</v>
      </c>
      <c r="BO68" s="2" t="s">
        <v>5121</v>
      </c>
      <c r="BP68" s="2" t="s">
        <v>3635</v>
      </c>
      <c r="BQ68" s="2" t="s">
        <v>3635</v>
      </c>
      <c r="BR68" s="2" t="s">
        <v>3662</v>
      </c>
      <c r="BS68" s="2" t="s">
        <v>5122</v>
      </c>
      <c r="BT68" s="2" t="str">
        <f>HYPERLINK("https%3A%2F%2Fwww.webofscience.com%2Fwos%2Fwoscc%2Ffull-record%2FWOS:000641080300014","View Full Record in Web of Science")</f>
        <v>View Full Record in Web of Science</v>
      </c>
    </row>
    <row r="69" ht="15.75" customHeight="1">
      <c r="A69" s="2" t="s">
        <v>3633</v>
      </c>
      <c r="B69" s="2" t="s">
        <v>5123</v>
      </c>
      <c r="C69" s="2" t="s">
        <v>3635</v>
      </c>
      <c r="D69" s="2" t="s">
        <v>3635</v>
      </c>
      <c r="E69" s="2" t="s">
        <v>3635</v>
      </c>
      <c r="F69" s="2" t="s">
        <v>5124</v>
      </c>
      <c r="G69" s="2" t="s">
        <v>3635</v>
      </c>
      <c r="H69" s="2" t="s">
        <v>3635</v>
      </c>
      <c r="I69" s="2" t="s">
        <v>5125</v>
      </c>
      <c r="J69" s="2" t="s">
        <v>5126</v>
      </c>
      <c r="K69" s="2" t="s">
        <v>3635</v>
      </c>
      <c r="L69" s="2" t="s">
        <v>3635</v>
      </c>
      <c r="M69" s="2" t="s">
        <v>3638</v>
      </c>
      <c r="N69" s="2" t="s">
        <v>21</v>
      </c>
      <c r="O69" s="2" t="s">
        <v>3635</v>
      </c>
      <c r="P69" s="2" t="s">
        <v>3635</v>
      </c>
      <c r="Q69" s="2" t="s">
        <v>3635</v>
      </c>
      <c r="R69" s="2" t="s">
        <v>3635</v>
      </c>
      <c r="S69" s="2" t="s">
        <v>3635</v>
      </c>
      <c r="T69" s="2" t="s">
        <v>5127</v>
      </c>
      <c r="U69" s="2" t="s">
        <v>5128</v>
      </c>
      <c r="V69" s="2" t="s">
        <v>5129</v>
      </c>
      <c r="W69" s="2" t="s">
        <v>5130</v>
      </c>
      <c r="X69" s="2" t="s">
        <v>5131</v>
      </c>
      <c r="Y69" s="2" t="s">
        <v>5132</v>
      </c>
      <c r="Z69" s="2" t="s">
        <v>5133</v>
      </c>
      <c r="AA69" s="2" t="s">
        <v>5134</v>
      </c>
      <c r="AB69" s="2" t="s">
        <v>5135</v>
      </c>
      <c r="AC69" s="2" t="s">
        <v>5136</v>
      </c>
      <c r="AD69" s="2" t="s">
        <v>5137</v>
      </c>
      <c r="AE69" s="2" t="s">
        <v>5138</v>
      </c>
      <c r="AF69" s="2" t="s">
        <v>3635</v>
      </c>
      <c r="AG69" s="2">
        <v>34.0</v>
      </c>
      <c r="AH69" s="2">
        <v>4.0</v>
      </c>
      <c r="AI69" s="2">
        <v>4.0</v>
      </c>
      <c r="AJ69" s="2">
        <v>1.0</v>
      </c>
      <c r="AK69" s="2">
        <v>6.0</v>
      </c>
      <c r="AL69" s="2" t="s">
        <v>3709</v>
      </c>
      <c r="AM69" s="2" t="s">
        <v>3710</v>
      </c>
      <c r="AN69" s="2" t="s">
        <v>3711</v>
      </c>
      <c r="AO69" s="2" t="s">
        <v>5139</v>
      </c>
      <c r="AP69" s="2" t="s">
        <v>5140</v>
      </c>
      <c r="AQ69" s="2" t="s">
        <v>3635</v>
      </c>
      <c r="AR69" s="2" t="s">
        <v>5141</v>
      </c>
      <c r="AS69" s="2" t="s">
        <v>5142</v>
      </c>
      <c r="AT69" s="2" t="s">
        <v>5143</v>
      </c>
      <c r="AU69" s="2">
        <v>2021.0</v>
      </c>
      <c r="AV69" s="2">
        <v>63.0</v>
      </c>
      <c r="AW69" s="2">
        <v>7.0</v>
      </c>
      <c r="AX69" s="2" t="s">
        <v>3635</v>
      </c>
      <c r="AY69" s="2" t="s">
        <v>3635</v>
      </c>
      <c r="AZ69" s="2" t="s">
        <v>3635</v>
      </c>
      <c r="BA69" s="2" t="s">
        <v>3635</v>
      </c>
      <c r="BB69" s="2">
        <v>1526.0</v>
      </c>
      <c r="BC69" s="2">
        <v>1541.0</v>
      </c>
      <c r="BD69" s="2" t="s">
        <v>3635</v>
      </c>
      <c r="BE69" s="2" t="s">
        <v>5144</v>
      </c>
      <c r="BF69" s="3" t="str">
        <f>HYPERLINK("http://dx.doi.org/10.1002/bimj.202000040","http://dx.doi.org/10.1002/bimj.202000040")</f>
        <v>http://dx.doi.org/10.1002/bimj.202000040</v>
      </c>
      <c r="BG69" s="2" t="s">
        <v>3635</v>
      </c>
      <c r="BH69" s="2" t="s">
        <v>4502</v>
      </c>
      <c r="BI69" s="2">
        <v>16.0</v>
      </c>
      <c r="BJ69" s="2" t="s">
        <v>5145</v>
      </c>
      <c r="BK69" s="2" t="s">
        <v>3658</v>
      </c>
      <c r="BL69" s="2" t="s">
        <v>5146</v>
      </c>
      <c r="BM69" s="2" t="s">
        <v>5147</v>
      </c>
      <c r="BN69" s="2">
        <v>3.3983641E7</v>
      </c>
      <c r="BO69" s="2" t="s">
        <v>5148</v>
      </c>
      <c r="BP69" s="2" t="s">
        <v>3635</v>
      </c>
      <c r="BQ69" s="2" t="s">
        <v>3635</v>
      </c>
      <c r="BR69" s="2" t="s">
        <v>3662</v>
      </c>
      <c r="BS69" s="2" t="s">
        <v>5149</v>
      </c>
      <c r="BT69" s="2" t="str">
        <f>HYPERLINK("https%3A%2F%2Fwww.webofscience.com%2Fwos%2Fwoscc%2Ffull-record%2FWOS:000649806500001","View Full Record in Web of Science")</f>
        <v>View Full Record in Web of Science</v>
      </c>
    </row>
    <row r="70" ht="15.75" customHeight="1">
      <c r="A70" s="2" t="s">
        <v>3633</v>
      </c>
      <c r="B70" s="2" t="s">
        <v>5150</v>
      </c>
      <c r="C70" s="2" t="s">
        <v>3635</v>
      </c>
      <c r="D70" s="2" t="s">
        <v>3635</v>
      </c>
      <c r="E70" s="2" t="s">
        <v>3635</v>
      </c>
      <c r="F70" s="2" t="s">
        <v>5151</v>
      </c>
      <c r="G70" s="2" t="s">
        <v>3635</v>
      </c>
      <c r="H70" s="2" t="s">
        <v>3635</v>
      </c>
      <c r="I70" s="2" t="s">
        <v>132</v>
      </c>
      <c r="J70" s="2" t="s">
        <v>5152</v>
      </c>
      <c r="K70" s="2" t="s">
        <v>3635</v>
      </c>
      <c r="L70" s="2" t="s">
        <v>3635</v>
      </c>
      <c r="M70" s="2" t="s">
        <v>3638</v>
      </c>
      <c r="N70" s="2" t="s">
        <v>21</v>
      </c>
      <c r="O70" s="2" t="s">
        <v>3635</v>
      </c>
      <c r="P70" s="2" t="s">
        <v>3635</v>
      </c>
      <c r="Q70" s="2" t="s">
        <v>3635</v>
      </c>
      <c r="R70" s="2" t="s">
        <v>3635</v>
      </c>
      <c r="S70" s="2" t="s">
        <v>3635</v>
      </c>
      <c r="T70" s="2" t="s">
        <v>5153</v>
      </c>
      <c r="U70" s="2" t="s">
        <v>5154</v>
      </c>
      <c r="V70" s="2" t="s">
        <v>5155</v>
      </c>
      <c r="W70" s="2" t="s">
        <v>5156</v>
      </c>
      <c r="X70" s="2" t="s">
        <v>5157</v>
      </c>
      <c r="Y70" s="2" t="s">
        <v>5158</v>
      </c>
      <c r="Z70" s="2" t="s">
        <v>5159</v>
      </c>
      <c r="AA70" s="2" t="s">
        <v>5160</v>
      </c>
      <c r="AB70" s="2" t="s">
        <v>5161</v>
      </c>
      <c r="AC70" s="2" t="s">
        <v>3635</v>
      </c>
      <c r="AD70" s="2" t="s">
        <v>3635</v>
      </c>
      <c r="AE70" s="2" t="s">
        <v>3635</v>
      </c>
      <c r="AF70" s="2" t="s">
        <v>3635</v>
      </c>
      <c r="AG70" s="2">
        <v>65.0</v>
      </c>
      <c r="AH70" s="2">
        <v>1.0</v>
      </c>
      <c r="AI70" s="2">
        <v>2.0</v>
      </c>
      <c r="AJ70" s="2">
        <v>1.0</v>
      </c>
      <c r="AK70" s="2">
        <v>9.0</v>
      </c>
      <c r="AL70" s="2" t="s">
        <v>4644</v>
      </c>
      <c r="AM70" s="2" t="s">
        <v>4645</v>
      </c>
      <c r="AN70" s="2" t="s">
        <v>4646</v>
      </c>
      <c r="AO70" s="2" t="s">
        <v>3635</v>
      </c>
      <c r="AP70" s="2" t="s">
        <v>5162</v>
      </c>
      <c r="AQ70" s="2" t="s">
        <v>3635</v>
      </c>
      <c r="AR70" s="2" t="s">
        <v>5163</v>
      </c>
      <c r="AS70" s="2" t="s">
        <v>5164</v>
      </c>
      <c r="AT70" s="2" t="s">
        <v>4517</v>
      </c>
      <c r="AU70" s="2">
        <v>2023.0</v>
      </c>
      <c r="AV70" s="2">
        <v>13.0</v>
      </c>
      <c r="AW70" s="2">
        <v>3.0</v>
      </c>
      <c r="AX70" s="2" t="s">
        <v>3635</v>
      </c>
      <c r="AY70" s="2" t="s">
        <v>3635</v>
      </c>
      <c r="AZ70" s="2" t="s">
        <v>3635</v>
      </c>
      <c r="BA70" s="2" t="s">
        <v>3635</v>
      </c>
      <c r="BB70" s="2" t="s">
        <v>3635</v>
      </c>
      <c r="BC70" s="2" t="s">
        <v>3635</v>
      </c>
      <c r="BD70" s="2">
        <v>279.0</v>
      </c>
      <c r="BE70" s="2" t="s">
        <v>135</v>
      </c>
      <c r="BF70" s="3" t="str">
        <f>HYPERLINK("http://dx.doi.org/10.3390/educsci13030279","http://dx.doi.org/10.3390/educsci13030279")</f>
        <v>http://dx.doi.org/10.3390/educsci13030279</v>
      </c>
      <c r="BG70" s="2" t="s">
        <v>3635</v>
      </c>
      <c r="BH70" s="2" t="s">
        <v>3635</v>
      </c>
      <c r="BI70" s="2">
        <v>14.0</v>
      </c>
      <c r="BJ70" s="2" t="s">
        <v>5165</v>
      </c>
      <c r="BK70" s="2" t="s">
        <v>3993</v>
      </c>
      <c r="BL70" s="2" t="s">
        <v>5165</v>
      </c>
      <c r="BM70" s="2" t="s">
        <v>5166</v>
      </c>
      <c r="BN70" s="2" t="s">
        <v>3635</v>
      </c>
      <c r="BO70" s="2" t="s">
        <v>4748</v>
      </c>
      <c r="BP70" s="2" t="s">
        <v>3635</v>
      </c>
      <c r="BQ70" s="2" t="s">
        <v>3635</v>
      </c>
      <c r="BR70" s="2" t="s">
        <v>3662</v>
      </c>
      <c r="BS70" s="2" t="s">
        <v>5167</v>
      </c>
      <c r="BT70" s="2" t="str">
        <f>HYPERLINK("https%3A%2F%2Fwww.webofscience.com%2Fwos%2Fwoscc%2Ffull-record%2FWOS:000955553300001","View Full Record in Web of Science")</f>
        <v>View Full Record in Web of Science</v>
      </c>
    </row>
    <row r="71" ht="15.75" customHeight="1">
      <c r="A71" s="2" t="s">
        <v>3664</v>
      </c>
      <c r="B71" s="2" t="s">
        <v>5168</v>
      </c>
      <c r="C71" s="2" t="s">
        <v>3635</v>
      </c>
      <c r="D71" s="2" t="s">
        <v>3635</v>
      </c>
      <c r="E71" s="2" t="s">
        <v>1974</v>
      </c>
      <c r="F71" s="2" t="s">
        <v>5169</v>
      </c>
      <c r="G71" s="2" t="s">
        <v>3635</v>
      </c>
      <c r="H71" s="2" t="s">
        <v>3635</v>
      </c>
      <c r="I71" s="2" t="s">
        <v>2306</v>
      </c>
      <c r="J71" s="2" t="s">
        <v>5170</v>
      </c>
      <c r="K71" s="2" t="s">
        <v>4080</v>
      </c>
      <c r="L71" s="2" t="s">
        <v>3635</v>
      </c>
      <c r="M71" s="2" t="s">
        <v>3638</v>
      </c>
      <c r="N71" s="2" t="s">
        <v>3669</v>
      </c>
      <c r="O71" s="2" t="s">
        <v>5171</v>
      </c>
      <c r="P71" s="2" t="s">
        <v>5172</v>
      </c>
      <c r="Q71" s="2" t="s">
        <v>4757</v>
      </c>
      <c r="R71" s="2" t="s">
        <v>5173</v>
      </c>
      <c r="S71" s="2" t="s">
        <v>3635</v>
      </c>
      <c r="T71" s="2" t="s">
        <v>3635</v>
      </c>
      <c r="U71" s="2" t="s">
        <v>3635</v>
      </c>
      <c r="V71" s="2" t="s">
        <v>5174</v>
      </c>
      <c r="W71" s="2" t="s">
        <v>5175</v>
      </c>
      <c r="X71" s="2" t="s">
        <v>5176</v>
      </c>
      <c r="Y71" s="2" t="s">
        <v>5177</v>
      </c>
      <c r="Z71" s="2" t="s">
        <v>5178</v>
      </c>
      <c r="AA71" s="2" t="s">
        <v>3635</v>
      </c>
      <c r="AB71" s="2" t="s">
        <v>3635</v>
      </c>
      <c r="AC71" s="2" t="s">
        <v>3635</v>
      </c>
      <c r="AD71" s="2" t="s">
        <v>3635</v>
      </c>
      <c r="AE71" s="2" t="s">
        <v>3635</v>
      </c>
      <c r="AF71" s="2" t="s">
        <v>3635</v>
      </c>
      <c r="AG71" s="2">
        <v>38.0</v>
      </c>
      <c r="AH71" s="2">
        <v>5.0</v>
      </c>
      <c r="AI71" s="2">
        <v>5.0</v>
      </c>
      <c r="AJ71" s="2">
        <v>0.0</v>
      </c>
      <c r="AK71" s="2">
        <v>0.0</v>
      </c>
      <c r="AL71" s="2" t="s">
        <v>1974</v>
      </c>
      <c r="AM71" s="2" t="s">
        <v>3651</v>
      </c>
      <c r="AN71" s="2" t="s">
        <v>3762</v>
      </c>
      <c r="AO71" s="2" t="s">
        <v>4086</v>
      </c>
      <c r="AP71" s="2" t="s">
        <v>3635</v>
      </c>
      <c r="AQ71" s="2" t="s">
        <v>5179</v>
      </c>
      <c r="AR71" s="2" t="s">
        <v>4088</v>
      </c>
      <c r="AS71" s="2" t="s">
        <v>3635</v>
      </c>
      <c r="AT71" s="2" t="s">
        <v>3635</v>
      </c>
      <c r="AU71" s="2">
        <v>2019.0</v>
      </c>
      <c r="AV71" s="2" t="s">
        <v>3635</v>
      </c>
      <c r="AW71" s="2" t="s">
        <v>3635</v>
      </c>
      <c r="AX71" s="2" t="s">
        <v>3635</v>
      </c>
      <c r="AY71" s="2" t="s">
        <v>3635</v>
      </c>
      <c r="AZ71" s="2" t="s">
        <v>3635</v>
      </c>
      <c r="BA71" s="2" t="s">
        <v>3635</v>
      </c>
      <c r="BB71" s="2">
        <v>465.0</v>
      </c>
      <c r="BC71" s="2">
        <v>475.0</v>
      </c>
      <c r="BD71" s="2" t="s">
        <v>3635</v>
      </c>
      <c r="BE71" s="2" t="s">
        <v>922</v>
      </c>
      <c r="BF71" s="3" t="str">
        <f>HYPERLINK("http://dx.doi.org/10.1109/ICSE.2019.00059","http://dx.doi.org/10.1109/ICSE.2019.00059")</f>
        <v>http://dx.doi.org/10.1109/ICSE.2019.00059</v>
      </c>
      <c r="BG71" s="2" t="s">
        <v>3635</v>
      </c>
      <c r="BH71" s="2" t="s">
        <v>3635</v>
      </c>
      <c r="BI71" s="2">
        <v>11.0</v>
      </c>
      <c r="BJ71" s="2" t="s">
        <v>5180</v>
      </c>
      <c r="BK71" s="2" t="s">
        <v>3692</v>
      </c>
      <c r="BL71" s="2" t="s">
        <v>3659</v>
      </c>
      <c r="BM71" s="2" t="s">
        <v>5181</v>
      </c>
      <c r="BN71" s="2" t="s">
        <v>3635</v>
      </c>
      <c r="BO71" s="2" t="s">
        <v>3635</v>
      </c>
      <c r="BP71" s="2" t="s">
        <v>3635</v>
      </c>
      <c r="BQ71" s="2" t="s">
        <v>3635</v>
      </c>
      <c r="BR71" s="2" t="s">
        <v>3662</v>
      </c>
      <c r="BS71" s="2" t="s">
        <v>5182</v>
      </c>
      <c r="BT71" s="2" t="str">
        <f>HYPERLINK("https%3A%2F%2Fwww.webofscience.com%2Fwos%2Fwoscc%2Ffull-record%2FWOS:000560373200041","View Full Record in Web of Science")</f>
        <v>View Full Record in Web of Science</v>
      </c>
    </row>
    <row r="72" ht="15.75" customHeight="1">
      <c r="A72" s="2" t="s">
        <v>3633</v>
      </c>
      <c r="B72" s="2" t="s">
        <v>5183</v>
      </c>
      <c r="C72" s="2" t="s">
        <v>3635</v>
      </c>
      <c r="D72" s="2" t="s">
        <v>3635</v>
      </c>
      <c r="E72" s="2" t="s">
        <v>3635</v>
      </c>
      <c r="F72" s="2" t="s">
        <v>5184</v>
      </c>
      <c r="G72" s="2" t="s">
        <v>3635</v>
      </c>
      <c r="H72" s="2" t="s">
        <v>3635</v>
      </c>
      <c r="I72" s="2" t="s">
        <v>2903</v>
      </c>
      <c r="J72" s="2" t="s">
        <v>5185</v>
      </c>
      <c r="K72" s="2" t="s">
        <v>3635</v>
      </c>
      <c r="L72" s="2" t="s">
        <v>3635</v>
      </c>
      <c r="M72" s="2" t="s">
        <v>3638</v>
      </c>
      <c r="N72" s="2" t="s">
        <v>21</v>
      </c>
      <c r="O72" s="2" t="s">
        <v>3635</v>
      </c>
      <c r="P72" s="2" t="s">
        <v>3635</v>
      </c>
      <c r="Q72" s="2" t="s">
        <v>3635</v>
      </c>
      <c r="R72" s="2" t="s">
        <v>3635</v>
      </c>
      <c r="S72" s="2" t="s">
        <v>3635</v>
      </c>
      <c r="T72" s="2" t="s">
        <v>5186</v>
      </c>
      <c r="U72" s="2" t="s">
        <v>5187</v>
      </c>
      <c r="V72" s="2" t="s">
        <v>5188</v>
      </c>
      <c r="W72" s="2" t="s">
        <v>5189</v>
      </c>
      <c r="X72" s="2" t="s">
        <v>5190</v>
      </c>
      <c r="Y72" s="2" t="s">
        <v>5191</v>
      </c>
      <c r="Z72" s="2" t="s">
        <v>5192</v>
      </c>
      <c r="AA72" s="2" t="s">
        <v>5193</v>
      </c>
      <c r="AB72" s="2" t="s">
        <v>3635</v>
      </c>
      <c r="AC72" s="2" t="s">
        <v>5194</v>
      </c>
      <c r="AD72" s="2" t="s">
        <v>5195</v>
      </c>
      <c r="AE72" s="2" t="s">
        <v>5196</v>
      </c>
      <c r="AF72" s="2" t="s">
        <v>3635</v>
      </c>
      <c r="AG72" s="2">
        <v>42.0</v>
      </c>
      <c r="AH72" s="2">
        <v>7.0</v>
      </c>
      <c r="AI72" s="2">
        <v>11.0</v>
      </c>
      <c r="AJ72" s="2">
        <v>5.0</v>
      </c>
      <c r="AK72" s="2">
        <v>42.0</v>
      </c>
      <c r="AL72" s="2" t="s">
        <v>3784</v>
      </c>
      <c r="AM72" s="2" t="s">
        <v>3785</v>
      </c>
      <c r="AN72" s="2" t="s">
        <v>3786</v>
      </c>
      <c r="AO72" s="2" t="s">
        <v>5197</v>
      </c>
      <c r="AP72" s="2" t="s">
        <v>5198</v>
      </c>
      <c r="AQ72" s="2" t="s">
        <v>3635</v>
      </c>
      <c r="AR72" s="2" t="s">
        <v>5199</v>
      </c>
      <c r="AS72" s="2" t="s">
        <v>5200</v>
      </c>
      <c r="AT72" s="2" t="s">
        <v>5143</v>
      </c>
      <c r="AU72" s="2">
        <v>2020.0</v>
      </c>
      <c r="AV72" s="2">
        <v>17.0</v>
      </c>
      <c r="AW72" s="2">
        <v>4.0</v>
      </c>
      <c r="AX72" s="2" t="s">
        <v>3635</v>
      </c>
      <c r="AY72" s="2" t="s">
        <v>3635</v>
      </c>
      <c r="AZ72" s="2" t="s">
        <v>3635</v>
      </c>
      <c r="BA72" s="2" t="s">
        <v>3635</v>
      </c>
      <c r="BB72" s="2">
        <v>1662.0</v>
      </c>
      <c r="BC72" s="2">
        <v>1673.0</v>
      </c>
      <c r="BD72" s="2" t="s">
        <v>3635</v>
      </c>
      <c r="BE72" s="2" t="s">
        <v>768</v>
      </c>
      <c r="BF72" s="3" t="str">
        <f>HYPERLINK("http://dx.doi.org/10.1109/TASE.2020.2969436","http://dx.doi.org/10.1109/TASE.2020.2969436")</f>
        <v>http://dx.doi.org/10.1109/TASE.2020.2969436</v>
      </c>
      <c r="BG72" s="2" t="s">
        <v>3635</v>
      </c>
      <c r="BH72" s="2" t="s">
        <v>3635</v>
      </c>
      <c r="BI72" s="2">
        <v>12.0</v>
      </c>
      <c r="BJ72" s="2" t="s">
        <v>4964</v>
      </c>
      <c r="BK72" s="2" t="s">
        <v>3658</v>
      </c>
      <c r="BL72" s="2" t="s">
        <v>4964</v>
      </c>
      <c r="BM72" s="2" t="s">
        <v>5201</v>
      </c>
      <c r="BN72" s="2" t="s">
        <v>3635</v>
      </c>
      <c r="BO72" s="2" t="s">
        <v>3635</v>
      </c>
      <c r="BP72" s="2" t="s">
        <v>3635</v>
      </c>
      <c r="BQ72" s="2" t="s">
        <v>3635</v>
      </c>
      <c r="BR72" s="2" t="s">
        <v>3662</v>
      </c>
      <c r="BS72" s="2" t="s">
        <v>5202</v>
      </c>
      <c r="BT72" s="2" t="str">
        <f>HYPERLINK("https%3A%2F%2Fwww.webofscience.com%2Fwos%2Fwoscc%2Ffull-record%2FWOS:000579640900001","View Full Record in Web of Science")</f>
        <v>View Full Record in Web of Science</v>
      </c>
    </row>
    <row r="73" ht="15.75" customHeight="1">
      <c r="A73" s="2" t="s">
        <v>3664</v>
      </c>
      <c r="B73" s="2" t="s">
        <v>5203</v>
      </c>
      <c r="C73" s="2" t="s">
        <v>3635</v>
      </c>
      <c r="D73" s="2" t="s">
        <v>3635</v>
      </c>
      <c r="E73" s="2" t="s">
        <v>1974</v>
      </c>
      <c r="F73" s="2" t="s">
        <v>5204</v>
      </c>
      <c r="G73" s="2" t="s">
        <v>3635</v>
      </c>
      <c r="H73" s="2" t="s">
        <v>3635</v>
      </c>
      <c r="I73" s="2" t="s">
        <v>3081</v>
      </c>
      <c r="J73" s="2" t="s">
        <v>5205</v>
      </c>
      <c r="K73" s="2" t="s">
        <v>3635</v>
      </c>
      <c r="L73" s="2" t="s">
        <v>3635</v>
      </c>
      <c r="M73" s="2" t="s">
        <v>3638</v>
      </c>
      <c r="N73" s="2" t="s">
        <v>3669</v>
      </c>
      <c r="O73" s="2" t="s">
        <v>5206</v>
      </c>
      <c r="P73" s="2" t="s">
        <v>5207</v>
      </c>
      <c r="Q73" s="2" t="s">
        <v>5208</v>
      </c>
      <c r="R73" s="2" t="s">
        <v>3635</v>
      </c>
      <c r="S73" s="2" t="s">
        <v>3635</v>
      </c>
      <c r="T73" s="2" t="s">
        <v>5209</v>
      </c>
      <c r="U73" s="2" t="s">
        <v>5210</v>
      </c>
      <c r="V73" s="2" t="s">
        <v>5211</v>
      </c>
      <c r="W73" s="2" t="s">
        <v>5212</v>
      </c>
      <c r="X73" s="2" t="s">
        <v>5213</v>
      </c>
      <c r="Y73" s="2" t="s">
        <v>5214</v>
      </c>
      <c r="Z73" s="2" t="s">
        <v>5215</v>
      </c>
      <c r="AA73" s="2" t="s">
        <v>5216</v>
      </c>
      <c r="AB73" s="2" t="s">
        <v>5217</v>
      </c>
      <c r="AC73" s="2" t="s">
        <v>3635</v>
      </c>
      <c r="AD73" s="2" t="s">
        <v>3635</v>
      </c>
      <c r="AE73" s="2" t="s">
        <v>3635</v>
      </c>
      <c r="AF73" s="2" t="s">
        <v>3635</v>
      </c>
      <c r="AG73" s="2">
        <v>19.0</v>
      </c>
      <c r="AH73" s="2">
        <v>0.0</v>
      </c>
      <c r="AI73" s="2">
        <v>0.0</v>
      </c>
      <c r="AJ73" s="2">
        <v>0.0</v>
      </c>
      <c r="AK73" s="2">
        <v>1.0</v>
      </c>
      <c r="AL73" s="2" t="s">
        <v>1974</v>
      </c>
      <c r="AM73" s="2" t="s">
        <v>3651</v>
      </c>
      <c r="AN73" s="2" t="s">
        <v>3762</v>
      </c>
      <c r="AO73" s="2" t="s">
        <v>3635</v>
      </c>
      <c r="AP73" s="2" t="s">
        <v>3635</v>
      </c>
      <c r="AQ73" s="2" t="s">
        <v>5218</v>
      </c>
      <c r="AR73" s="2" t="s">
        <v>3635</v>
      </c>
      <c r="AS73" s="2" t="s">
        <v>3635</v>
      </c>
      <c r="AT73" s="2" t="s">
        <v>3635</v>
      </c>
      <c r="AU73" s="2">
        <v>2014.0</v>
      </c>
      <c r="AV73" s="2" t="s">
        <v>3635</v>
      </c>
      <c r="AW73" s="2" t="s">
        <v>3635</v>
      </c>
      <c r="AX73" s="2" t="s">
        <v>3635</v>
      </c>
      <c r="AY73" s="2" t="s">
        <v>3635</v>
      </c>
      <c r="AZ73" s="2" t="s">
        <v>3635</v>
      </c>
      <c r="BA73" s="2" t="s">
        <v>3635</v>
      </c>
      <c r="BB73" s="2" t="s">
        <v>3635</v>
      </c>
      <c r="BC73" s="2" t="s">
        <v>3635</v>
      </c>
      <c r="BD73" s="2" t="s">
        <v>3635</v>
      </c>
      <c r="BE73" s="2" t="s">
        <v>3635</v>
      </c>
      <c r="BF73" s="2" t="s">
        <v>3635</v>
      </c>
      <c r="BG73" s="2" t="s">
        <v>3635</v>
      </c>
      <c r="BH73" s="2" t="s">
        <v>3635</v>
      </c>
      <c r="BI73" s="2">
        <v>6.0</v>
      </c>
      <c r="BJ73" s="2" t="s">
        <v>5219</v>
      </c>
      <c r="BK73" s="2" t="s">
        <v>3692</v>
      </c>
      <c r="BL73" s="2" t="s">
        <v>5220</v>
      </c>
      <c r="BM73" s="2" t="s">
        <v>5221</v>
      </c>
      <c r="BN73" s="2" t="s">
        <v>3635</v>
      </c>
      <c r="BO73" s="2" t="s">
        <v>3635</v>
      </c>
      <c r="BP73" s="2" t="s">
        <v>3635</v>
      </c>
      <c r="BQ73" s="2" t="s">
        <v>3635</v>
      </c>
      <c r="BR73" s="2" t="s">
        <v>3662</v>
      </c>
      <c r="BS73" s="2" t="s">
        <v>5222</v>
      </c>
      <c r="BT73" s="2" t="str">
        <f>HYPERLINK("https%3A%2F%2Fwww.webofscience.com%2Fwos%2Fwoscc%2Ffull-record%2FWOS:000366521000083","View Full Record in Web of Science")</f>
        <v>View Full Record in Web of Science</v>
      </c>
    </row>
    <row r="74" ht="15.75" customHeight="1">
      <c r="A74" s="2" t="s">
        <v>3664</v>
      </c>
      <c r="B74" s="2" t="s">
        <v>5223</v>
      </c>
      <c r="C74" s="2" t="s">
        <v>3635</v>
      </c>
      <c r="D74" s="2" t="s">
        <v>3635</v>
      </c>
      <c r="E74" s="2" t="s">
        <v>1974</v>
      </c>
      <c r="F74" s="2" t="s">
        <v>5224</v>
      </c>
      <c r="G74" s="2" t="s">
        <v>3635</v>
      </c>
      <c r="H74" s="2" t="s">
        <v>3635</v>
      </c>
      <c r="I74" s="2" t="s">
        <v>2556</v>
      </c>
      <c r="J74" s="2" t="s">
        <v>5225</v>
      </c>
      <c r="K74" s="2" t="s">
        <v>5226</v>
      </c>
      <c r="L74" s="2" t="s">
        <v>3635</v>
      </c>
      <c r="M74" s="2" t="s">
        <v>3638</v>
      </c>
      <c r="N74" s="2" t="s">
        <v>3669</v>
      </c>
      <c r="O74" s="2" t="s">
        <v>5227</v>
      </c>
      <c r="P74" s="2" t="s">
        <v>5228</v>
      </c>
      <c r="Q74" s="2" t="s">
        <v>5229</v>
      </c>
      <c r="R74" s="2" t="s">
        <v>5230</v>
      </c>
      <c r="S74" s="2" t="s">
        <v>3635</v>
      </c>
      <c r="T74" s="2" t="s">
        <v>5231</v>
      </c>
      <c r="U74" s="2" t="s">
        <v>3635</v>
      </c>
      <c r="V74" s="2" t="s">
        <v>5232</v>
      </c>
      <c r="W74" s="2" t="s">
        <v>5233</v>
      </c>
      <c r="X74" s="2" t="s">
        <v>5234</v>
      </c>
      <c r="Y74" s="2" t="s">
        <v>5235</v>
      </c>
      <c r="Z74" s="2" t="s">
        <v>5236</v>
      </c>
      <c r="AA74" s="2" t="s">
        <v>3635</v>
      </c>
      <c r="AB74" s="2" t="s">
        <v>5237</v>
      </c>
      <c r="AC74" s="2" t="s">
        <v>3635</v>
      </c>
      <c r="AD74" s="2" t="s">
        <v>3635</v>
      </c>
      <c r="AE74" s="2" t="s">
        <v>3635</v>
      </c>
      <c r="AF74" s="2" t="s">
        <v>3635</v>
      </c>
      <c r="AG74" s="2">
        <v>17.0</v>
      </c>
      <c r="AH74" s="2">
        <v>4.0</v>
      </c>
      <c r="AI74" s="2">
        <v>4.0</v>
      </c>
      <c r="AJ74" s="2">
        <v>1.0</v>
      </c>
      <c r="AK74" s="2">
        <v>1.0</v>
      </c>
      <c r="AL74" s="2" t="s">
        <v>1974</v>
      </c>
      <c r="AM74" s="2" t="s">
        <v>3651</v>
      </c>
      <c r="AN74" s="2" t="s">
        <v>3762</v>
      </c>
      <c r="AO74" s="2" t="s">
        <v>5238</v>
      </c>
      <c r="AP74" s="2" t="s">
        <v>3635</v>
      </c>
      <c r="AQ74" s="2" t="s">
        <v>5239</v>
      </c>
      <c r="AR74" s="2" t="s">
        <v>5240</v>
      </c>
      <c r="AS74" s="2" t="s">
        <v>3635</v>
      </c>
      <c r="AT74" s="2" t="s">
        <v>3635</v>
      </c>
      <c r="AU74" s="2">
        <v>2015.0</v>
      </c>
      <c r="AV74" s="2" t="s">
        <v>3635</v>
      </c>
      <c r="AW74" s="2" t="s">
        <v>3635</v>
      </c>
      <c r="AX74" s="2" t="s">
        <v>3635</v>
      </c>
      <c r="AY74" s="2" t="s">
        <v>3635</v>
      </c>
      <c r="AZ74" s="2" t="s">
        <v>3635</v>
      </c>
      <c r="BA74" s="2" t="s">
        <v>3635</v>
      </c>
      <c r="BB74" s="2">
        <v>1.0</v>
      </c>
      <c r="BC74" s="2">
        <v>6.0</v>
      </c>
      <c r="BD74" s="2" t="s">
        <v>3635</v>
      </c>
      <c r="BE74" s="2" t="s">
        <v>1098</v>
      </c>
      <c r="BF74" s="3" t="str">
        <f>HYPERLINK("http://dx.doi.org/10.1109/SBESC.2015.8","http://dx.doi.org/10.1109/SBESC.2015.8")</f>
        <v>http://dx.doi.org/10.1109/SBESC.2015.8</v>
      </c>
      <c r="BG74" s="2" t="s">
        <v>3635</v>
      </c>
      <c r="BH74" s="2" t="s">
        <v>3635</v>
      </c>
      <c r="BI74" s="2">
        <v>6.0</v>
      </c>
      <c r="BJ74" s="2" t="s">
        <v>5241</v>
      </c>
      <c r="BK74" s="2" t="s">
        <v>3692</v>
      </c>
      <c r="BL74" s="2" t="s">
        <v>3944</v>
      </c>
      <c r="BM74" s="2" t="s">
        <v>5242</v>
      </c>
      <c r="BN74" s="2" t="s">
        <v>3635</v>
      </c>
      <c r="BO74" s="2" t="s">
        <v>3635</v>
      </c>
      <c r="BP74" s="2" t="s">
        <v>3635</v>
      </c>
      <c r="BQ74" s="2" t="s">
        <v>3635</v>
      </c>
      <c r="BR74" s="2" t="s">
        <v>3662</v>
      </c>
      <c r="BS74" s="2" t="s">
        <v>5243</v>
      </c>
      <c r="BT74" s="2" t="str">
        <f>HYPERLINK("https%3A%2F%2Fwww.webofscience.com%2Fwos%2Fwoscc%2Ffull-record%2FWOS:000377100400001","View Full Record in Web of Science")</f>
        <v>View Full Record in Web of Science</v>
      </c>
    </row>
    <row r="75" ht="15.75" customHeight="1">
      <c r="A75" s="2" t="s">
        <v>3664</v>
      </c>
      <c r="B75" s="2" t="s">
        <v>5244</v>
      </c>
      <c r="C75" s="2" t="s">
        <v>3635</v>
      </c>
      <c r="D75" s="2" t="s">
        <v>3635</v>
      </c>
      <c r="E75" s="2" t="s">
        <v>1974</v>
      </c>
      <c r="F75" s="2" t="s">
        <v>5245</v>
      </c>
      <c r="G75" s="2" t="s">
        <v>3635</v>
      </c>
      <c r="H75" s="2" t="s">
        <v>3635</v>
      </c>
      <c r="I75" s="2" t="s">
        <v>260</v>
      </c>
      <c r="J75" s="2" t="s">
        <v>5246</v>
      </c>
      <c r="K75" s="2" t="s">
        <v>4346</v>
      </c>
      <c r="L75" s="2" t="s">
        <v>3635</v>
      </c>
      <c r="M75" s="2" t="s">
        <v>3638</v>
      </c>
      <c r="N75" s="2" t="s">
        <v>3669</v>
      </c>
      <c r="O75" s="2" t="s">
        <v>5247</v>
      </c>
      <c r="P75" s="2" t="s">
        <v>5248</v>
      </c>
      <c r="Q75" s="2" t="s">
        <v>5249</v>
      </c>
      <c r="R75" s="2" t="s">
        <v>5250</v>
      </c>
      <c r="S75" s="2" t="s">
        <v>5251</v>
      </c>
      <c r="T75" s="2" t="s">
        <v>5252</v>
      </c>
      <c r="U75" s="2" t="s">
        <v>3635</v>
      </c>
      <c r="V75" s="2" t="s">
        <v>5253</v>
      </c>
      <c r="W75" s="2" t="s">
        <v>5254</v>
      </c>
      <c r="X75" s="2" t="s">
        <v>3635</v>
      </c>
      <c r="Y75" s="2" t="s">
        <v>5255</v>
      </c>
      <c r="Z75" s="2" t="s">
        <v>5256</v>
      </c>
      <c r="AA75" s="2" t="s">
        <v>5257</v>
      </c>
      <c r="AB75" s="2" t="s">
        <v>5258</v>
      </c>
      <c r="AC75" s="2" t="s">
        <v>5259</v>
      </c>
      <c r="AD75" s="2" t="s">
        <v>5260</v>
      </c>
      <c r="AE75" s="2" t="s">
        <v>5261</v>
      </c>
      <c r="AF75" s="2" t="s">
        <v>3635</v>
      </c>
      <c r="AG75" s="2">
        <v>49.0</v>
      </c>
      <c r="AH75" s="2">
        <v>1.0</v>
      </c>
      <c r="AI75" s="2">
        <v>1.0</v>
      </c>
      <c r="AJ75" s="2">
        <v>5.0</v>
      </c>
      <c r="AK75" s="2">
        <v>5.0</v>
      </c>
      <c r="AL75" s="2" t="s">
        <v>3685</v>
      </c>
      <c r="AM75" s="2" t="s">
        <v>3686</v>
      </c>
      <c r="AN75" s="2" t="s">
        <v>3687</v>
      </c>
      <c r="AO75" s="2" t="s">
        <v>4355</v>
      </c>
      <c r="AP75" s="2" t="s">
        <v>3635</v>
      </c>
      <c r="AQ75" s="2" t="s">
        <v>5262</v>
      </c>
      <c r="AR75" s="2" t="s">
        <v>4357</v>
      </c>
      <c r="AS75" s="2" t="s">
        <v>3635</v>
      </c>
      <c r="AT75" s="2" t="s">
        <v>3635</v>
      </c>
      <c r="AU75" s="2">
        <v>2023.0</v>
      </c>
      <c r="AV75" s="2" t="s">
        <v>3635</v>
      </c>
      <c r="AW75" s="2" t="s">
        <v>3635</v>
      </c>
      <c r="AX75" s="2" t="s">
        <v>3635</v>
      </c>
      <c r="AY75" s="2" t="s">
        <v>3635</v>
      </c>
      <c r="AZ75" s="2" t="s">
        <v>3635</v>
      </c>
      <c r="BA75" s="2" t="s">
        <v>3635</v>
      </c>
      <c r="BB75" s="2">
        <v>329.0</v>
      </c>
      <c r="BC75" s="2">
        <v>334.0</v>
      </c>
      <c r="BD75" s="2" t="s">
        <v>3635</v>
      </c>
      <c r="BE75" s="2" t="s">
        <v>263</v>
      </c>
      <c r="BF75" s="3" t="str">
        <f>HYPERLINK("http://dx.doi.org/10.1109/ICSME58846.2023.00040","http://dx.doi.org/10.1109/ICSME58846.2023.00040")</f>
        <v>http://dx.doi.org/10.1109/ICSME58846.2023.00040</v>
      </c>
      <c r="BG75" s="2" t="s">
        <v>3635</v>
      </c>
      <c r="BH75" s="2" t="s">
        <v>3635</v>
      </c>
      <c r="BI75" s="2">
        <v>6.0</v>
      </c>
      <c r="BJ75" s="2" t="s">
        <v>3691</v>
      </c>
      <c r="BK75" s="2" t="s">
        <v>3692</v>
      </c>
      <c r="BL75" s="2" t="s">
        <v>3659</v>
      </c>
      <c r="BM75" s="2" t="s">
        <v>5263</v>
      </c>
      <c r="BN75" s="2" t="s">
        <v>3635</v>
      </c>
      <c r="BO75" s="2" t="s">
        <v>3694</v>
      </c>
      <c r="BP75" s="2" t="s">
        <v>3635</v>
      </c>
      <c r="BQ75" s="2" t="s">
        <v>3635</v>
      </c>
      <c r="BR75" s="2" t="s">
        <v>3662</v>
      </c>
      <c r="BS75" s="2" t="s">
        <v>5264</v>
      </c>
      <c r="BT75" s="2" t="str">
        <f>HYPERLINK("https%3A%2F%2Fwww.webofscience.com%2Fwos%2Fwoscc%2Ffull-record%2FWOS:001125977500028","View Full Record in Web of Science")</f>
        <v>View Full Record in Web of Science</v>
      </c>
    </row>
    <row r="76" ht="15.75" customHeight="1">
      <c r="A76" s="2" t="s">
        <v>3633</v>
      </c>
      <c r="B76" s="2" t="s">
        <v>5265</v>
      </c>
      <c r="C76" s="2" t="s">
        <v>3635</v>
      </c>
      <c r="D76" s="2" t="s">
        <v>3635</v>
      </c>
      <c r="E76" s="2" t="s">
        <v>3635</v>
      </c>
      <c r="F76" s="2" t="s">
        <v>5266</v>
      </c>
      <c r="G76" s="2" t="s">
        <v>3635</v>
      </c>
      <c r="H76" s="2" t="s">
        <v>3635</v>
      </c>
      <c r="I76" s="2" t="s">
        <v>5267</v>
      </c>
      <c r="J76" s="2" t="s">
        <v>5268</v>
      </c>
      <c r="K76" s="2" t="s">
        <v>3635</v>
      </c>
      <c r="L76" s="2" t="s">
        <v>3635</v>
      </c>
      <c r="M76" s="2" t="s">
        <v>3638</v>
      </c>
      <c r="N76" s="2" t="s">
        <v>21</v>
      </c>
      <c r="O76" s="2" t="s">
        <v>3635</v>
      </c>
      <c r="P76" s="2" t="s">
        <v>3635</v>
      </c>
      <c r="Q76" s="2" t="s">
        <v>3635</v>
      </c>
      <c r="R76" s="2" t="s">
        <v>3635</v>
      </c>
      <c r="S76" s="2" t="s">
        <v>3635</v>
      </c>
      <c r="T76" s="2" t="s">
        <v>5269</v>
      </c>
      <c r="U76" s="2" t="s">
        <v>3635</v>
      </c>
      <c r="V76" s="2" t="s">
        <v>5270</v>
      </c>
      <c r="W76" s="2" t="s">
        <v>5271</v>
      </c>
      <c r="X76" s="2" t="s">
        <v>5272</v>
      </c>
      <c r="Y76" s="2" t="s">
        <v>5273</v>
      </c>
      <c r="Z76" s="2" t="s">
        <v>3635</v>
      </c>
      <c r="AA76" s="2" t="s">
        <v>5274</v>
      </c>
      <c r="AB76" s="2" t="s">
        <v>5275</v>
      </c>
      <c r="AC76" s="2" t="s">
        <v>3635</v>
      </c>
      <c r="AD76" s="2" t="s">
        <v>3635</v>
      </c>
      <c r="AE76" s="2" t="s">
        <v>3635</v>
      </c>
      <c r="AF76" s="2" t="s">
        <v>3635</v>
      </c>
      <c r="AG76" s="2">
        <v>43.0</v>
      </c>
      <c r="AH76" s="2">
        <v>19.0</v>
      </c>
      <c r="AI76" s="2">
        <v>20.0</v>
      </c>
      <c r="AJ76" s="2">
        <v>0.0</v>
      </c>
      <c r="AK76" s="2">
        <v>24.0</v>
      </c>
      <c r="AL76" s="2" t="s">
        <v>5276</v>
      </c>
      <c r="AM76" s="2" t="s">
        <v>5277</v>
      </c>
      <c r="AN76" s="2" t="s">
        <v>5278</v>
      </c>
      <c r="AO76" s="2" t="s">
        <v>5279</v>
      </c>
      <c r="AP76" s="2" t="s">
        <v>5280</v>
      </c>
      <c r="AQ76" s="2" t="s">
        <v>3635</v>
      </c>
      <c r="AR76" s="2" t="s">
        <v>5281</v>
      </c>
      <c r="AS76" s="2" t="s">
        <v>5282</v>
      </c>
      <c r="AT76" s="2" t="s">
        <v>5283</v>
      </c>
      <c r="AU76" s="2">
        <v>2016.0</v>
      </c>
      <c r="AV76" s="2">
        <v>28.0</v>
      </c>
      <c r="AW76" s="2">
        <v>1.0</v>
      </c>
      <c r="AX76" s="2" t="s">
        <v>3635</v>
      </c>
      <c r="AY76" s="2" t="s">
        <v>3635</v>
      </c>
      <c r="AZ76" s="2" t="s">
        <v>3635</v>
      </c>
      <c r="BA76" s="2" t="s">
        <v>3635</v>
      </c>
      <c r="BB76" s="2">
        <v>1.0</v>
      </c>
      <c r="BC76" s="2">
        <v>14.0</v>
      </c>
      <c r="BD76" s="2" t="s">
        <v>3635</v>
      </c>
      <c r="BE76" s="2" t="s">
        <v>1163</v>
      </c>
      <c r="BF76" s="3" t="str">
        <f>HYPERLINK("http://dx.doi.org/10.4018/JOEUC.2016010101","http://dx.doi.org/10.4018/JOEUC.2016010101")</f>
        <v>http://dx.doi.org/10.4018/JOEUC.2016010101</v>
      </c>
      <c r="BG76" s="2" t="s">
        <v>3635</v>
      </c>
      <c r="BH76" s="2" t="s">
        <v>3635</v>
      </c>
      <c r="BI76" s="2">
        <v>14.0</v>
      </c>
      <c r="BJ76" s="2" t="s">
        <v>5284</v>
      </c>
      <c r="BK76" s="2" t="s">
        <v>4378</v>
      </c>
      <c r="BL76" s="2" t="s">
        <v>5285</v>
      </c>
      <c r="BM76" s="2" t="s">
        <v>5286</v>
      </c>
      <c r="BN76" s="2" t="s">
        <v>3635</v>
      </c>
      <c r="BO76" s="2" t="s">
        <v>3635</v>
      </c>
      <c r="BP76" s="2" t="s">
        <v>3635</v>
      </c>
      <c r="BQ76" s="2" t="s">
        <v>3635</v>
      </c>
      <c r="BR76" s="2" t="s">
        <v>3662</v>
      </c>
      <c r="BS76" s="2" t="s">
        <v>5287</v>
      </c>
      <c r="BT76" s="2" t="str">
        <f>HYPERLINK("https%3A%2F%2Fwww.webofscience.com%2Fwos%2Fwoscc%2Ffull-record%2FWOS:000370281900001","View Full Record in Web of Science")</f>
        <v>View Full Record in Web of Science</v>
      </c>
    </row>
    <row r="77" ht="15.75" customHeight="1">
      <c r="A77" s="2" t="s">
        <v>3633</v>
      </c>
      <c r="B77" s="2" t="s">
        <v>5288</v>
      </c>
      <c r="C77" s="2" t="s">
        <v>3635</v>
      </c>
      <c r="D77" s="2" t="s">
        <v>3635</v>
      </c>
      <c r="E77" s="2" t="s">
        <v>3635</v>
      </c>
      <c r="F77" s="2" t="s">
        <v>5289</v>
      </c>
      <c r="G77" s="2" t="s">
        <v>3635</v>
      </c>
      <c r="H77" s="2" t="s">
        <v>3635</v>
      </c>
      <c r="I77" s="2" t="s">
        <v>1632</v>
      </c>
      <c r="J77" s="2" t="s">
        <v>5290</v>
      </c>
      <c r="K77" s="2" t="s">
        <v>3635</v>
      </c>
      <c r="L77" s="2" t="s">
        <v>3635</v>
      </c>
      <c r="M77" s="2" t="s">
        <v>3638</v>
      </c>
      <c r="N77" s="2" t="s">
        <v>21</v>
      </c>
      <c r="O77" s="2" t="s">
        <v>3635</v>
      </c>
      <c r="P77" s="2" t="s">
        <v>3635</v>
      </c>
      <c r="Q77" s="2" t="s">
        <v>3635</v>
      </c>
      <c r="R77" s="2" t="s">
        <v>3635</v>
      </c>
      <c r="S77" s="2" t="s">
        <v>3635</v>
      </c>
      <c r="T77" s="2" t="s">
        <v>5291</v>
      </c>
      <c r="U77" s="2" t="s">
        <v>3635</v>
      </c>
      <c r="V77" s="2" t="s">
        <v>5292</v>
      </c>
      <c r="W77" s="2" t="s">
        <v>5293</v>
      </c>
      <c r="X77" s="2" t="s">
        <v>5294</v>
      </c>
      <c r="Y77" s="2" t="s">
        <v>5295</v>
      </c>
      <c r="Z77" s="2" t="s">
        <v>5296</v>
      </c>
      <c r="AA77" s="2" t="s">
        <v>3635</v>
      </c>
      <c r="AB77" s="2" t="s">
        <v>3635</v>
      </c>
      <c r="AC77" s="2" t="s">
        <v>3635</v>
      </c>
      <c r="AD77" s="2" t="s">
        <v>3635</v>
      </c>
      <c r="AE77" s="2" t="s">
        <v>3635</v>
      </c>
      <c r="AF77" s="2" t="s">
        <v>3635</v>
      </c>
      <c r="AG77" s="2">
        <v>20.0</v>
      </c>
      <c r="AH77" s="2">
        <v>1.0</v>
      </c>
      <c r="AI77" s="2">
        <v>1.0</v>
      </c>
      <c r="AJ77" s="2">
        <v>0.0</v>
      </c>
      <c r="AK77" s="2">
        <v>7.0</v>
      </c>
      <c r="AL77" s="2" t="s">
        <v>5297</v>
      </c>
      <c r="AM77" s="2" t="s">
        <v>5298</v>
      </c>
      <c r="AN77" s="2" t="s">
        <v>5299</v>
      </c>
      <c r="AO77" s="2" t="s">
        <v>5300</v>
      </c>
      <c r="AP77" s="2" t="s">
        <v>3635</v>
      </c>
      <c r="AQ77" s="2" t="s">
        <v>3635</v>
      </c>
      <c r="AR77" s="2" t="s">
        <v>5301</v>
      </c>
      <c r="AS77" s="2" t="s">
        <v>5302</v>
      </c>
      <c r="AT77" s="2" t="s">
        <v>4517</v>
      </c>
      <c r="AU77" s="2">
        <v>2007.0</v>
      </c>
      <c r="AV77" s="2" t="s">
        <v>5303</v>
      </c>
      <c r="AW77" s="2">
        <v>3.0</v>
      </c>
      <c r="AX77" s="2" t="s">
        <v>3635</v>
      </c>
      <c r="AY77" s="2" t="s">
        <v>3635</v>
      </c>
      <c r="AZ77" s="2" t="s">
        <v>3635</v>
      </c>
      <c r="BA77" s="2" t="s">
        <v>3635</v>
      </c>
      <c r="BB77" s="2">
        <v>648.0</v>
      </c>
      <c r="BC77" s="2">
        <v>655.0</v>
      </c>
      <c r="BD77" s="2" t="s">
        <v>3635</v>
      </c>
      <c r="BE77" s="2" t="s">
        <v>1635</v>
      </c>
      <c r="BF77" s="3" t="str">
        <f>HYPERLINK("http://dx.doi.org/10.1093/ietisy/e90-d.3.648","http://dx.doi.org/10.1093/ietisy/e90-d.3.648")</f>
        <v>http://dx.doi.org/10.1093/ietisy/e90-d.3.648</v>
      </c>
      <c r="BG77" s="2" t="s">
        <v>3635</v>
      </c>
      <c r="BH77" s="2" t="s">
        <v>3635</v>
      </c>
      <c r="BI77" s="2">
        <v>8.0</v>
      </c>
      <c r="BJ77" s="2" t="s">
        <v>4791</v>
      </c>
      <c r="BK77" s="2" t="s">
        <v>3658</v>
      </c>
      <c r="BL77" s="2" t="s">
        <v>3659</v>
      </c>
      <c r="BM77" s="2" t="s">
        <v>5304</v>
      </c>
      <c r="BN77" s="2" t="s">
        <v>3635</v>
      </c>
      <c r="BO77" s="2" t="s">
        <v>3635</v>
      </c>
      <c r="BP77" s="2" t="s">
        <v>3635</v>
      </c>
      <c r="BQ77" s="2" t="s">
        <v>3635</v>
      </c>
      <c r="BR77" s="2" t="s">
        <v>3662</v>
      </c>
      <c r="BS77" s="2" t="s">
        <v>5305</v>
      </c>
      <c r="BT77" s="2" t="str">
        <f>HYPERLINK("https%3A%2F%2Fwww.webofscience.com%2Fwos%2Fwoscc%2Ffull-record%2FWOS:000245194600004","View Full Record in Web of Science")</f>
        <v>View Full Record in Web of Science</v>
      </c>
    </row>
    <row r="78" ht="15.75" customHeight="1">
      <c r="A78" s="2" t="s">
        <v>3664</v>
      </c>
      <c r="B78" s="2" t="s">
        <v>5306</v>
      </c>
      <c r="C78" s="2" t="s">
        <v>3635</v>
      </c>
      <c r="D78" s="2" t="s">
        <v>3635</v>
      </c>
      <c r="E78" s="2" t="s">
        <v>1974</v>
      </c>
      <c r="F78" s="2" t="s">
        <v>5307</v>
      </c>
      <c r="G78" s="2" t="s">
        <v>3635</v>
      </c>
      <c r="H78" s="2" t="s">
        <v>3635</v>
      </c>
      <c r="I78" s="2" t="s">
        <v>2570</v>
      </c>
      <c r="J78" s="2" t="s">
        <v>5308</v>
      </c>
      <c r="K78" s="2" t="s">
        <v>5309</v>
      </c>
      <c r="L78" s="2" t="s">
        <v>3635</v>
      </c>
      <c r="M78" s="2" t="s">
        <v>3638</v>
      </c>
      <c r="N78" s="2" t="s">
        <v>3669</v>
      </c>
      <c r="O78" s="2" t="s">
        <v>5310</v>
      </c>
      <c r="P78" s="2" t="s">
        <v>5311</v>
      </c>
      <c r="Q78" s="2" t="s">
        <v>5312</v>
      </c>
      <c r="R78" s="2" t="s">
        <v>5313</v>
      </c>
      <c r="S78" s="2" t="s">
        <v>3635</v>
      </c>
      <c r="T78" s="2" t="s">
        <v>3635</v>
      </c>
      <c r="U78" s="2" t="s">
        <v>3635</v>
      </c>
      <c r="V78" s="2" t="s">
        <v>5314</v>
      </c>
      <c r="W78" s="2" t="s">
        <v>5315</v>
      </c>
      <c r="X78" s="2" t="s">
        <v>5316</v>
      </c>
      <c r="Y78" s="2" t="s">
        <v>5317</v>
      </c>
      <c r="Z78" s="2" t="s">
        <v>5318</v>
      </c>
      <c r="AA78" s="2" t="s">
        <v>5319</v>
      </c>
      <c r="AB78" s="2" t="s">
        <v>5320</v>
      </c>
      <c r="AC78" s="2" t="s">
        <v>3635</v>
      </c>
      <c r="AD78" s="2" t="s">
        <v>3635</v>
      </c>
      <c r="AE78" s="2" t="s">
        <v>3635</v>
      </c>
      <c r="AF78" s="2" t="s">
        <v>3635</v>
      </c>
      <c r="AG78" s="2">
        <v>9.0</v>
      </c>
      <c r="AH78" s="2">
        <v>0.0</v>
      </c>
      <c r="AI78" s="2">
        <v>0.0</v>
      </c>
      <c r="AJ78" s="2">
        <v>0.0</v>
      </c>
      <c r="AK78" s="2">
        <v>1.0</v>
      </c>
      <c r="AL78" s="2" t="s">
        <v>1974</v>
      </c>
      <c r="AM78" s="2" t="s">
        <v>3651</v>
      </c>
      <c r="AN78" s="2" t="s">
        <v>3762</v>
      </c>
      <c r="AO78" s="2" t="s">
        <v>5321</v>
      </c>
      <c r="AP78" s="2" t="s">
        <v>3635</v>
      </c>
      <c r="AQ78" s="2" t="s">
        <v>5322</v>
      </c>
      <c r="AR78" s="2" t="s">
        <v>5323</v>
      </c>
      <c r="AS78" s="2" t="s">
        <v>3635</v>
      </c>
      <c r="AT78" s="2" t="s">
        <v>3635</v>
      </c>
      <c r="AU78" s="2">
        <v>2016.0</v>
      </c>
      <c r="AV78" s="2" t="s">
        <v>3635</v>
      </c>
      <c r="AW78" s="2" t="s">
        <v>3635</v>
      </c>
      <c r="AX78" s="2" t="s">
        <v>3635</v>
      </c>
      <c r="AY78" s="2" t="s">
        <v>3635</v>
      </c>
      <c r="AZ78" s="2" t="s">
        <v>3635</v>
      </c>
      <c r="BA78" s="2" t="s">
        <v>3635</v>
      </c>
      <c r="BB78" s="2">
        <v>586.0</v>
      </c>
      <c r="BC78" s="2">
        <v>589.0</v>
      </c>
      <c r="BD78" s="2" t="s">
        <v>3635</v>
      </c>
      <c r="BE78" s="2" t="s">
        <v>1140</v>
      </c>
      <c r="BF78" s="3" t="str">
        <f>HYPERLINK("http://dx.doi.org/10.1109/CANDAR.2016.52","http://dx.doi.org/10.1109/CANDAR.2016.52")</f>
        <v>http://dx.doi.org/10.1109/CANDAR.2016.52</v>
      </c>
      <c r="BG78" s="2" t="s">
        <v>3635</v>
      </c>
      <c r="BH78" s="2" t="s">
        <v>3635</v>
      </c>
      <c r="BI78" s="2">
        <v>4.0</v>
      </c>
      <c r="BJ78" s="2" t="s">
        <v>4874</v>
      </c>
      <c r="BK78" s="2" t="s">
        <v>3692</v>
      </c>
      <c r="BL78" s="2" t="s">
        <v>3659</v>
      </c>
      <c r="BM78" s="2" t="s">
        <v>5324</v>
      </c>
      <c r="BN78" s="2" t="s">
        <v>3635</v>
      </c>
      <c r="BO78" s="2" t="s">
        <v>3635</v>
      </c>
      <c r="BP78" s="2" t="s">
        <v>3635</v>
      </c>
      <c r="BQ78" s="2" t="s">
        <v>3635</v>
      </c>
      <c r="BR78" s="2" t="s">
        <v>3662</v>
      </c>
      <c r="BS78" s="2" t="s">
        <v>5325</v>
      </c>
      <c r="BT78" s="2" t="str">
        <f>HYPERLINK("https%3A%2F%2Fwww.webofscience.com%2Fwos%2Fwoscc%2Ffull-record%2FWOS:000393284200089","View Full Record in Web of Science")</f>
        <v>View Full Record in Web of Science</v>
      </c>
    </row>
    <row r="79" ht="15.75" customHeight="1">
      <c r="A79" s="2" t="s">
        <v>3664</v>
      </c>
      <c r="B79" s="2" t="s">
        <v>5326</v>
      </c>
      <c r="C79" s="2" t="s">
        <v>3635</v>
      </c>
      <c r="D79" s="2" t="s">
        <v>3635</v>
      </c>
      <c r="E79" s="2" t="s">
        <v>1974</v>
      </c>
      <c r="F79" s="2" t="s">
        <v>5327</v>
      </c>
      <c r="G79" s="2" t="s">
        <v>3635</v>
      </c>
      <c r="H79" s="2" t="s">
        <v>3635</v>
      </c>
      <c r="I79" s="2" t="s">
        <v>1182</v>
      </c>
      <c r="J79" s="2" t="s">
        <v>5328</v>
      </c>
      <c r="K79" s="2" t="s">
        <v>5329</v>
      </c>
      <c r="L79" s="2" t="s">
        <v>3635</v>
      </c>
      <c r="M79" s="2" t="s">
        <v>3638</v>
      </c>
      <c r="N79" s="2" t="s">
        <v>3669</v>
      </c>
      <c r="O79" s="2" t="s">
        <v>5330</v>
      </c>
      <c r="P79" s="2" t="s">
        <v>5331</v>
      </c>
      <c r="Q79" s="2" t="s">
        <v>5332</v>
      </c>
      <c r="R79" s="2" t="s">
        <v>5333</v>
      </c>
      <c r="S79" s="2" t="s">
        <v>3635</v>
      </c>
      <c r="T79" s="2" t="s">
        <v>5334</v>
      </c>
      <c r="U79" s="2" t="s">
        <v>5335</v>
      </c>
      <c r="V79" s="2" t="s">
        <v>5336</v>
      </c>
      <c r="W79" s="2" t="s">
        <v>5337</v>
      </c>
      <c r="X79" s="2" t="s">
        <v>5338</v>
      </c>
      <c r="Y79" s="2" t="s">
        <v>5339</v>
      </c>
      <c r="Z79" s="2" t="s">
        <v>5340</v>
      </c>
      <c r="AA79" s="2" t="s">
        <v>5341</v>
      </c>
      <c r="AB79" s="2" t="s">
        <v>5342</v>
      </c>
      <c r="AC79" s="2" t="s">
        <v>5343</v>
      </c>
      <c r="AD79" s="2" t="s">
        <v>5344</v>
      </c>
      <c r="AE79" s="2" t="s">
        <v>5345</v>
      </c>
      <c r="AF79" s="2" t="s">
        <v>3635</v>
      </c>
      <c r="AG79" s="2">
        <v>27.0</v>
      </c>
      <c r="AH79" s="2">
        <v>4.0</v>
      </c>
      <c r="AI79" s="2">
        <v>4.0</v>
      </c>
      <c r="AJ79" s="2">
        <v>0.0</v>
      </c>
      <c r="AK79" s="2">
        <v>2.0</v>
      </c>
      <c r="AL79" s="2" t="s">
        <v>1974</v>
      </c>
      <c r="AM79" s="2" t="s">
        <v>3651</v>
      </c>
      <c r="AN79" s="2" t="s">
        <v>3762</v>
      </c>
      <c r="AO79" s="2" t="s">
        <v>5346</v>
      </c>
      <c r="AP79" s="2" t="s">
        <v>3635</v>
      </c>
      <c r="AQ79" s="2" t="s">
        <v>5347</v>
      </c>
      <c r="AR79" s="2" t="s">
        <v>5348</v>
      </c>
      <c r="AS79" s="2" t="s">
        <v>3635</v>
      </c>
      <c r="AT79" s="2" t="s">
        <v>3635</v>
      </c>
      <c r="AU79" s="2">
        <v>2017.0</v>
      </c>
      <c r="AV79" s="2" t="s">
        <v>3635</v>
      </c>
      <c r="AW79" s="2" t="s">
        <v>3635</v>
      </c>
      <c r="AX79" s="2" t="s">
        <v>3635</v>
      </c>
      <c r="AY79" s="2" t="s">
        <v>3635</v>
      </c>
      <c r="AZ79" s="2" t="s">
        <v>3635</v>
      </c>
      <c r="BA79" s="2" t="s">
        <v>3635</v>
      </c>
      <c r="BB79" s="2">
        <v>81.0</v>
      </c>
      <c r="BC79" s="2">
        <v>89.0</v>
      </c>
      <c r="BD79" s="2" t="s">
        <v>3635</v>
      </c>
      <c r="BE79" s="2" t="s">
        <v>1185</v>
      </c>
      <c r="BF79" s="3" t="str">
        <f>HYPERLINK("http://dx.doi.org/10.1109/SOCA.2017.19","http://dx.doi.org/10.1109/SOCA.2017.19")</f>
        <v>http://dx.doi.org/10.1109/SOCA.2017.19</v>
      </c>
      <c r="BG79" s="2" t="s">
        <v>3635</v>
      </c>
      <c r="BH79" s="2" t="s">
        <v>3635</v>
      </c>
      <c r="BI79" s="2">
        <v>9.0</v>
      </c>
      <c r="BJ79" s="2" t="s">
        <v>5349</v>
      </c>
      <c r="BK79" s="2" t="s">
        <v>3692</v>
      </c>
      <c r="BL79" s="2" t="s">
        <v>3944</v>
      </c>
      <c r="BM79" s="2" t="s">
        <v>5350</v>
      </c>
      <c r="BN79" s="2" t="s">
        <v>3635</v>
      </c>
      <c r="BO79" s="2" t="s">
        <v>4701</v>
      </c>
      <c r="BP79" s="2" t="s">
        <v>3635</v>
      </c>
      <c r="BQ79" s="2" t="s">
        <v>3635</v>
      </c>
      <c r="BR79" s="2" t="s">
        <v>3662</v>
      </c>
      <c r="BS79" s="2" t="s">
        <v>5351</v>
      </c>
      <c r="BT79" s="2" t="str">
        <f>HYPERLINK("https%3A%2F%2Fwww.webofscience.com%2Fwos%2Fwoscc%2Ffull-record%2FWOS:000425210400011","View Full Record in Web of Science")</f>
        <v>View Full Record in Web of Science</v>
      </c>
    </row>
    <row r="80" ht="15.75" customHeight="1">
      <c r="A80" s="2" t="s">
        <v>3633</v>
      </c>
      <c r="B80" s="2" t="s">
        <v>5352</v>
      </c>
      <c r="C80" s="2" t="s">
        <v>3635</v>
      </c>
      <c r="D80" s="2" t="s">
        <v>3635</v>
      </c>
      <c r="E80" s="2" t="s">
        <v>3635</v>
      </c>
      <c r="F80" s="2" t="s">
        <v>5353</v>
      </c>
      <c r="G80" s="2" t="s">
        <v>3635</v>
      </c>
      <c r="H80" s="2" t="s">
        <v>3635</v>
      </c>
      <c r="I80" s="2" t="s">
        <v>5354</v>
      </c>
      <c r="J80" s="2" t="s">
        <v>4777</v>
      </c>
      <c r="K80" s="2" t="s">
        <v>3635</v>
      </c>
      <c r="L80" s="2" t="s">
        <v>3635</v>
      </c>
      <c r="M80" s="2" t="s">
        <v>3638</v>
      </c>
      <c r="N80" s="2" t="s">
        <v>4207</v>
      </c>
      <c r="O80" s="2" t="s">
        <v>3635</v>
      </c>
      <c r="P80" s="2" t="s">
        <v>3635</v>
      </c>
      <c r="Q80" s="2" t="s">
        <v>3635</v>
      </c>
      <c r="R80" s="2" t="s">
        <v>3635</v>
      </c>
      <c r="S80" s="2" t="s">
        <v>3635</v>
      </c>
      <c r="T80" s="2" t="s">
        <v>5355</v>
      </c>
      <c r="U80" s="2" t="s">
        <v>5356</v>
      </c>
      <c r="V80" s="2" t="s">
        <v>5357</v>
      </c>
      <c r="W80" s="2" t="s">
        <v>5358</v>
      </c>
      <c r="X80" s="2" t="s">
        <v>5359</v>
      </c>
      <c r="Y80" s="2" t="s">
        <v>5360</v>
      </c>
      <c r="Z80" s="2" t="s">
        <v>5361</v>
      </c>
      <c r="AA80" s="2" t="s">
        <v>5362</v>
      </c>
      <c r="AB80" s="2" t="s">
        <v>5363</v>
      </c>
      <c r="AC80" s="2" t="s">
        <v>5364</v>
      </c>
      <c r="AD80" s="2" t="s">
        <v>5365</v>
      </c>
      <c r="AE80" s="2" t="s">
        <v>5366</v>
      </c>
      <c r="AF80" s="2" t="s">
        <v>3635</v>
      </c>
      <c r="AG80" s="2">
        <v>82.0</v>
      </c>
      <c r="AH80" s="2">
        <v>72.0</v>
      </c>
      <c r="AI80" s="2">
        <v>81.0</v>
      </c>
      <c r="AJ80" s="2">
        <v>4.0</v>
      </c>
      <c r="AK80" s="2">
        <v>92.0</v>
      </c>
      <c r="AL80" s="2" t="s">
        <v>3807</v>
      </c>
      <c r="AM80" s="2" t="s">
        <v>3808</v>
      </c>
      <c r="AN80" s="2" t="s">
        <v>3809</v>
      </c>
      <c r="AO80" s="2" t="s">
        <v>4785</v>
      </c>
      <c r="AP80" s="2" t="s">
        <v>4786</v>
      </c>
      <c r="AQ80" s="2" t="s">
        <v>3635</v>
      </c>
      <c r="AR80" s="2" t="s">
        <v>4787</v>
      </c>
      <c r="AS80" s="2" t="s">
        <v>4788</v>
      </c>
      <c r="AT80" s="2" t="s">
        <v>5367</v>
      </c>
      <c r="AU80" s="2">
        <v>2016.0</v>
      </c>
      <c r="AV80" s="2">
        <v>80.0</v>
      </c>
      <c r="AW80" s="2" t="s">
        <v>3635</v>
      </c>
      <c r="AX80" s="2" t="s">
        <v>3635</v>
      </c>
      <c r="AY80" s="2" t="s">
        <v>3635</v>
      </c>
      <c r="AZ80" s="2" t="s">
        <v>3635</v>
      </c>
      <c r="BA80" s="2" t="s">
        <v>3635</v>
      </c>
      <c r="BB80" s="2">
        <v>195.0</v>
      </c>
      <c r="BC80" s="2">
        <v>216.0</v>
      </c>
      <c r="BD80" s="2" t="s">
        <v>3635</v>
      </c>
      <c r="BE80" s="2" t="s">
        <v>5368</v>
      </c>
      <c r="BF80" s="3" t="str">
        <f>HYPERLINK("http://dx.doi.org/10.1016/j.infsof.2016.09.002","http://dx.doi.org/10.1016/j.infsof.2016.09.002")</f>
        <v>http://dx.doi.org/10.1016/j.infsof.2016.09.002</v>
      </c>
      <c r="BG80" s="2" t="s">
        <v>3635</v>
      </c>
      <c r="BH80" s="2" t="s">
        <v>3635</v>
      </c>
      <c r="BI80" s="2">
        <v>22.0</v>
      </c>
      <c r="BJ80" s="2" t="s">
        <v>4791</v>
      </c>
      <c r="BK80" s="2" t="s">
        <v>3658</v>
      </c>
      <c r="BL80" s="2" t="s">
        <v>3659</v>
      </c>
      <c r="BM80" s="2" t="s">
        <v>5369</v>
      </c>
      <c r="BN80" s="2" t="s">
        <v>3635</v>
      </c>
      <c r="BO80" s="2" t="s">
        <v>3635</v>
      </c>
      <c r="BP80" s="2" t="s">
        <v>3635</v>
      </c>
      <c r="BQ80" s="2" t="s">
        <v>3635</v>
      </c>
      <c r="BR80" s="2" t="s">
        <v>3662</v>
      </c>
      <c r="BS80" s="2" t="s">
        <v>5370</v>
      </c>
      <c r="BT80" s="2" t="str">
        <f>HYPERLINK("https%3A%2F%2Fwww.webofscience.com%2Fwos%2Fwoscc%2Ffull-record%2FWOS:000386410800012","View Full Record in Web of Science")</f>
        <v>View Full Record in Web of Science</v>
      </c>
    </row>
    <row r="81" ht="15.75" customHeight="1">
      <c r="A81" s="2" t="s">
        <v>3633</v>
      </c>
      <c r="B81" s="2" t="s">
        <v>5371</v>
      </c>
      <c r="C81" s="2" t="s">
        <v>3635</v>
      </c>
      <c r="D81" s="2" t="s">
        <v>3635</v>
      </c>
      <c r="E81" s="2" t="s">
        <v>3635</v>
      </c>
      <c r="F81" s="2" t="s">
        <v>5372</v>
      </c>
      <c r="G81" s="2" t="s">
        <v>3635</v>
      </c>
      <c r="H81" s="2" t="s">
        <v>3635</v>
      </c>
      <c r="I81" s="2" t="s">
        <v>5373</v>
      </c>
      <c r="J81" s="2" t="s">
        <v>5374</v>
      </c>
      <c r="K81" s="2" t="s">
        <v>3635</v>
      </c>
      <c r="L81" s="2" t="s">
        <v>3635</v>
      </c>
      <c r="M81" s="2" t="s">
        <v>3638</v>
      </c>
      <c r="N81" s="2" t="s">
        <v>21</v>
      </c>
      <c r="O81" s="2" t="s">
        <v>3635</v>
      </c>
      <c r="P81" s="2" t="s">
        <v>3635</v>
      </c>
      <c r="Q81" s="2" t="s">
        <v>3635</v>
      </c>
      <c r="R81" s="2" t="s">
        <v>3635</v>
      </c>
      <c r="S81" s="2" t="s">
        <v>3635</v>
      </c>
      <c r="T81" s="2" t="s">
        <v>5375</v>
      </c>
      <c r="U81" s="2" t="s">
        <v>5376</v>
      </c>
      <c r="V81" s="2" t="s">
        <v>5377</v>
      </c>
      <c r="W81" s="2" t="s">
        <v>5378</v>
      </c>
      <c r="X81" s="2" t="s">
        <v>3635</v>
      </c>
      <c r="Y81" s="2" t="s">
        <v>5379</v>
      </c>
      <c r="Z81" s="2" t="s">
        <v>5380</v>
      </c>
      <c r="AA81" s="2" t="s">
        <v>3635</v>
      </c>
      <c r="AB81" s="2" t="s">
        <v>5381</v>
      </c>
      <c r="AC81" s="2" t="s">
        <v>3635</v>
      </c>
      <c r="AD81" s="2" t="s">
        <v>3635</v>
      </c>
      <c r="AE81" s="2" t="s">
        <v>3635</v>
      </c>
      <c r="AF81" s="2" t="s">
        <v>3635</v>
      </c>
      <c r="AG81" s="2">
        <v>13.0</v>
      </c>
      <c r="AH81" s="2">
        <v>0.0</v>
      </c>
      <c r="AI81" s="2">
        <v>0.0</v>
      </c>
      <c r="AJ81" s="2">
        <v>0.0</v>
      </c>
      <c r="AK81" s="2">
        <v>1.0</v>
      </c>
      <c r="AL81" s="2" t="s">
        <v>5382</v>
      </c>
      <c r="AM81" s="2" t="s">
        <v>5383</v>
      </c>
      <c r="AN81" s="2" t="s">
        <v>5384</v>
      </c>
      <c r="AO81" s="2" t="s">
        <v>5385</v>
      </c>
      <c r="AP81" s="2" t="s">
        <v>5386</v>
      </c>
      <c r="AQ81" s="2" t="s">
        <v>3635</v>
      </c>
      <c r="AR81" s="2" t="s">
        <v>5387</v>
      </c>
      <c r="AS81" s="2" t="s">
        <v>5388</v>
      </c>
      <c r="AT81" s="2" t="s">
        <v>3635</v>
      </c>
      <c r="AU81" s="2">
        <v>2020.0</v>
      </c>
      <c r="AV81" s="2">
        <v>15.0</v>
      </c>
      <c r="AW81" s="2">
        <v>2.0</v>
      </c>
      <c r="AX81" s="2" t="s">
        <v>3635</v>
      </c>
      <c r="AY81" s="2" t="s">
        <v>3635</v>
      </c>
      <c r="AZ81" s="2" t="s">
        <v>3635</v>
      </c>
      <c r="BA81" s="2" t="s">
        <v>3635</v>
      </c>
      <c r="BB81" s="2">
        <v>124.0</v>
      </c>
      <c r="BC81" s="2">
        <v>130.0</v>
      </c>
      <c r="BD81" s="2" t="s">
        <v>3635</v>
      </c>
      <c r="BE81" s="2" t="s">
        <v>5389</v>
      </c>
      <c r="BF81" s="3" t="str">
        <f>HYPERLINK("http://dx.doi.org/10.2174/1574886315666200224101011","http://dx.doi.org/10.2174/1574886315666200224101011")</f>
        <v>http://dx.doi.org/10.2174/1574886315666200224101011</v>
      </c>
      <c r="BG81" s="2" t="s">
        <v>3635</v>
      </c>
      <c r="BH81" s="2" t="s">
        <v>3635</v>
      </c>
      <c r="BI81" s="2">
        <v>7.0</v>
      </c>
      <c r="BJ81" s="2" t="s">
        <v>5390</v>
      </c>
      <c r="BK81" s="2" t="s">
        <v>3993</v>
      </c>
      <c r="BL81" s="2" t="s">
        <v>5390</v>
      </c>
      <c r="BM81" s="2" t="s">
        <v>5391</v>
      </c>
      <c r="BN81" s="2">
        <v>3.2091345E7</v>
      </c>
      <c r="BO81" s="2" t="s">
        <v>3635</v>
      </c>
      <c r="BP81" s="2" t="s">
        <v>3635</v>
      </c>
      <c r="BQ81" s="2" t="s">
        <v>3635</v>
      </c>
      <c r="BR81" s="2" t="s">
        <v>3662</v>
      </c>
      <c r="BS81" s="2" t="s">
        <v>5392</v>
      </c>
      <c r="BT81" s="2" t="str">
        <f>HYPERLINK("https%3A%2F%2Fwww.webofscience.com%2Fwos%2Fwoscc%2Ffull-record%2FWOS:000545985400005","View Full Record in Web of Science")</f>
        <v>View Full Record in Web of Science</v>
      </c>
    </row>
    <row r="82" ht="15.75" customHeight="1">
      <c r="A82" s="2" t="s">
        <v>3633</v>
      </c>
      <c r="B82" s="2" t="s">
        <v>5393</v>
      </c>
      <c r="C82" s="2" t="s">
        <v>3635</v>
      </c>
      <c r="D82" s="2" t="s">
        <v>3635</v>
      </c>
      <c r="E82" s="2" t="s">
        <v>3635</v>
      </c>
      <c r="F82" s="2" t="s">
        <v>5394</v>
      </c>
      <c r="G82" s="2" t="s">
        <v>3635</v>
      </c>
      <c r="H82" s="2" t="s">
        <v>3635</v>
      </c>
      <c r="I82" s="2" t="s">
        <v>309</v>
      </c>
      <c r="J82" s="2" t="s">
        <v>5395</v>
      </c>
      <c r="K82" s="2" t="s">
        <v>3635</v>
      </c>
      <c r="L82" s="2" t="s">
        <v>3635</v>
      </c>
      <c r="M82" s="2" t="s">
        <v>3638</v>
      </c>
      <c r="N82" s="2" t="s">
        <v>21</v>
      </c>
      <c r="O82" s="2" t="s">
        <v>3635</v>
      </c>
      <c r="P82" s="2" t="s">
        <v>3635</v>
      </c>
      <c r="Q82" s="2" t="s">
        <v>3635</v>
      </c>
      <c r="R82" s="2" t="s">
        <v>3635</v>
      </c>
      <c r="S82" s="2" t="s">
        <v>3635</v>
      </c>
      <c r="T82" s="2" t="s">
        <v>5396</v>
      </c>
      <c r="U82" s="2" t="s">
        <v>5397</v>
      </c>
      <c r="V82" s="2" t="s">
        <v>5398</v>
      </c>
      <c r="W82" s="2" t="s">
        <v>5399</v>
      </c>
      <c r="X82" s="2" t="s">
        <v>5400</v>
      </c>
      <c r="Y82" s="2" t="s">
        <v>5401</v>
      </c>
      <c r="Z82" s="2" t="s">
        <v>5402</v>
      </c>
      <c r="AA82" s="2" t="s">
        <v>3635</v>
      </c>
      <c r="AB82" s="2" t="s">
        <v>5403</v>
      </c>
      <c r="AC82" s="2" t="s">
        <v>5404</v>
      </c>
      <c r="AD82" s="2" t="s">
        <v>5405</v>
      </c>
      <c r="AE82" s="2" t="s">
        <v>5406</v>
      </c>
      <c r="AF82" s="2" t="s">
        <v>3635</v>
      </c>
      <c r="AG82" s="2">
        <v>20.0</v>
      </c>
      <c r="AH82" s="2">
        <v>2.0</v>
      </c>
      <c r="AI82" s="2">
        <v>2.0</v>
      </c>
      <c r="AJ82" s="2">
        <v>0.0</v>
      </c>
      <c r="AK82" s="2">
        <v>4.0</v>
      </c>
      <c r="AL82" s="2" t="s">
        <v>3685</v>
      </c>
      <c r="AM82" s="2" t="s">
        <v>3686</v>
      </c>
      <c r="AN82" s="2" t="s">
        <v>3951</v>
      </c>
      <c r="AO82" s="2" t="s">
        <v>5407</v>
      </c>
      <c r="AP82" s="2" t="s">
        <v>5408</v>
      </c>
      <c r="AQ82" s="2" t="s">
        <v>3635</v>
      </c>
      <c r="AR82" s="2" t="s">
        <v>5409</v>
      </c>
      <c r="AS82" s="2" t="s">
        <v>5410</v>
      </c>
      <c r="AT82" s="2" t="s">
        <v>5411</v>
      </c>
      <c r="AU82" s="2">
        <v>2022.0</v>
      </c>
      <c r="AV82" s="2">
        <v>21.0</v>
      </c>
      <c r="AW82" s="2">
        <v>1.0</v>
      </c>
      <c r="AX82" s="2" t="s">
        <v>3635</v>
      </c>
      <c r="AY82" s="2" t="s">
        <v>3635</v>
      </c>
      <c r="AZ82" s="2" t="s">
        <v>3635</v>
      </c>
      <c r="BA82" s="2" t="s">
        <v>3635</v>
      </c>
      <c r="BB82" s="2">
        <v>18.0</v>
      </c>
      <c r="BC82" s="2">
        <v>27.0</v>
      </c>
      <c r="BD82" s="2" t="s">
        <v>3635</v>
      </c>
      <c r="BE82" s="2" t="s">
        <v>312</v>
      </c>
      <c r="BF82" s="3" t="str">
        <f>HYPERLINK("http://dx.doi.org/10.1109/MPRV.2021.3116466","http://dx.doi.org/10.1109/MPRV.2021.3116466")</f>
        <v>http://dx.doi.org/10.1109/MPRV.2021.3116466</v>
      </c>
      <c r="BG82" s="2" t="s">
        <v>3635</v>
      </c>
      <c r="BH82" s="2" t="s">
        <v>5412</v>
      </c>
      <c r="BI82" s="2">
        <v>10.0</v>
      </c>
      <c r="BJ82" s="2" t="s">
        <v>5413</v>
      </c>
      <c r="BK82" s="2" t="s">
        <v>3658</v>
      </c>
      <c r="BL82" s="2" t="s">
        <v>3816</v>
      </c>
      <c r="BM82" s="2" t="s">
        <v>5414</v>
      </c>
      <c r="BN82" s="2" t="s">
        <v>3635</v>
      </c>
      <c r="BO82" s="2" t="s">
        <v>5415</v>
      </c>
      <c r="BP82" s="2" t="s">
        <v>3635</v>
      </c>
      <c r="BQ82" s="2" t="s">
        <v>3635</v>
      </c>
      <c r="BR82" s="2" t="s">
        <v>3662</v>
      </c>
      <c r="BS82" s="2" t="s">
        <v>5416</v>
      </c>
      <c r="BT82" s="2" t="str">
        <f>HYPERLINK("https%3A%2F%2Fwww.webofscience.com%2Fwos%2Fwoscc%2Ffull-record%2FWOS:000732353900001","View Full Record in Web of Science")</f>
        <v>View Full Record in Web of Science</v>
      </c>
    </row>
    <row r="83" ht="15.75" customHeight="1">
      <c r="A83" s="2" t="s">
        <v>3664</v>
      </c>
      <c r="B83" s="2" t="s">
        <v>5417</v>
      </c>
      <c r="C83" s="2" t="s">
        <v>3635</v>
      </c>
      <c r="D83" s="2" t="s">
        <v>3635</v>
      </c>
      <c r="E83" s="2" t="s">
        <v>1974</v>
      </c>
      <c r="F83" s="2" t="s">
        <v>5418</v>
      </c>
      <c r="G83" s="2" t="s">
        <v>3635</v>
      </c>
      <c r="H83" s="2" t="s">
        <v>3635</v>
      </c>
      <c r="I83" s="2" t="s">
        <v>5419</v>
      </c>
      <c r="J83" s="2" t="s">
        <v>5420</v>
      </c>
      <c r="K83" s="2" t="s">
        <v>5421</v>
      </c>
      <c r="L83" s="2" t="s">
        <v>3635</v>
      </c>
      <c r="M83" s="2" t="s">
        <v>3638</v>
      </c>
      <c r="N83" s="2" t="s">
        <v>3669</v>
      </c>
      <c r="O83" s="2" t="s">
        <v>5422</v>
      </c>
      <c r="P83" s="2" t="s">
        <v>5423</v>
      </c>
      <c r="Q83" s="2" t="s">
        <v>5424</v>
      </c>
      <c r="R83" s="2" t="s">
        <v>5425</v>
      </c>
      <c r="S83" s="2" t="s">
        <v>3635</v>
      </c>
      <c r="T83" s="2" t="s">
        <v>5426</v>
      </c>
      <c r="U83" s="2" t="s">
        <v>3635</v>
      </c>
      <c r="V83" s="2" t="s">
        <v>5427</v>
      </c>
      <c r="W83" s="2" t="s">
        <v>5428</v>
      </c>
      <c r="X83" s="2" t="s">
        <v>5429</v>
      </c>
      <c r="Y83" s="2" t="s">
        <v>5430</v>
      </c>
      <c r="Z83" s="2" t="s">
        <v>5431</v>
      </c>
      <c r="AA83" s="2" t="s">
        <v>3635</v>
      </c>
      <c r="AB83" s="2" t="s">
        <v>3635</v>
      </c>
      <c r="AC83" s="2" t="s">
        <v>3635</v>
      </c>
      <c r="AD83" s="2" t="s">
        <v>3635</v>
      </c>
      <c r="AE83" s="2" t="s">
        <v>3635</v>
      </c>
      <c r="AF83" s="2" t="s">
        <v>3635</v>
      </c>
      <c r="AG83" s="2">
        <v>11.0</v>
      </c>
      <c r="AH83" s="2">
        <v>0.0</v>
      </c>
      <c r="AI83" s="2">
        <v>0.0</v>
      </c>
      <c r="AJ83" s="2">
        <v>0.0</v>
      </c>
      <c r="AK83" s="2">
        <v>2.0</v>
      </c>
      <c r="AL83" s="2" t="s">
        <v>1974</v>
      </c>
      <c r="AM83" s="2" t="s">
        <v>3651</v>
      </c>
      <c r="AN83" s="2" t="s">
        <v>3762</v>
      </c>
      <c r="AO83" s="2" t="s">
        <v>5432</v>
      </c>
      <c r="AP83" s="2" t="s">
        <v>3635</v>
      </c>
      <c r="AQ83" s="2" t="s">
        <v>5433</v>
      </c>
      <c r="AR83" s="2" t="s">
        <v>5434</v>
      </c>
      <c r="AS83" s="2" t="s">
        <v>3635</v>
      </c>
      <c r="AT83" s="2" t="s">
        <v>3635</v>
      </c>
      <c r="AU83" s="2">
        <v>2014.0</v>
      </c>
      <c r="AV83" s="2" t="s">
        <v>3635</v>
      </c>
      <c r="AW83" s="2" t="s">
        <v>3635</v>
      </c>
      <c r="AX83" s="2" t="s">
        <v>3635</v>
      </c>
      <c r="AY83" s="2" t="s">
        <v>3635</v>
      </c>
      <c r="AZ83" s="2" t="s">
        <v>3635</v>
      </c>
      <c r="BA83" s="2" t="s">
        <v>3635</v>
      </c>
      <c r="BB83" s="2" t="s">
        <v>3635</v>
      </c>
      <c r="BC83" s="2" t="s">
        <v>3635</v>
      </c>
      <c r="BD83" s="2" t="s">
        <v>3635</v>
      </c>
      <c r="BE83" s="2" t="s">
        <v>3635</v>
      </c>
      <c r="BF83" s="2" t="s">
        <v>3635</v>
      </c>
      <c r="BG83" s="2" t="s">
        <v>3635</v>
      </c>
      <c r="BH83" s="2" t="s">
        <v>3635</v>
      </c>
      <c r="BI83" s="2">
        <v>6.0</v>
      </c>
      <c r="BJ83" s="2" t="s">
        <v>5435</v>
      </c>
      <c r="BK83" s="2" t="s">
        <v>3692</v>
      </c>
      <c r="BL83" s="2" t="s">
        <v>3971</v>
      </c>
      <c r="BM83" s="2" t="s">
        <v>5436</v>
      </c>
      <c r="BN83" s="2" t="s">
        <v>3635</v>
      </c>
      <c r="BO83" s="2" t="s">
        <v>3635</v>
      </c>
      <c r="BP83" s="2" t="s">
        <v>3635</v>
      </c>
      <c r="BQ83" s="2" t="s">
        <v>3635</v>
      </c>
      <c r="BR83" s="2" t="s">
        <v>3662</v>
      </c>
      <c r="BS83" s="2" t="s">
        <v>5437</v>
      </c>
      <c r="BT83" s="2" t="str">
        <f>HYPERLINK("https%3A%2F%2Fwww.webofscience.com%2Fwos%2Fwoscc%2Ffull-record%2FWOS:000339361600016","View Full Record in Web of Science")</f>
        <v>View Full Record in Web of Science</v>
      </c>
    </row>
    <row r="84" ht="15.75" customHeight="1">
      <c r="A84" s="2" t="s">
        <v>5438</v>
      </c>
      <c r="B84" s="2" t="s">
        <v>5439</v>
      </c>
      <c r="C84" s="2" t="s">
        <v>3635</v>
      </c>
      <c r="D84" s="2" t="s">
        <v>5440</v>
      </c>
      <c r="E84" s="2" t="s">
        <v>3635</v>
      </c>
      <c r="F84" s="2" t="s">
        <v>5441</v>
      </c>
      <c r="G84" s="2" t="s">
        <v>3635</v>
      </c>
      <c r="H84" s="2" t="s">
        <v>3635</v>
      </c>
      <c r="I84" s="2" t="s">
        <v>5442</v>
      </c>
      <c r="J84" s="2" t="s">
        <v>5443</v>
      </c>
      <c r="K84" s="2" t="s">
        <v>5444</v>
      </c>
      <c r="L84" s="2" t="s">
        <v>3635</v>
      </c>
      <c r="M84" s="2" t="s">
        <v>3638</v>
      </c>
      <c r="N84" s="2" t="s">
        <v>5445</v>
      </c>
      <c r="O84" s="2" t="s">
        <v>3635</v>
      </c>
      <c r="P84" s="2" t="s">
        <v>3635</v>
      </c>
      <c r="Q84" s="2" t="s">
        <v>3635</v>
      </c>
      <c r="R84" s="2" t="s">
        <v>3635</v>
      </c>
      <c r="S84" s="2" t="s">
        <v>3635</v>
      </c>
      <c r="T84" s="2" t="s">
        <v>5446</v>
      </c>
      <c r="U84" s="2" t="s">
        <v>5447</v>
      </c>
      <c r="V84" s="2" t="s">
        <v>5448</v>
      </c>
      <c r="W84" s="2" t="s">
        <v>5449</v>
      </c>
      <c r="X84" s="2" t="s">
        <v>5450</v>
      </c>
      <c r="Y84" s="2" t="s">
        <v>5451</v>
      </c>
      <c r="Z84" s="2" t="s">
        <v>5452</v>
      </c>
      <c r="AA84" s="2" t="s">
        <v>5453</v>
      </c>
      <c r="AB84" s="2" t="s">
        <v>5454</v>
      </c>
      <c r="AC84" s="2" t="s">
        <v>5455</v>
      </c>
      <c r="AD84" s="2" t="s">
        <v>5456</v>
      </c>
      <c r="AE84" s="2" t="s">
        <v>5457</v>
      </c>
      <c r="AF84" s="2" t="s">
        <v>3635</v>
      </c>
      <c r="AG84" s="2">
        <v>54.0</v>
      </c>
      <c r="AH84" s="2">
        <v>74.0</v>
      </c>
      <c r="AI84" s="2">
        <v>92.0</v>
      </c>
      <c r="AJ84" s="2">
        <v>21.0</v>
      </c>
      <c r="AK84" s="2">
        <v>84.0</v>
      </c>
      <c r="AL84" s="2" t="s">
        <v>5458</v>
      </c>
      <c r="AM84" s="2" t="s">
        <v>5459</v>
      </c>
      <c r="AN84" s="2" t="s">
        <v>5460</v>
      </c>
      <c r="AO84" s="2" t="s">
        <v>5461</v>
      </c>
      <c r="AP84" s="2" t="s">
        <v>5462</v>
      </c>
      <c r="AQ84" s="2" t="s">
        <v>3635</v>
      </c>
      <c r="AR84" s="2" t="s">
        <v>5463</v>
      </c>
      <c r="AS84" s="2" t="s">
        <v>3635</v>
      </c>
      <c r="AT84" s="2" t="s">
        <v>3635</v>
      </c>
      <c r="AU84" s="2">
        <v>2020.0</v>
      </c>
      <c r="AV84" s="2">
        <v>7.0</v>
      </c>
      <c r="AW84" s="2" t="s">
        <v>3635</v>
      </c>
      <c r="AX84" s="2" t="s">
        <v>3635</v>
      </c>
      <c r="AY84" s="2" t="s">
        <v>3635</v>
      </c>
      <c r="AZ84" s="2" t="s">
        <v>3635</v>
      </c>
      <c r="BA84" s="2" t="s">
        <v>3635</v>
      </c>
      <c r="BB84" s="2">
        <v>251.0</v>
      </c>
      <c r="BC84" s="2">
        <v>278.0</v>
      </c>
      <c r="BD84" s="2" t="s">
        <v>3635</v>
      </c>
      <c r="BE84" s="2" t="s">
        <v>5464</v>
      </c>
      <c r="BF84" s="3" t="str">
        <f>HYPERLINK("http://dx.doi.org/10.1146/annurev-statistics-031219-041110","http://dx.doi.org/10.1146/annurev-statistics-031219-041110")</f>
        <v>http://dx.doi.org/10.1146/annurev-statistics-031219-041110</v>
      </c>
      <c r="BG84" s="2" t="s">
        <v>3635</v>
      </c>
      <c r="BH84" s="2" t="s">
        <v>3635</v>
      </c>
      <c r="BI84" s="2">
        <v>28.0</v>
      </c>
      <c r="BJ84" s="2" t="s">
        <v>5465</v>
      </c>
      <c r="BK84" s="2" t="s">
        <v>5466</v>
      </c>
      <c r="BL84" s="2" t="s">
        <v>4379</v>
      </c>
      <c r="BM84" s="2" t="s">
        <v>5467</v>
      </c>
      <c r="BN84" s="2" t="s">
        <v>3635</v>
      </c>
      <c r="BO84" s="2" t="s">
        <v>4141</v>
      </c>
      <c r="BP84" s="2" t="s">
        <v>3635</v>
      </c>
      <c r="BQ84" s="2" t="s">
        <v>3635</v>
      </c>
      <c r="BR84" s="2" t="s">
        <v>3662</v>
      </c>
      <c r="BS84" s="2" t="s">
        <v>5468</v>
      </c>
      <c r="BT84" s="2" t="str">
        <f>HYPERLINK("https%3A%2F%2Fwww.webofscience.com%2Fwos%2Fwoscc%2Ffull-record%2FWOS:000518892900011","View Full Record in Web of Science")</f>
        <v>View Full Record in Web of Science</v>
      </c>
    </row>
    <row r="85" ht="15.75" customHeight="1">
      <c r="A85" s="2" t="s">
        <v>3633</v>
      </c>
      <c r="B85" s="2" t="s">
        <v>5469</v>
      </c>
      <c r="C85" s="2" t="s">
        <v>3635</v>
      </c>
      <c r="D85" s="2" t="s">
        <v>3635</v>
      </c>
      <c r="E85" s="2" t="s">
        <v>3635</v>
      </c>
      <c r="F85" s="2" t="s">
        <v>5470</v>
      </c>
      <c r="G85" s="2" t="s">
        <v>3635</v>
      </c>
      <c r="H85" s="2" t="s">
        <v>3635</v>
      </c>
      <c r="I85" s="2" t="s">
        <v>265</v>
      </c>
      <c r="J85" s="2" t="s">
        <v>5471</v>
      </c>
      <c r="K85" s="2" t="s">
        <v>3635</v>
      </c>
      <c r="L85" s="2" t="s">
        <v>3635</v>
      </c>
      <c r="M85" s="2" t="s">
        <v>3638</v>
      </c>
      <c r="N85" s="2" t="s">
        <v>21</v>
      </c>
      <c r="O85" s="2" t="s">
        <v>3635</v>
      </c>
      <c r="P85" s="2" t="s">
        <v>3635</v>
      </c>
      <c r="Q85" s="2" t="s">
        <v>3635</v>
      </c>
      <c r="R85" s="2" t="s">
        <v>3635</v>
      </c>
      <c r="S85" s="2" t="s">
        <v>3635</v>
      </c>
      <c r="T85" s="2" t="s">
        <v>5472</v>
      </c>
      <c r="U85" s="2" t="s">
        <v>5473</v>
      </c>
      <c r="V85" s="2" t="s">
        <v>5474</v>
      </c>
      <c r="W85" s="2" t="s">
        <v>5475</v>
      </c>
      <c r="X85" s="2" t="s">
        <v>5476</v>
      </c>
      <c r="Y85" s="2" t="s">
        <v>5477</v>
      </c>
      <c r="Z85" s="2" t="s">
        <v>5478</v>
      </c>
      <c r="AA85" s="2" t="s">
        <v>5479</v>
      </c>
      <c r="AB85" s="2" t="s">
        <v>3635</v>
      </c>
      <c r="AC85" s="2" t="s">
        <v>3635</v>
      </c>
      <c r="AD85" s="2" t="s">
        <v>3635</v>
      </c>
      <c r="AE85" s="2" t="s">
        <v>3635</v>
      </c>
      <c r="AF85" s="2" t="s">
        <v>3635</v>
      </c>
      <c r="AG85" s="2">
        <v>66.0</v>
      </c>
      <c r="AH85" s="2">
        <v>0.0</v>
      </c>
      <c r="AI85" s="2">
        <v>0.0</v>
      </c>
      <c r="AJ85" s="2">
        <v>4.0</v>
      </c>
      <c r="AK85" s="2">
        <v>9.0</v>
      </c>
      <c r="AL85" s="2" t="s">
        <v>5480</v>
      </c>
      <c r="AM85" s="2" t="s">
        <v>3915</v>
      </c>
      <c r="AN85" s="2" t="s">
        <v>5481</v>
      </c>
      <c r="AO85" s="2" t="s">
        <v>5482</v>
      </c>
      <c r="AP85" s="2" t="s">
        <v>5483</v>
      </c>
      <c r="AQ85" s="2" t="s">
        <v>3635</v>
      </c>
      <c r="AR85" s="2" t="s">
        <v>5484</v>
      </c>
      <c r="AS85" s="2" t="s">
        <v>5485</v>
      </c>
      <c r="AT85" s="2" t="s">
        <v>5486</v>
      </c>
      <c r="AU85" s="2">
        <v>2023.0</v>
      </c>
      <c r="AV85" s="2">
        <v>123.0</v>
      </c>
      <c r="AW85" s="2" t="s">
        <v>3635</v>
      </c>
      <c r="AX85" s="2" t="s">
        <v>5487</v>
      </c>
      <c r="AY85" s="2" t="s">
        <v>3635</v>
      </c>
      <c r="AZ85" s="2" t="s">
        <v>3635</v>
      </c>
      <c r="BA85" s="2" t="s">
        <v>3635</v>
      </c>
      <c r="BB85" s="2" t="s">
        <v>3635</v>
      </c>
      <c r="BC85" s="2" t="s">
        <v>3635</v>
      </c>
      <c r="BD85" s="2">
        <v>106187.0</v>
      </c>
      <c r="BE85" s="2" t="s">
        <v>268</v>
      </c>
      <c r="BF85" s="3" t="str">
        <f>HYPERLINK("http://dx.doi.org/10.1016/j.engappai.2023.106187","http://dx.doi.org/10.1016/j.engappai.2023.106187")</f>
        <v>http://dx.doi.org/10.1016/j.engappai.2023.106187</v>
      </c>
      <c r="BG85" s="2" t="s">
        <v>3635</v>
      </c>
      <c r="BH85" s="2" t="s">
        <v>4790</v>
      </c>
      <c r="BI85" s="2">
        <v>11.0</v>
      </c>
      <c r="BJ85" s="2" t="s">
        <v>5488</v>
      </c>
      <c r="BK85" s="2" t="s">
        <v>3658</v>
      </c>
      <c r="BL85" s="2" t="s">
        <v>3767</v>
      </c>
      <c r="BM85" s="2" t="s">
        <v>5489</v>
      </c>
      <c r="BN85" s="2" t="s">
        <v>3635</v>
      </c>
      <c r="BO85" s="2" t="s">
        <v>3635</v>
      </c>
      <c r="BP85" s="2" t="s">
        <v>3635</v>
      </c>
      <c r="BQ85" s="2" t="s">
        <v>3635</v>
      </c>
      <c r="BR85" s="2" t="s">
        <v>3662</v>
      </c>
      <c r="BS85" s="2" t="s">
        <v>5490</v>
      </c>
      <c r="BT85" s="2" t="str">
        <f>HYPERLINK("https%3A%2F%2Fwww.webofscience.com%2Fwos%2Fwoscc%2Ffull-record%2FWOS:000999582000001","View Full Record in Web of Science")</f>
        <v>View Full Record in Web of Science</v>
      </c>
    </row>
    <row r="86" ht="15.75" customHeight="1">
      <c r="A86" s="2" t="s">
        <v>3633</v>
      </c>
      <c r="B86" s="2" t="s">
        <v>5491</v>
      </c>
      <c r="C86" s="2" t="s">
        <v>3635</v>
      </c>
      <c r="D86" s="2" t="s">
        <v>3635</v>
      </c>
      <c r="E86" s="2" t="s">
        <v>3635</v>
      </c>
      <c r="F86" s="2" t="s">
        <v>5491</v>
      </c>
      <c r="G86" s="2" t="s">
        <v>3635</v>
      </c>
      <c r="H86" s="2" t="s">
        <v>3635</v>
      </c>
      <c r="I86" s="2" t="s">
        <v>5492</v>
      </c>
      <c r="J86" s="2" t="s">
        <v>5493</v>
      </c>
      <c r="K86" s="2" t="s">
        <v>3635</v>
      </c>
      <c r="L86" s="2" t="s">
        <v>3635</v>
      </c>
      <c r="M86" s="2" t="s">
        <v>3638</v>
      </c>
      <c r="N86" s="2" t="s">
        <v>21</v>
      </c>
      <c r="O86" s="2" t="s">
        <v>3635</v>
      </c>
      <c r="P86" s="2" t="s">
        <v>3635</v>
      </c>
      <c r="Q86" s="2" t="s">
        <v>3635</v>
      </c>
      <c r="R86" s="2" t="s">
        <v>3635</v>
      </c>
      <c r="S86" s="2" t="s">
        <v>3635</v>
      </c>
      <c r="T86" s="2" t="s">
        <v>5494</v>
      </c>
      <c r="U86" s="2" t="s">
        <v>3635</v>
      </c>
      <c r="V86" s="2" t="s">
        <v>5495</v>
      </c>
      <c r="W86" s="2" t="s">
        <v>5496</v>
      </c>
      <c r="X86" s="2" t="s">
        <v>5497</v>
      </c>
      <c r="Y86" s="2" t="s">
        <v>5498</v>
      </c>
      <c r="Z86" s="2" t="s">
        <v>5499</v>
      </c>
      <c r="AA86" s="2" t="s">
        <v>3635</v>
      </c>
      <c r="AB86" s="2" t="s">
        <v>3635</v>
      </c>
      <c r="AC86" s="2" t="s">
        <v>3635</v>
      </c>
      <c r="AD86" s="2" t="s">
        <v>3635</v>
      </c>
      <c r="AE86" s="2" t="s">
        <v>3635</v>
      </c>
      <c r="AF86" s="2" t="s">
        <v>3635</v>
      </c>
      <c r="AG86" s="2">
        <v>25.0</v>
      </c>
      <c r="AH86" s="2">
        <v>1.0</v>
      </c>
      <c r="AI86" s="2">
        <v>1.0</v>
      </c>
      <c r="AJ86" s="2">
        <v>0.0</v>
      </c>
      <c r="AK86" s="2">
        <v>1.0</v>
      </c>
      <c r="AL86" s="2" t="s">
        <v>4493</v>
      </c>
      <c r="AM86" s="2" t="s">
        <v>4494</v>
      </c>
      <c r="AN86" s="2" t="s">
        <v>4495</v>
      </c>
      <c r="AO86" s="2" t="s">
        <v>5500</v>
      </c>
      <c r="AP86" s="2" t="s">
        <v>5501</v>
      </c>
      <c r="AQ86" s="2" t="s">
        <v>3635</v>
      </c>
      <c r="AR86" s="2" t="s">
        <v>5502</v>
      </c>
      <c r="AS86" s="2" t="s">
        <v>5503</v>
      </c>
      <c r="AT86" s="2" t="s">
        <v>5486</v>
      </c>
      <c r="AU86" s="2">
        <v>2004.0</v>
      </c>
      <c r="AV86" s="2">
        <v>147.0</v>
      </c>
      <c r="AW86" s="2">
        <v>2.0</v>
      </c>
      <c r="AX86" s="2" t="s">
        <v>3635</v>
      </c>
      <c r="AY86" s="2" t="s">
        <v>3635</v>
      </c>
      <c r="AZ86" s="2" t="s">
        <v>3635</v>
      </c>
      <c r="BA86" s="2" t="s">
        <v>3635</v>
      </c>
      <c r="BB86" s="2">
        <v>227.0</v>
      </c>
      <c r="BC86" s="2">
        <v>239.0</v>
      </c>
      <c r="BD86" s="2" t="s">
        <v>3635</v>
      </c>
      <c r="BE86" s="2" t="s">
        <v>5504</v>
      </c>
      <c r="BF86" s="3" t="str">
        <f>HYPERLINK("http://dx.doi.org/10.13182/NT04-A3528","http://dx.doi.org/10.13182/NT04-A3528")</f>
        <v>http://dx.doi.org/10.13182/NT04-A3528</v>
      </c>
      <c r="BG86" s="2" t="s">
        <v>3635</v>
      </c>
      <c r="BH86" s="2" t="s">
        <v>3635</v>
      </c>
      <c r="BI86" s="2">
        <v>13.0</v>
      </c>
      <c r="BJ86" s="2" t="s">
        <v>5505</v>
      </c>
      <c r="BK86" s="2" t="s">
        <v>3658</v>
      </c>
      <c r="BL86" s="2" t="s">
        <v>5505</v>
      </c>
      <c r="BM86" s="2" t="s">
        <v>5506</v>
      </c>
      <c r="BN86" s="2" t="s">
        <v>3635</v>
      </c>
      <c r="BO86" s="2" t="s">
        <v>3635</v>
      </c>
      <c r="BP86" s="2" t="s">
        <v>3635</v>
      </c>
      <c r="BQ86" s="2" t="s">
        <v>3635</v>
      </c>
      <c r="BR86" s="2" t="s">
        <v>3662</v>
      </c>
      <c r="BS86" s="2" t="s">
        <v>5507</v>
      </c>
      <c r="BT86" s="2" t="str">
        <f>HYPERLINK("https%3A%2F%2Fwww.webofscience.com%2Fwos%2Fwoscc%2Ffull-record%2FWOS:000223497800006","View Full Record in Web of Science")</f>
        <v>View Full Record in Web of Science</v>
      </c>
    </row>
    <row r="87" ht="15.75" customHeight="1">
      <c r="A87" s="2" t="s">
        <v>3633</v>
      </c>
      <c r="B87" s="2" t="s">
        <v>5508</v>
      </c>
      <c r="C87" s="2" t="s">
        <v>3635</v>
      </c>
      <c r="D87" s="2" t="s">
        <v>3635</v>
      </c>
      <c r="E87" s="2" t="s">
        <v>3635</v>
      </c>
      <c r="F87" s="2" t="s">
        <v>5509</v>
      </c>
      <c r="G87" s="2" t="s">
        <v>3635</v>
      </c>
      <c r="H87" s="2" t="s">
        <v>3635</v>
      </c>
      <c r="I87" s="2" t="s">
        <v>2692</v>
      </c>
      <c r="J87" s="2" t="s">
        <v>5510</v>
      </c>
      <c r="K87" s="2" t="s">
        <v>3635</v>
      </c>
      <c r="L87" s="2" t="s">
        <v>3635</v>
      </c>
      <c r="M87" s="2" t="s">
        <v>3638</v>
      </c>
      <c r="N87" s="2" t="s">
        <v>21</v>
      </c>
      <c r="O87" s="2" t="s">
        <v>3635</v>
      </c>
      <c r="P87" s="2" t="s">
        <v>3635</v>
      </c>
      <c r="Q87" s="2" t="s">
        <v>3635</v>
      </c>
      <c r="R87" s="2" t="s">
        <v>3635</v>
      </c>
      <c r="S87" s="2" t="s">
        <v>3635</v>
      </c>
      <c r="T87" s="2" t="s">
        <v>5511</v>
      </c>
      <c r="U87" s="2" t="s">
        <v>3635</v>
      </c>
      <c r="V87" s="2" t="s">
        <v>5512</v>
      </c>
      <c r="W87" s="2" t="s">
        <v>5513</v>
      </c>
      <c r="X87" s="2" t="s">
        <v>5514</v>
      </c>
      <c r="Y87" s="2" t="s">
        <v>5515</v>
      </c>
      <c r="Z87" s="2" t="s">
        <v>4764</v>
      </c>
      <c r="AA87" s="2" t="s">
        <v>4765</v>
      </c>
      <c r="AB87" s="2" t="s">
        <v>3635</v>
      </c>
      <c r="AC87" s="2" t="s">
        <v>5516</v>
      </c>
      <c r="AD87" s="2" t="s">
        <v>5517</v>
      </c>
      <c r="AE87" s="2" t="s">
        <v>5518</v>
      </c>
      <c r="AF87" s="2" t="s">
        <v>3635</v>
      </c>
      <c r="AG87" s="2">
        <v>55.0</v>
      </c>
      <c r="AH87" s="2">
        <v>20.0</v>
      </c>
      <c r="AI87" s="2">
        <v>23.0</v>
      </c>
      <c r="AJ87" s="2">
        <v>2.0</v>
      </c>
      <c r="AK87" s="2">
        <v>34.0</v>
      </c>
      <c r="AL87" s="2" t="s">
        <v>3784</v>
      </c>
      <c r="AM87" s="2" t="s">
        <v>3785</v>
      </c>
      <c r="AN87" s="2" t="s">
        <v>3786</v>
      </c>
      <c r="AO87" s="2" t="s">
        <v>5519</v>
      </c>
      <c r="AP87" s="2" t="s">
        <v>5520</v>
      </c>
      <c r="AQ87" s="2" t="s">
        <v>3635</v>
      </c>
      <c r="AR87" s="2" t="s">
        <v>5521</v>
      </c>
      <c r="AS87" s="2" t="s">
        <v>5522</v>
      </c>
      <c r="AT87" s="2" t="s">
        <v>5367</v>
      </c>
      <c r="AU87" s="2">
        <v>2016.0</v>
      </c>
      <c r="AV87" s="2">
        <v>17.0</v>
      </c>
      <c r="AW87" s="2">
        <v>12.0</v>
      </c>
      <c r="AX87" s="2" t="s">
        <v>3635</v>
      </c>
      <c r="AY87" s="2" t="s">
        <v>3635</v>
      </c>
      <c r="AZ87" s="2" t="s">
        <v>3635</v>
      </c>
      <c r="BA87" s="2" t="s">
        <v>3635</v>
      </c>
      <c r="BB87" s="2">
        <v>3512.0</v>
      </c>
      <c r="BC87" s="2">
        <v>3523.0</v>
      </c>
      <c r="BD87" s="2" t="s">
        <v>3635</v>
      </c>
      <c r="BE87" s="2" t="s">
        <v>1383</v>
      </c>
      <c r="BF87" s="3" t="str">
        <f>HYPERLINK("http://dx.doi.org/10.1109/TITS.2016.2561409","http://dx.doi.org/10.1109/TITS.2016.2561409")</f>
        <v>http://dx.doi.org/10.1109/TITS.2016.2561409</v>
      </c>
      <c r="BG87" s="2" t="s">
        <v>3635</v>
      </c>
      <c r="BH87" s="2" t="s">
        <v>3635</v>
      </c>
      <c r="BI87" s="2">
        <v>12.0</v>
      </c>
      <c r="BJ87" s="2" t="s">
        <v>5523</v>
      </c>
      <c r="BK87" s="2" t="s">
        <v>3658</v>
      </c>
      <c r="BL87" s="2" t="s">
        <v>5524</v>
      </c>
      <c r="BM87" s="2" t="s">
        <v>5525</v>
      </c>
      <c r="BN87" s="2" t="s">
        <v>3635</v>
      </c>
      <c r="BO87" s="2" t="s">
        <v>3635</v>
      </c>
      <c r="BP87" s="2" t="s">
        <v>3635</v>
      </c>
      <c r="BQ87" s="2" t="s">
        <v>3635</v>
      </c>
      <c r="BR87" s="2" t="s">
        <v>3662</v>
      </c>
      <c r="BS87" s="2" t="s">
        <v>5526</v>
      </c>
      <c r="BT87" s="2" t="str">
        <f>HYPERLINK("https%3A%2F%2Fwww.webofscience.com%2Fwos%2Fwoscc%2Ffull-record%2FWOS:000389344200015","View Full Record in Web of Science")</f>
        <v>View Full Record in Web of Science</v>
      </c>
    </row>
    <row r="88" ht="15.75" customHeight="1">
      <c r="A88" s="2" t="s">
        <v>3664</v>
      </c>
      <c r="B88" s="2" t="s">
        <v>5527</v>
      </c>
      <c r="C88" s="2" t="s">
        <v>3635</v>
      </c>
      <c r="D88" s="2" t="s">
        <v>3635</v>
      </c>
      <c r="E88" s="2" t="s">
        <v>1974</v>
      </c>
      <c r="F88" s="2" t="s">
        <v>5528</v>
      </c>
      <c r="G88" s="2" t="s">
        <v>3635</v>
      </c>
      <c r="H88" s="2" t="s">
        <v>3635</v>
      </c>
      <c r="I88" s="2" t="s">
        <v>5529</v>
      </c>
      <c r="J88" s="2" t="s">
        <v>5530</v>
      </c>
      <c r="K88" s="2" t="s">
        <v>3635</v>
      </c>
      <c r="L88" s="2" t="s">
        <v>3635</v>
      </c>
      <c r="M88" s="2" t="s">
        <v>3638</v>
      </c>
      <c r="N88" s="2" t="s">
        <v>3669</v>
      </c>
      <c r="O88" s="2" t="s">
        <v>5531</v>
      </c>
      <c r="P88" s="2" t="s">
        <v>5532</v>
      </c>
      <c r="Q88" s="2" t="s">
        <v>5533</v>
      </c>
      <c r="R88" s="2" t="s">
        <v>5534</v>
      </c>
      <c r="S88" s="2" t="s">
        <v>3635</v>
      </c>
      <c r="T88" s="2" t="s">
        <v>5535</v>
      </c>
      <c r="U88" s="2" t="s">
        <v>3635</v>
      </c>
      <c r="V88" s="2" t="s">
        <v>5536</v>
      </c>
      <c r="W88" s="2" t="s">
        <v>5537</v>
      </c>
      <c r="X88" s="2" t="s">
        <v>5538</v>
      </c>
      <c r="Y88" s="2" t="s">
        <v>5539</v>
      </c>
      <c r="Z88" s="2" t="s">
        <v>5540</v>
      </c>
      <c r="AA88" s="2" t="s">
        <v>3635</v>
      </c>
      <c r="AB88" s="2" t="s">
        <v>3635</v>
      </c>
      <c r="AC88" s="2" t="s">
        <v>3635</v>
      </c>
      <c r="AD88" s="2" t="s">
        <v>3635</v>
      </c>
      <c r="AE88" s="2" t="s">
        <v>3635</v>
      </c>
      <c r="AF88" s="2" t="s">
        <v>3635</v>
      </c>
      <c r="AG88" s="2">
        <v>1.0</v>
      </c>
      <c r="AH88" s="2">
        <v>1.0</v>
      </c>
      <c r="AI88" s="2">
        <v>1.0</v>
      </c>
      <c r="AJ88" s="2">
        <v>0.0</v>
      </c>
      <c r="AK88" s="2">
        <v>1.0</v>
      </c>
      <c r="AL88" s="2" t="s">
        <v>3685</v>
      </c>
      <c r="AM88" s="2" t="s">
        <v>3686</v>
      </c>
      <c r="AN88" s="2" t="s">
        <v>3687</v>
      </c>
      <c r="AO88" s="2" t="s">
        <v>3635</v>
      </c>
      <c r="AP88" s="2" t="s">
        <v>3635</v>
      </c>
      <c r="AQ88" s="2" t="s">
        <v>5541</v>
      </c>
      <c r="AR88" s="2" t="s">
        <v>3635</v>
      </c>
      <c r="AS88" s="2" t="s">
        <v>3635</v>
      </c>
      <c r="AT88" s="2" t="s">
        <v>3635</v>
      </c>
      <c r="AU88" s="2">
        <v>2009.0</v>
      </c>
      <c r="AV88" s="2" t="s">
        <v>3635</v>
      </c>
      <c r="AW88" s="2" t="s">
        <v>3635</v>
      </c>
      <c r="AX88" s="2" t="s">
        <v>3635</v>
      </c>
      <c r="AY88" s="2" t="s">
        <v>3635</v>
      </c>
      <c r="AZ88" s="2" t="s">
        <v>3635</v>
      </c>
      <c r="BA88" s="2" t="s">
        <v>3635</v>
      </c>
      <c r="BB88" s="2">
        <v>187.0</v>
      </c>
      <c r="BC88" s="2">
        <v>195.0</v>
      </c>
      <c r="BD88" s="2" t="s">
        <v>3635</v>
      </c>
      <c r="BE88" s="2" t="s">
        <v>1584</v>
      </c>
      <c r="BF88" s="3" t="str">
        <f>HYPERLINK("http://dx.doi.org/10.1109/ACSAC.2009.59","http://dx.doi.org/10.1109/ACSAC.2009.59")</f>
        <v>http://dx.doi.org/10.1109/ACSAC.2009.59</v>
      </c>
      <c r="BG88" s="2" t="s">
        <v>3635</v>
      </c>
      <c r="BH88" s="2" t="s">
        <v>3635</v>
      </c>
      <c r="BI88" s="2">
        <v>9.0</v>
      </c>
      <c r="BJ88" s="2" t="s">
        <v>4586</v>
      </c>
      <c r="BK88" s="2" t="s">
        <v>3692</v>
      </c>
      <c r="BL88" s="2" t="s">
        <v>3944</v>
      </c>
      <c r="BM88" s="2" t="s">
        <v>5542</v>
      </c>
      <c r="BN88" s="2" t="s">
        <v>3635</v>
      </c>
      <c r="BO88" s="2" t="s">
        <v>3635</v>
      </c>
      <c r="BP88" s="2" t="s">
        <v>3635</v>
      </c>
      <c r="BQ88" s="2" t="s">
        <v>3635</v>
      </c>
      <c r="BR88" s="2" t="s">
        <v>3662</v>
      </c>
      <c r="BS88" s="2" t="s">
        <v>5543</v>
      </c>
      <c r="BT88" s="2" t="str">
        <f>HYPERLINK("https%3A%2F%2Fwww.webofscience.com%2Fwos%2Fwoscc%2Ffull-record%2FWOS:000291011300018","View Full Record in Web of Science")</f>
        <v>View Full Record in Web of Science</v>
      </c>
    </row>
    <row r="89" ht="15.75" customHeight="1">
      <c r="A89" s="2" t="s">
        <v>3664</v>
      </c>
      <c r="B89" s="2" t="s">
        <v>5544</v>
      </c>
      <c r="C89" s="2" t="s">
        <v>3635</v>
      </c>
      <c r="D89" s="2" t="s">
        <v>3635</v>
      </c>
      <c r="E89" s="2" t="s">
        <v>1974</v>
      </c>
      <c r="F89" s="2" t="s">
        <v>5545</v>
      </c>
      <c r="G89" s="2" t="s">
        <v>3635</v>
      </c>
      <c r="H89" s="2" t="s">
        <v>3635</v>
      </c>
      <c r="I89" s="2" t="s">
        <v>789</v>
      </c>
      <c r="J89" s="2" t="s">
        <v>5546</v>
      </c>
      <c r="K89" s="2" t="s">
        <v>5547</v>
      </c>
      <c r="L89" s="2" t="s">
        <v>3635</v>
      </c>
      <c r="M89" s="2" t="s">
        <v>3638</v>
      </c>
      <c r="N89" s="2" t="s">
        <v>3669</v>
      </c>
      <c r="O89" s="2" t="s">
        <v>5548</v>
      </c>
      <c r="P89" s="2" t="s">
        <v>5549</v>
      </c>
      <c r="Q89" s="2" t="s">
        <v>3843</v>
      </c>
      <c r="R89" s="2" t="s">
        <v>5550</v>
      </c>
      <c r="S89" s="2" t="s">
        <v>3635</v>
      </c>
      <c r="T89" s="2" t="s">
        <v>5551</v>
      </c>
      <c r="U89" s="2" t="s">
        <v>5552</v>
      </c>
      <c r="V89" s="2" t="s">
        <v>5553</v>
      </c>
      <c r="W89" s="2" t="s">
        <v>5554</v>
      </c>
      <c r="X89" s="2" t="s">
        <v>5555</v>
      </c>
      <c r="Y89" s="2" t="s">
        <v>5556</v>
      </c>
      <c r="Z89" s="2" t="s">
        <v>5557</v>
      </c>
      <c r="AA89" s="2" t="s">
        <v>5558</v>
      </c>
      <c r="AB89" s="2" t="s">
        <v>3635</v>
      </c>
      <c r="AC89" s="2" t="s">
        <v>5559</v>
      </c>
      <c r="AD89" s="2" t="s">
        <v>5559</v>
      </c>
      <c r="AE89" s="2" t="s">
        <v>5560</v>
      </c>
      <c r="AF89" s="2" t="s">
        <v>3635</v>
      </c>
      <c r="AG89" s="2">
        <v>34.0</v>
      </c>
      <c r="AH89" s="2">
        <v>1.0</v>
      </c>
      <c r="AI89" s="2">
        <v>1.0</v>
      </c>
      <c r="AJ89" s="2">
        <v>0.0</v>
      </c>
      <c r="AK89" s="2">
        <v>1.0</v>
      </c>
      <c r="AL89" s="2" t="s">
        <v>3685</v>
      </c>
      <c r="AM89" s="2" t="s">
        <v>3686</v>
      </c>
      <c r="AN89" s="2" t="s">
        <v>3687</v>
      </c>
      <c r="AO89" s="2" t="s">
        <v>5561</v>
      </c>
      <c r="AP89" s="2" t="s">
        <v>3635</v>
      </c>
      <c r="AQ89" s="2" t="s">
        <v>5562</v>
      </c>
      <c r="AR89" s="2" t="s">
        <v>5563</v>
      </c>
      <c r="AS89" s="2" t="s">
        <v>3635</v>
      </c>
      <c r="AT89" s="2" t="s">
        <v>3635</v>
      </c>
      <c r="AU89" s="2">
        <v>2021.0</v>
      </c>
      <c r="AV89" s="2" t="s">
        <v>3635</v>
      </c>
      <c r="AW89" s="2" t="s">
        <v>3635</v>
      </c>
      <c r="AX89" s="2" t="s">
        <v>3635</v>
      </c>
      <c r="AY89" s="2" t="s">
        <v>3635</v>
      </c>
      <c r="AZ89" s="2" t="s">
        <v>3635</v>
      </c>
      <c r="BA89" s="2" t="s">
        <v>3635</v>
      </c>
      <c r="BB89" s="2">
        <v>233.0</v>
      </c>
      <c r="BC89" s="2">
        <v>242.0</v>
      </c>
      <c r="BD89" s="2" t="s">
        <v>3635</v>
      </c>
      <c r="BE89" s="2" t="s">
        <v>792</v>
      </c>
      <c r="BF89" s="3" t="str">
        <f>HYPERLINK("http://dx.doi.org/10.1109/APSEC53868.2021.00031","http://dx.doi.org/10.1109/APSEC53868.2021.00031")</f>
        <v>http://dx.doi.org/10.1109/APSEC53868.2021.00031</v>
      </c>
      <c r="BG89" s="2" t="s">
        <v>3635</v>
      </c>
      <c r="BH89" s="2" t="s">
        <v>3635</v>
      </c>
      <c r="BI89" s="2">
        <v>10.0</v>
      </c>
      <c r="BJ89" s="2" t="s">
        <v>3943</v>
      </c>
      <c r="BK89" s="2" t="s">
        <v>3692</v>
      </c>
      <c r="BL89" s="2" t="s">
        <v>3944</v>
      </c>
      <c r="BM89" s="2" t="s">
        <v>5564</v>
      </c>
      <c r="BN89" s="2" t="s">
        <v>3635</v>
      </c>
      <c r="BO89" s="2" t="s">
        <v>3694</v>
      </c>
      <c r="BP89" s="2" t="s">
        <v>3635</v>
      </c>
      <c r="BQ89" s="2" t="s">
        <v>3635</v>
      </c>
      <c r="BR89" s="2" t="s">
        <v>3662</v>
      </c>
      <c r="BS89" s="2" t="s">
        <v>5565</v>
      </c>
      <c r="BT89" s="2" t="str">
        <f>HYPERLINK("https%3A%2F%2Fwww.webofscience.com%2Fwos%2Fwoscc%2Ffull-record%2FWOS:000802192700024","View Full Record in Web of Science")</f>
        <v>View Full Record in Web of Science</v>
      </c>
    </row>
    <row r="90" ht="15.75" customHeight="1">
      <c r="A90" s="2" t="s">
        <v>3633</v>
      </c>
      <c r="B90" s="2" t="s">
        <v>5566</v>
      </c>
      <c r="C90" s="2" t="s">
        <v>3635</v>
      </c>
      <c r="D90" s="2" t="s">
        <v>3635</v>
      </c>
      <c r="E90" s="2" t="s">
        <v>3635</v>
      </c>
      <c r="F90" s="2" t="s">
        <v>5567</v>
      </c>
      <c r="G90" s="2" t="s">
        <v>3635</v>
      </c>
      <c r="H90" s="2" t="s">
        <v>3635</v>
      </c>
      <c r="I90" s="2" t="s">
        <v>251</v>
      </c>
      <c r="J90" s="2" t="s">
        <v>5568</v>
      </c>
      <c r="K90" s="2" t="s">
        <v>3635</v>
      </c>
      <c r="L90" s="2" t="s">
        <v>3635</v>
      </c>
      <c r="M90" s="2" t="s">
        <v>3638</v>
      </c>
      <c r="N90" s="2" t="s">
        <v>21</v>
      </c>
      <c r="O90" s="2" t="s">
        <v>3635</v>
      </c>
      <c r="P90" s="2" t="s">
        <v>3635</v>
      </c>
      <c r="Q90" s="2" t="s">
        <v>3635</v>
      </c>
      <c r="R90" s="2" t="s">
        <v>3635</v>
      </c>
      <c r="S90" s="2" t="s">
        <v>3635</v>
      </c>
      <c r="T90" s="2" t="s">
        <v>5569</v>
      </c>
      <c r="U90" s="2" t="s">
        <v>5570</v>
      </c>
      <c r="V90" s="2" t="s">
        <v>5571</v>
      </c>
      <c r="W90" s="2" t="s">
        <v>5572</v>
      </c>
      <c r="X90" s="2" t="s">
        <v>5573</v>
      </c>
      <c r="Y90" s="2" t="s">
        <v>5574</v>
      </c>
      <c r="Z90" s="2" t="s">
        <v>5575</v>
      </c>
      <c r="AA90" s="2" t="s">
        <v>3635</v>
      </c>
      <c r="AB90" s="2" t="s">
        <v>5576</v>
      </c>
      <c r="AC90" s="2" t="s">
        <v>5577</v>
      </c>
      <c r="AD90" s="2" t="s">
        <v>5578</v>
      </c>
      <c r="AE90" s="2" t="s">
        <v>5579</v>
      </c>
      <c r="AF90" s="2" t="s">
        <v>3635</v>
      </c>
      <c r="AG90" s="2">
        <v>28.0</v>
      </c>
      <c r="AH90" s="2">
        <v>2.0</v>
      </c>
      <c r="AI90" s="2">
        <v>3.0</v>
      </c>
      <c r="AJ90" s="2">
        <v>1.0</v>
      </c>
      <c r="AK90" s="2">
        <v>17.0</v>
      </c>
      <c r="AL90" s="2" t="s">
        <v>3709</v>
      </c>
      <c r="AM90" s="2" t="s">
        <v>3710</v>
      </c>
      <c r="AN90" s="2" t="s">
        <v>3711</v>
      </c>
      <c r="AO90" s="2" t="s">
        <v>5580</v>
      </c>
      <c r="AP90" s="2" t="s">
        <v>5581</v>
      </c>
      <c r="AQ90" s="2" t="s">
        <v>3635</v>
      </c>
      <c r="AR90" s="2" t="s">
        <v>5582</v>
      </c>
      <c r="AS90" s="2" t="s">
        <v>5583</v>
      </c>
      <c r="AT90" s="2" t="s">
        <v>5367</v>
      </c>
      <c r="AU90" s="2">
        <v>2021.0</v>
      </c>
      <c r="AV90" s="2">
        <v>14.0</v>
      </c>
      <c r="AW90" s="2">
        <v>6.0</v>
      </c>
      <c r="AX90" s="2" t="s">
        <v>3635</v>
      </c>
      <c r="AY90" s="2" t="s">
        <v>3635</v>
      </c>
      <c r="AZ90" s="2" t="s">
        <v>3635</v>
      </c>
      <c r="BA90" s="2" t="s">
        <v>3635</v>
      </c>
      <c r="BB90" s="2">
        <v>624.0</v>
      </c>
      <c r="BC90" s="2">
        <v>635.0</v>
      </c>
      <c r="BD90" s="2" t="s">
        <v>3635</v>
      </c>
      <c r="BE90" s="2" t="s">
        <v>254</v>
      </c>
      <c r="BF90" s="3" t="str">
        <f>HYPERLINK("http://dx.doi.org/10.1002/sam.11511","http://dx.doi.org/10.1002/sam.11511")</f>
        <v>http://dx.doi.org/10.1002/sam.11511</v>
      </c>
      <c r="BG90" s="2" t="s">
        <v>3635</v>
      </c>
      <c r="BH90" s="2" t="s">
        <v>4502</v>
      </c>
      <c r="BI90" s="2">
        <v>12.0</v>
      </c>
      <c r="BJ90" s="2" t="s">
        <v>5584</v>
      </c>
      <c r="BK90" s="2" t="s">
        <v>3658</v>
      </c>
      <c r="BL90" s="2" t="s">
        <v>5585</v>
      </c>
      <c r="BM90" s="2" t="s">
        <v>5586</v>
      </c>
      <c r="BN90" s="2" t="s">
        <v>3635</v>
      </c>
      <c r="BO90" s="2" t="s">
        <v>3694</v>
      </c>
      <c r="BP90" s="2" t="s">
        <v>3635</v>
      </c>
      <c r="BQ90" s="2" t="s">
        <v>3635</v>
      </c>
      <c r="BR90" s="2" t="s">
        <v>3662</v>
      </c>
      <c r="BS90" s="2" t="s">
        <v>5587</v>
      </c>
      <c r="BT90" s="2" t="str">
        <f>HYPERLINK("https%3A%2F%2Fwww.webofscience.com%2Fwos%2Fwoscc%2Ffull-record%2FWOS:000648984100001","View Full Record in Web of Science")</f>
        <v>View Full Record in Web of Science</v>
      </c>
    </row>
    <row r="91" ht="15.75" customHeight="1">
      <c r="A91" s="2" t="s">
        <v>3664</v>
      </c>
      <c r="B91" s="2" t="s">
        <v>5588</v>
      </c>
      <c r="C91" s="2" t="s">
        <v>3635</v>
      </c>
      <c r="D91" s="2" t="s">
        <v>5589</v>
      </c>
      <c r="E91" s="2" t="s">
        <v>3635</v>
      </c>
      <c r="F91" s="2" t="s">
        <v>5590</v>
      </c>
      <c r="G91" s="2" t="s">
        <v>3635</v>
      </c>
      <c r="H91" s="2" t="s">
        <v>3635</v>
      </c>
      <c r="I91" s="2" t="s">
        <v>5591</v>
      </c>
      <c r="J91" s="2" t="s">
        <v>5592</v>
      </c>
      <c r="K91" s="2" t="s">
        <v>4258</v>
      </c>
      <c r="L91" s="2" t="s">
        <v>3635</v>
      </c>
      <c r="M91" s="2" t="s">
        <v>3638</v>
      </c>
      <c r="N91" s="2" t="s">
        <v>3669</v>
      </c>
      <c r="O91" s="2" t="s">
        <v>5593</v>
      </c>
      <c r="P91" s="2" t="s">
        <v>5594</v>
      </c>
      <c r="Q91" s="2" t="s">
        <v>5595</v>
      </c>
      <c r="R91" s="2" t="s">
        <v>5596</v>
      </c>
      <c r="S91" s="2" t="s">
        <v>3635</v>
      </c>
      <c r="T91" s="2" t="s">
        <v>3635</v>
      </c>
      <c r="U91" s="2" t="s">
        <v>5597</v>
      </c>
      <c r="V91" s="2" t="s">
        <v>5598</v>
      </c>
      <c r="W91" s="2" t="s">
        <v>5599</v>
      </c>
      <c r="X91" s="2" t="s">
        <v>5600</v>
      </c>
      <c r="Y91" s="2" t="s">
        <v>5601</v>
      </c>
      <c r="Z91" s="2" t="s">
        <v>5602</v>
      </c>
      <c r="AA91" s="2" t="s">
        <v>5603</v>
      </c>
      <c r="AB91" s="2" t="s">
        <v>5604</v>
      </c>
      <c r="AC91" s="2" t="s">
        <v>5605</v>
      </c>
      <c r="AD91" s="2" t="s">
        <v>5606</v>
      </c>
      <c r="AE91" s="2" t="s">
        <v>5607</v>
      </c>
      <c r="AF91" s="2" t="s">
        <v>3635</v>
      </c>
      <c r="AG91" s="2">
        <v>16.0</v>
      </c>
      <c r="AH91" s="2">
        <v>1.0</v>
      </c>
      <c r="AI91" s="2">
        <v>1.0</v>
      </c>
      <c r="AJ91" s="2">
        <v>1.0</v>
      </c>
      <c r="AK91" s="2">
        <v>1.0</v>
      </c>
      <c r="AL91" s="2" t="s">
        <v>4170</v>
      </c>
      <c r="AM91" s="2" t="s">
        <v>4171</v>
      </c>
      <c r="AN91" s="2" t="s">
        <v>4172</v>
      </c>
      <c r="AO91" s="2" t="s">
        <v>4274</v>
      </c>
      <c r="AP91" s="2" t="s">
        <v>4275</v>
      </c>
      <c r="AQ91" s="2" t="s">
        <v>5608</v>
      </c>
      <c r="AR91" s="2" t="s">
        <v>4277</v>
      </c>
      <c r="AS91" s="2" t="s">
        <v>3635</v>
      </c>
      <c r="AT91" s="2" t="s">
        <v>3635</v>
      </c>
      <c r="AU91" s="2">
        <v>2018.0</v>
      </c>
      <c r="AV91" s="2">
        <v>10951.0</v>
      </c>
      <c r="AW91" s="2" t="s">
        <v>3635</v>
      </c>
      <c r="AX91" s="2" t="s">
        <v>3635</v>
      </c>
      <c r="AY91" s="2" t="s">
        <v>3635</v>
      </c>
      <c r="AZ91" s="2" t="s">
        <v>3635</v>
      </c>
      <c r="BA91" s="2" t="s">
        <v>3635</v>
      </c>
      <c r="BB91" s="2">
        <v>294.0</v>
      </c>
      <c r="BC91" s="2">
        <v>311.0</v>
      </c>
      <c r="BD91" s="2" t="s">
        <v>3635</v>
      </c>
      <c r="BE91" s="2" t="s">
        <v>730</v>
      </c>
      <c r="BF91" s="3" t="str">
        <f>HYPERLINK("http://dx.doi.org/10.1007/978-3-319-95582-7_17","http://dx.doi.org/10.1007/978-3-319-95582-7_17")</f>
        <v>http://dx.doi.org/10.1007/978-3-319-95582-7_17</v>
      </c>
      <c r="BG91" s="2" t="s">
        <v>3635</v>
      </c>
      <c r="BH91" s="2" t="s">
        <v>3635</v>
      </c>
      <c r="BI91" s="2">
        <v>18.0</v>
      </c>
      <c r="BJ91" s="2" t="s">
        <v>3691</v>
      </c>
      <c r="BK91" s="2" t="s">
        <v>3692</v>
      </c>
      <c r="BL91" s="2" t="s">
        <v>3659</v>
      </c>
      <c r="BM91" s="2" t="s">
        <v>5609</v>
      </c>
      <c r="BN91" s="2" t="s">
        <v>3635</v>
      </c>
      <c r="BO91" s="2" t="s">
        <v>3635</v>
      </c>
      <c r="BP91" s="2" t="s">
        <v>3635</v>
      </c>
      <c r="BQ91" s="2" t="s">
        <v>3635</v>
      </c>
      <c r="BR91" s="2" t="s">
        <v>3662</v>
      </c>
      <c r="BS91" s="2" t="s">
        <v>5610</v>
      </c>
      <c r="BT91" s="2" t="str">
        <f>HYPERLINK("https%3A%2F%2Fwww.webofscience.com%2Fwos%2Fwoscc%2Ffull-record%2FWOS:000489765800017","View Full Record in Web of Science")</f>
        <v>View Full Record in Web of Science</v>
      </c>
    </row>
    <row r="92" ht="15.75" customHeight="1">
      <c r="A92" s="2" t="s">
        <v>3633</v>
      </c>
      <c r="B92" s="2" t="s">
        <v>5611</v>
      </c>
      <c r="C92" s="2" t="s">
        <v>3635</v>
      </c>
      <c r="D92" s="2" t="s">
        <v>3635</v>
      </c>
      <c r="E92" s="2" t="s">
        <v>3635</v>
      </c>
      <c r="F92" s="2" t="s">
        <v>5612</v>
      </c>
      <c r="G92" s="2" t="s">
        <v>3635</v>
      </c>
      <c r="H92" s="2" t="s">
        <v>3635</v>
      </c>
      <c r="I92" s="2" t="s">
        <v>5613</v>
      </c>
      <c r="J92" s="2" t="s">
        <v>5614</v>
      </c>
      <c r="K92" s="2" t="s">
        <v>3635</v>
      </c>
      <c r="L92" s="2" t="s">
        <v>3635</v>
      </c>
      <c r="M92" s="2" t="s">
        <v>3638</v>
      </c>
      <c r="N92" s="2" t="s">
        <v>21</v>
      </c>
      <c r="O92" s="2" t="s">
        <v>3635</v>
      </c>
      <c r="P92" s="2" t="s">
        <v>3635</v>
      </c>
      <c r="Q92" s="2" t="s">
        <v>3635</v>
      </c>
      <c r="R92" s="2" t="s">
        <v>3635</v>
      </c>
      <c r="S92" s="2" t="s">
        <v>3635</v>
      </c>
      <c r="T92" s="2" t="s">
        <v>5615</v>
      </c>
      <c r="U92" s="2" t="s">
        <v>5616</v>
      </c>
      <c r="V92" s="2" t="s">
        <v>5617</v>
      </c>
      <c r="W92" s="2" t="s">
        <v>5618</v>
      </c>
      <c r="X92" s="2" t="s">
        <v>5619</v>
      </c>
      <c r="Y92" s="2" t="s">
        <v>5620</v>
      </c>
      <c r="Z92" s="2" t="s">
        <v>5621</v>
      </c>
      <c r="AA92" s="2" t="s">
        <v>3635</v>
      </c>
      <c r="AB92" s="2" t="s">
        <v>5622</v>
      </c>
      <c r="AC92" s="2" t="s">
        <v>5623</v>
      </c>
      <c r="AD92" s="2" t="s">
        <v>5624</v>
      </c>
      <c r="AE92" s="2" t="s">
        <v>5625</v>
      </c>
      <c r="AF92" s="2" t="s">
        <v>3635</v>
      </c>
      <c r="AG92" s="2">
        <v>68.0</v>
      </c>
      <c r="AH92" s="2">
        <v>31.0</v>
      </c>
      <c r="AI92" s="2">
        <v>37.0</v>
      </c>
      <c r="AJ92" s="2">
        <v>4.0</v>
      </c>
      <c r="AK92" s="2">
        <v>30.0</v>
      </c>
      <c r="AL92" s="2" t="s">
        <v>4493</v>
      </c>
      <c r="AM92" s="2" t="s">
        <v>4494</v>
      </c>
      <c r="AN92" s="2" t="s">
        <v>4495</v>
      </c>
      <c r="AO92" s="2" t="s">
        <v>5626</v>
      </c>
      <c r="AP92" s="2" t="s">
        <v>5627</v>
      </c>
      <c r="AQ92" s="2" t="s">
        <v>3635</v>
      </c>
      <c r="AR92" s="2" t="s">
        <v>5628</v>
      </c>
      <c r="AS92" s="2" t="s">
        <v>5629</v>
      </c>
      <c r="AT92" s="2" t="s">
        <v>5630</v>
      </c>
      <c r="AU92" s="2">
        <v>2021.0</v>
      </c>
      <c r="AV92" s="2">
        <v>30.0</v>
      </c>
      <c r="AW92" s="2">
        <v>2.0</v>
      </c>
      <c r="AX92" s="2" t="s">
        <v>3635</v>
      </c>
      <c r="AY92" s="2" t="s">
        <v>3635</v>
      </c>
      <c r="AZ92" s="2" t="s">
        <v>3635</v>
      </c>
      <c r="BA92" s="2" t="s">
        <v>3635</v>
      </c>
      <c r="BB92" s="2">
        <v>503.0</v>
      </c>
      <c r="BC92" s="2">
        <v>517.0</v>
      </c>
      <c r="BD92" s="2" t="s">
        <v>3635</v>
      </c>
      <c r="BE92" s="2" t="s">
        <v>5631</v>
      </c>
      <c r="BF92" s="3" t="str">
        <f>HYPERLINK("http://dx.doi.org/10.1080/10618600.2020.1831930","http://dx.doi.org/10.1080/10618600.2020.1831930")</f>
        <v>http://dx.doi.org/10.1080/10618600.2020.1831930</v>
      </c>
      <c r="BG92" s="2" t="s">
        <v>3635</v>
      </c>
      <c r="BH92" s="2" t="s">
        <v>5632</v>
      </c>
      <c r="BI92" s="2">
        <v>15.0</v>
      </c>
      <c r="BJ92" s="2" t="s">
        <v>4377</v>
      </c>
      <c r="BK92" s="2" t="s">
        <v>4378</v>
      </c>
      <c r="BL92" s="2" t="s">
        <v>4379</v>
      </c>
      <c r="BM92" s="2" t="s">
        <v>5633</v>
      </c>
      <c r="BN92" s="2" t="s">
        <v>3635</v>
      </c>
      <c r="BO92" s="2" t="s">
        <v>3635</v>
      </c>
      <c r="BP92" s="2" t="s">
        <v>3635</v>
      </c>
      <c r="BQ92" s="2" t="s">
        <v>3635</v>
      </c>
      <c r="BR92" s="2" t="s">
        <v>3662</v>
      </c>
      <c r="BS92" s="2" t="s">
        <v>5634</v>
      </c>
      <c r="BT92" s="2" t="str">
        <f>HYPERLINK("https%3A%2F%2Fwww.webofscience.com%2Fwos%2Fwoscc%2Ffull-record%2FWOS:000588170300001","View Full Record in Web of Science")</f>
        <v>View Full Record in Web of Science</v>
      </c>
    </row>
    <row r="93" ht="15.75" customHeight="1">
      <c r="A93" s="2" t="s">
        <v>3664</v>
      </c>
      <c r="B93" s="2" t="s">
        <v>5635</v>
      </c>
      <c r="C93" s="2" t="s">
        <v>3635</v>
      </c>
      <c r="D93" s="2" t="s">
        <v>5636</v>
      </c>
      <c r="E93" s="2" t="s">
        <v>3635</v>
      </c>
      <c r="F93" s="2" t="s">
        <v>5637</v>
      </c>
      <c r="G93" s="2" t="s">
        <v>3635</v>
      </c>
      <c r="H93" s="2" t="s">
        <v>3635</v>
      </c>
      <c r="I93" s="2" t="s">
        <v>5638</v>
      </c>
      <c r="J93" s="2" t="s">
        <v>5639</v>
      </c>
      <c r="K93" s="2" t="s">
        <v>3635</v>
      </c>
      <c r="L93" s="2" t="s">
        <v>3635</v>
      </c>
      <c r="M93" s="2" t="s">
        <v>3638</v>
      </c>
      <c r="N93" s="2" t="s">
        <v>3669</v>
      </c>
      <c r="O93" s="2" t="s">
        <v>5640</v>
      </c>
      <c r="P93" s="2" t="s">
        <v>5641</v>
      </c>
      <c r="Q93" s="2" t="s">
        <v>5642</v>
      </c>
      <c r="R93" s="2" t="s">
        <v>5643</v>
      </c>
      <c r="S93" s="2" t="s">
        <v>3635</v>
      </c>
      <c r="T93" s="2" t="s">
        <v>5644</v>
      </c>
      <c r="U93" s="2" t="s">
        <v>5645</v>
      </c>
      <c r="V93" s="2" t="s">
        <v>5646</v>
      </c>
      <c r="W93" s="2" t="s">
        <v>5647</v>
      </c>
      <c r="X93" s="2" t="s">
        <v>5648</v>
      </c>
      <c r="Y93" s="2" t="s">
        <v>3635</v>
      </c>
      <c r="Z93" s="2" t="s">
        <v>5649</v>
      </c>
      <c r="AA93" s="2" t="s">
        <v>5650</v>
      </c>
      <c r="AB93" s="2" t="s">
        <v>5651</v>
      </c>
      <c r="AC93" s="2" t="s">
        <v>3635</v>
      </c>
      <c r="AD93" s="2" t="s">
        <v>3635</v>
      </c>
      <c r="AE93" s="2" t="s">
        <v>3635</v>
      </c>
      <c r="AF93" s="2" t="s">
        <v>3635</v>
      </c>
      <c r="AG93" s="2">
        <v>57.0</v>
      </c>
      <c r="AH93" s="2">
        <v>0.0</v>
      </c>
      <c r="AI93" s="2">
        <v>0.0</v>
      </c>
      <c r="AJ93" s="2">
        <v>0.0</v>
      </c>
      <c r="AK93" s="2">
        <v>40.0</v>
      </c>
      <c r="AL93" s="2" t="s">
        <v>5652</v>
      </c>
      <c r="AM93" s="2" t="s">
        <v>5653</v>
      </c>
      <c r="AN93" s="2" t="s">
        <v>5654</v>
      </c>
      <c r="AO93" s="2" t="s">
        <v>3635</v>
      </c>
      <c r="AP93" s="2" t="s">
        <v>3635</v>
      </c>
      <c r="AQ93" s="2" t="s">
        <v>5655</v>
      </c>
      <c r="AR93" s="2" t="s">
        <v>3635</v>
      </c>
      <c r="AS93" s="2" t="s">
        <v>3635</v>
      </c>
      <c r="AT93" s="2" t="s">
        <v>3635</v>
      </c>
      <c r="AU93" s="2">
        <v>2011.0</v>
      </c>
      <c r="AV93" s="2" t="s">
        <v>3635</v>
      </c>
      <c r="AW93" s="2" t="s">
        <v>3635</v>
      </c>
      <c r="AX93" s="2" t="s">
        <v>3635</v>
      </c>
      <c r="AY93" s="2" t="s">
        <v>3635</v>
      </c>
      <c r="AZ93" s="2" t="s">
        <v>3635</v>
      </c>
      <c r="BA93" s="2" t="s">
        <v>3635</v>
      </c>
      <c r="BB93" s="2">
        <v>1572.0</v>
      </c>
      <c r="BC93" s="2">
        <v>1586.0</v>
      </c>
      <c r="BD93" s="2" t="s">
        <v>3635</v>
      </c>
      <c r="BE93" s="2" t="s">
        <v>3635</v>
      </c>
      <c r="BF93" s="2" t="s">
        <v>3635</v>
      </c>
      <c r="BG93" s="2" t="s">
        <v>3635</v>
      </c>
      <c r="BH93" s="2" t="s">
        <v>3635</v>
      </c>
      <c r="BI93" s="2">
        <v>15.0</v>
      </c>
      <c r="BJ93" s="2" t="s">
        <v>5656</v>
      </c>
      <c r="BK93" s="2" t="s">
        <v>5657</v>
      </c>
      <c r="BL93" s="2" t="s">
        <v>3994</v>
      </c>
      <c r="BM93" s="2" t="s">
        <v>5658</v>
      </c>
      <c r="BN93" s="2" t="s">
        <v>3635</v>
      </c>
      <c r="BO93" s="2" t="s">
        <v>3635</v>
      </c>
      <c r="BP93" s="2" t="s">
        <v>3635</v>
      </c>
      <c r="BQ93" s="2" t="s">
        <v>3635</v>
      </c>
      <c r="BR93" s="2" t="s">
        <v>3662</v>
      </c>
      <c r="BS93" s="2" t="s">
        <v>5659</v>
      </c>
      <c r="BT93" s="2" t="str">
        <f>HYPERLINK("https%3A%2F%2Fwww.webofscience.com%2Fwos%2Fwoscc%2Ffull-record%2FWOS:000317550001044","View Full Record in Web of Science")</f>
        <v>View Full Record in Web of Science</v>
      </c>
    </row>
    <row r="94" ht="15.75" customHeight="1">
      <c r="A94" s="2" t="s">
        <v>3633</v>
      </c>
      <c r="B94" s="2" t="s">
        <v>5660</v>
      </c>
      <c r="C94" s="2" t="s">
        <v>3635</v>
      </c>
      <c r="D94" s="2" t="s">
        <v>3635</v>
      </c>
      <c r="E94" s="2" t="s">
        <v>3635</v>
      </c>
      <c r="F94" s="2" t="s">
        <v>5661</v>
      </c>
      <c r="G94" s="2" t="s">
        <v>3635</v>
      </c>
      <c r="H94" s="2" t="s">
        <v>3635</v>
      </c>
      <c r="I94" s="2" t="s">
        <v>5662</v>
      </c>
      <c r="J94" s="2" t="s">
        <v>5663</v>
      </c>
      <c r="K94" s="2" t="s">
        <v>3635</v>
      </c>
      <c r="L94" s="2" t="s">
        <v>3635</v>
      </c>
      <c r="M94" s="2" t="s">
        <v>3638</v>
      </c>
      <c r="N94" s="2" t="s">
        <v>21</v>
      </c>
      <c r="O94" s="2" t="s">
        <v>3635</v>
      </c>
      <c r="P94" s="2" t="s">
        <v>3635</v>
      </c>
      <c r="Q94" s="2" t="s">
        <v>3635</v>
      </c>
      <c r="R94" s="2" t="s">
        <v>3635</v>
      </c>
      <c r="S94" s="2" t="s">
        <v>3635</v>
      </c>
      <c r="T94" s="2" t="s">
        <v>5664</v>
      </c>
      <c r="U94" s="2" t="s">
        <v>3635</v>
      </c>
      <c r="V94" s="2" t="s">
        <v>5665</v>
      </c>
      <c r="W94" s="2" t="s">
        <v>5666</v>
      </c>
      <c r="X94" s="2" t="s">
        <v>5667</v>
      </c>
      <c r="Y94" s="2" t="s">
        <v>5668</v>
      </c>
      <c r="Z94" s="2" t="s">
        <v>5669</v>
      </c>
      <c r="AA94" s="2" t="s">
        <v>3635</v>
      </c>
      <c r="AB94" s="2" t="s">
        <v>5670</v>
      </c>
      <c r="AC94" s="2" t="s">
        <v>3635</v>
      </c>
      <c r="AD94" s="2" t="s">
        <v>3635</v>
      </c>
      <c r="AE94" s="2" t="s">
        <v>3635</v>
      </c>
      <c r="AF94" s="2" t="s">
        <v>3635</v>
      </c>
      <c r="AG94" s="2">
        <v>24.0</v>
      </c>
      <c r="AH94" s="2">
        <v>136.0</v>
      </c>
      <c r="AI94" s="2">
        <v>156.0</v>
      </c>
      <c r="AJ94" s="2">
        <v>1.0</v>
      </c>
      <c r="AK94" s="2">
        <v>14.0</v>
      </c>
      <c r="AL94" s="2" t="s">
        <v>5671</v>
      </c>
      <c r="AM94" s="2" t="s">
        <v>5672</v>
      </c>
      <c r="AN94" s="2" t="s">
        <v>5673</v>
      </c>
      <c r="AO94" s="2" t="s">
        <v>5674</v>
      </c>
      <c r="AP94" s="2" t="s">
        <v>5675</v>
      </c>
      <c r="AQ94" s="2" t="s">
        <v>3635</v>
      </c>
      <c r="AR94" s="2" t="s">
        <v>5676</v>
      </c>
      <c r="AS94" s="2" t="s">
        <v>5677</v>
      </c>
      <c r="AT94" s="2" t="s">
        <v>3635</v>
      </c>
      <c r="AU94" s="2">
        <v>2017.0</v>
      </c>
      <c r="AV94" s="2">
        <v>17.0</v>
      </c>
      <c r="AW94" s="2">
        <v>3.0</v>
      </c>
      <c r="AX94" s="2" t="s">
        <v>3635</v>
      </c>
      <c r="AY94" s="2" t="s">
        <v>3635</v>
      </c>
      <c r="AZ94" s="2" t="s">
        <v>3635</v>
      </c>
      <c r="BA94" s="2" t="s">
        <v>3635</v>
      </c>
      <c r="BB94" s="2">
        <v>630.0</v>
      </c>
      <c r="BC94" s="2">
        <v>651.0</v>
      </c>
      <c r="BD94" s="2" t="s">
        <v>3635</v>
      </c>
      <c r="BE94" s="2" t="s">
        <v>3635</v>
      </c>
      <c r="BF94" s="2" t="s">
        <v>3635</v>
      </c>
      <c r="BG94" s="2" t="s">
        <v>3635</v>
      </c>
      <c r="BH94" s="2" t="s">
        <v>3635</v>
      </c>
      <c r="BI94" s="2">
        <v>22.0</v>
      </c>
      <c r="BJ94" s="2" t="s">
        <v>5678</v>
      </c>
      <c r="BK94" s="2" t="s">
        <v>4378</v>
      </c>
      <c r="BL94" s="2" t="s">
        <v>5679</v>
      </c>
      <c r="BM94" s="2" t="s">
        <v>5680</v>
      </c>
      <c r="BN94" s="2" t="s">
        <v>3635</v>
      </c>
      <c r="BO94" s="2" t="s">
        <v>3635</v>
      </c>
      <c r="BP94" s="2" t="s">
        <v>3635</v>
      </c>
      <c r="BQ94" s="2" t="s">
        <v>3635</v>
      </c>
      <c r="BR94" s="2" t="s">
        <v>3662</v>
      </c>
      <c r="BS94" s="2" t="s">
        <v>5681</v>
      </c>
      <c r="BT94" s="2" t="str">
        <f>HYPERLINK("https%3A%2F%2Fwww.webofscience.com%2Fwos%2Fwoscc%2Ffull-record%2FWOS:000440956700006","View Full Record in Web of Science")</f>
        <v>View Full Record in Web of Science</v>
      </c>
    </row>
    <row r="95" ht="15.75" customHeight="1">
      <c r="A95" s="2" t="s">
        <v>3664</v>
      </c>
      <c r="B95" s="2" t="s">
        <v>5682</v>
      </c>
      <c r="C95" s="2" t="s">
        <v>3635</v>
      </c>
      <c r="D95" s="2" t="s">
        <v>5683</v>
      </c>
      <c r="E95" s="2" t="s">
        <v>3635</v>
      </c>
      <c r="F95" s="2" t="s">
        <v>5684</v>
      </c>
      <c r="G95" s="2" t="s">
        <v>3635</v>
      </c>
      <c r="H95" s="2" t="s">
        <v>3635</v>
      </c>
      <c r="I95" s="2" t="s">
        <v>5685</v>
      </c>
      <c r="J95" s="2" t="s">
        <v>5686</v>
      </c>
      <c r="K95" s="2" t="s">
        <v>3635</v>
      </c>
      <c r="L95" s="2" t="s">
        <v>3635</v>
      </c>
      <c r="M95" s="2" t="s">
        <v>3638</v>
      </c>
      <c r="N95" s="2" t="s">
        <v>3669</v>
      </c>
      <c r="O95" s="2" t="s">
        <v>5687</v>
      </c>
      <c r="P95" s="2" t="s">
        <v>5688</v>
      </c>
      <c r="Q95" s="2" t="s">
        <v>5689</v>
      </c>
      <c r="R95" s="2" t="s">
        <v>5690</v>
      </c>
      <c r="S95" s="2" t="s">
        <v>3635</v>
      </c>
      <c r="T95" s="2" t="s">
        <v>5691</v>
      </c>
      <c r="U95" s="2" t="s">
        <v>5692</v>
      </c>
      <c r="V95" s="2" t="s">
        <v>5693</v>
      </c>
      <c r="W95" s="2" t="s">
        <v>5694</v>
      </c>
      <c r="X95" s="2" t="s">
        <v>4332</v>
      </c>
      <c r="Y95" s="2" t="s">
        <v>5695</v>
      </c>
      <c r="Z95" s="2" t="s">
        <v>5696</v>
      </c>
      <c r="AA95" s="2" t="s">
        <v>3635</v>
      </c>
      <c r="AB95" s="2" t="s">
        <v>5697</v>
      </c>
      <c r="AC95" s="2" t="s">
        <v>5698</v>
      </c>
      <c r="AD95" s="2" t="s">
        <v>5699</v>
      </c>
      <c r="AE95" s="2" t="s">
        <v>5700</v>
      </c>
      <c r="AF95" s="2" t="s">
        <v>3635</v>
      </c>
      <c r="AG95" s="2">
        <v>89.0</v>
      </c>
      <c r="AH95" s="2">
        <v>180.0</v>
      </c>
      <c r="AI95" s="2">
        <v>201.0</v>
      </c>
      <c r="AJ95" s="2">
        <v>2.0</v>
      </c>
      <c r="AK95" s="2">
        <v>14.0</v>
      </c>
      <c r="AL95" s="2" t="s">
        <v>3650</v>
      </c>
      <c r="AM95" s="2" t="s">
        <v>3651</v>
      </c>
      <c r="AN95" s="2" t="s">
        <v>4137</v>
      </c>
      <c r="AO95" s="2" t="s">
        <v>3635</v>
      </c>
      <c r="AP95" s="2" t="s">
        <v>3635</v>
      </c>
      <c r="AQ95" s="2" t="s">
        <v>5701</v>
      </c>
      <c r="AR95" s="2" t="s">
        <v>3635</v>
      </c>
      <c r="AS95" s="2" t="s">
        <v>3635</v>
      </c>
      <c r="AT95" s="2" t="s">
        <v>3635</v>
      </c>
      <c r="AU95" s="2">
        <v>2017.0</v>
      </c>
      <c r="AV95" s="2" t="s">
        <v>3635</v>
      </c>
      <c r="AW95" s="2" t="s">
        <v>3635</v>
      </c>
      <c r="AX95" s="2" t="s">
        <v>3635</v>
      </c>
      <c r="AY95" s="2" t="s">
        <v>3635</v>
      </c>
      <c r="AZ95" s="2" t="s">
        <v>3635</v>
      </c>
      <c r="BA95" s="2" t="s">
        <v>3635</v>
      </c>
      <c r="BB95" s="2">
        <v>498.0</v>
      </c>
      <c r="BC95" s="2">
        <v>510.0</v>
      </c>
      <c r="BD95" s="2" t="s">
        <v>3635</v>
      </c>
      <c r="BE95" s="2" t="s">
        <v>1295</v>
      </c>
      <c r="BF95" s="3" t="str">
        <f>HYPERLINK("http://dx.doi.org/10.1145/3106237.3106277","http://dx.doi.org/10.1145/3106237.3106277")</f>
        <v>http://dx.doi.org/10.1145/3106237.3106277</v>
      </c>
      <c r="BG95" s="2" t="s">
        <v>3635</v>
      </c>
      <c r="BH95" s="2" t="s">
        <v>3635</v>
      </c>
      <c r="BI95" s="2">
        <v>13.0</v>
      </c>
      <c r="BJ95" s="2" t="s">
        <v>3691</v>
      </c>
      <c r="BK95" s="2" t="s">
        <v>3692</v>
      </c>
      <c r="BL95" s="2" t="s">
        <v>3659</v>
      </c>
      <c r="BM95" s="2" t="s">
        <v>5702</v>
      </c>
      <c r="BN95" s="2" t="s">
        <v>3635</v>
      </c>
      <c r="BO95" s="2" t="s">
        <v>3694</v>
      </c>
      <c r="BP95" s="2" t="s">
        <v>3635</v>
      </c>
      <c r="BQ95" s="2" t="s">
        <v>3635</v>
      </c>
      <c r="BR95" s="2" t="s">
        <v>3662</v>
      </c>
      <c r="BS95" s="2" t="s">
        <v>5703</v>
      </c>
      <c r="BT95" s="2" t="str">
        <f>HYPERLINK("https%3A%2F%2Fwww.webofscience.com%2Fwos%2Fwoscc%2Ffull-record%2FWOS:000414279300047","View Full Record in Web of Science")</f>
        <v>View Full Record in Web of Science</v>
      </c>
    </row>
    <row r="96" ht="15.75" customHeight="1">
      <c r="A96" s="2" t="s">
        <v>3633</v>
      </c>
      <c r="B96" s="2" t="s">
        <v>5704</v>
      </c>
      <c r="C96" s="2" t="s">
        <v>3635</v>
      </c>
      <c r="D96" s="2" t="s">
        <v>3635</v>
      </c>
      <c r="E96" s="2" t="s">
        <v>3635</v>
      </c>
      <c r="F96" s="2" t="s">
        <v>5705</v>
      </c>
      <c r="G96" s="2" t="s">
        <v>3635</v>
      </c>
      <c r="H96" s="2" t="s">
        <v>3635</v>
      </c>
      <c r="I96" s="2" t="s">
        <v>5706</v>
      </c>
      <c r="J96" s="2" t="s">
        <v>5707</v>
      </c>
      <c r="K96" s="2" t="s">
        <v>3635</v>
      </c>
      <c r="L96" s="2" t="s">
        <v>3635</v>
      </c>
      <c r="M96" s="2" t="s">
        <v>3638</v>
      </c>
      <c r="N96" s="2" t="s">
        <v>21</v>
      </c>
      <c r="O96" s="2" t="s">
        <v>3635</v>
      </c>
      <c r="P96" s="2" t="s">
        <v>3635</v>
      </c>
      <c r="Q96" s="2" t="s">
        <v>3635</v>
      </c>
      <c r="R96" s="2" t="s">
        <v>3635</v>
      </c>
      <c r="S96" s="2" t="s">
        <v>3635</v>
      </c>
      <c r="T96" s="2" t="s">
        <v>3635</v>
      </c>
      <c r="U96" s="2" t="s">
        <v>5708</v>
      </c>
      <c r="V96" s="2" t="s">
        <v>5709</v>
      </c>
      <c r="W96" s="2" t="s">
        <v>5710</v>
      </c>
      <c r="X96" s="2" t="s">
        <v>5711</v>
      </c>
      <c r="Y96" s="2" t="s">
        <v>5712</v>
      </c>
      <c r="Z96" s="2" t="s">
        <v>5713</v>
      </c>
      <c r="AA96" s="2" t="s">
        <v>5714</v>
      </c>
      <c r="AB96" s="2" t="s">
        <v>5715</v>
      </c>
      <c r="AC96" s="2" t="s">
        <v>5716</v>
      </c>
      <c r="AD96" s="2" t="s">
        <v>5717</v>
      </c>
      <c r="AE96" s="2" t="s">
        <v>5718</v>
      </c>
      <c r="AF96" s="2" t="s">
        <v>3635</v>
      </c>
      <c r="AG96" s="2">
        <v>46.0</v>
      </c>
      <c r="AH96" s="2">
        <v>78.0</v>
      </c>
      <c r="AI96" s="2">
        <v>95.0</v>
      </c>
      <c r="AJ96" s="2">
        <v>8.0</v>
      </c>
      <c r="AK96" s="2">
        <v>38.0</v>
      </c>
      <c r="AL96" s="2" t="s">
        <v>3709</v>
      </c>
      <c r="AM96" s="2" t="s">
        <v>3710</v>
      </c>
      <c r="AN96" s="2" t="s">
        <v>3711</v>
      </c>
      <c r="AO96" s="2" t="s">
        <v>5719</v>
      </c>
      <c r="AP96" s="2" t="s">
        <v>5720</v>
      </c>
      <c r="AQ96" s="2" t="s">
        <v>3635</v>
      </c>
      <c r="AR96" s="2" t="s">
        <v>5721</v>
      </c>
      <c r="AS96" s="2" t="s">
        <v>5722</v>
      </c>
      <c r="AT96" s="2" t="s">
        <v>3790</v>
      </c>
      <c r="AU96" s="2">
        <v>2023.0</v>
      </c>
      <c r="AV96" s="2">
        <v>67.0</v>
      </c>
      <c r="AW96" s="2">
        <v>3.0</v>
      </c>
      <c r="AX96" s="2" t="s">
        <v>3635</v>
      </c>
      <c r="AY96" s="2" t="s">
        <v>3635</v>
      </c>
      <c r="AZ96" s="2" t="s">
        <v>3635</v>
      </c>
      <c r="BA96" s="2" t="s">
        <v>3635</v>
      </c>
      <c r="BB96" s="2">
        <v>587.0</v>
      </c>
      <c r="BC96" s="2">
        <v>605.0</v>
      </c>
      <c r="BD96" s="2" t="s">
        <v>3635</v>
      </c>
      <c r="BE96" s="2" t="s">
        <v>5723</v>
      </c>
      <c r="BF96" s="3" t="str">
        <f>HYPERLINK("http://dx.doi.org/10.1111/ajps.12685","http://dx.doi.org/10.1111/ajps.12685")</f>
        <v>http://dx.doi.org/10.1111/ajps.12685</v>
      </c>
      <c r="BG96" s="2" t="s">
        <v>3635</v>
      </c>
      <c r="BH96" s="2" t="s">
        <v>5724</v>
      </c>
      <c r="BI96" s="2">
        <v>19.0</v>
      </c>
      <c r="BJ96" s="2" t="s">
        <v>5725</v>
      </c>
      <c r="BK96" s="2" t="s">
        <v>5726</v>
      </c>
      <c r="BL96" s="2" t="s">
        <v>5727</v>
      </c>
      <c r="BM96" s="2" t="s">
        <v>5728</v>
      </c>
      <c r="BN96" s="2" t="s">
        <v>3635</v>
      </c>
      <c r="BO96" s="2" t="s">
        <v>3635</v>
      </c>
      <c r="BP96" s="2" t="s">
        <v>3635</v>
      </c>
      <c r="BQ96" s="2" t="s">
        <v>3635</v>
      </c>
      <c r="BR96" s="2" t="s">
        <v>3662</v>
      </c>
      <c r="BS96" s="2" t="s">
        <v>5729</v>
      </c>
      <c r="BT96" s="2" t="str">
        <f>HYPERLINK("https%3A%2F%2Fwww.webofscience.com%2Fwos%2Fwoscc%2Ffull-record%2FWOS:000729138900001","View Full Record in Web of Science")</f>
        <v>View Full Record in Web of Science</v>
      </c>
    </row>
    <row r="97" ht="15.75" customHeight="1">
      <c r="A97" s="2" t="s">
        <v>3664</v>
      </c>
      <c r="B97" s="2" t="s">
        <v>5730</v>
      </c>
      <c r="C97" s="2" t="s">
        <v>3635</v>
      </c>
      <c r="D97" s="2" t="s">
        <v>3635</v>
      </c>
      <c r="E97" s="2" t="s">
        <v>1974</v>
      </c>
      <c r="F97" s="2" t="s">
        <v>5731</v>
      </c>
      <c r="G97" s="2" t="s">
        <v>3635</v>
      </c>
      <c r="H97" s="2" t="s">
        <v>3635</v>
      </c>
      <c r="I97" s="2" t="s">
        <v>607</v>
      </c>
      <c r="J97" s="2" t="s">
        <v>5732</v>
      </c>
      <c r="K97" s="2" t="s">
        <v>609</v>
      </c>
      <c r="L97" s="2" t="s">
        <v>3635</v>
      </c>
      <c r="M97" s="2" t="s">
        <v>3638</v>
      </c>
      <c r="N97" s="2" t="s">
        <v>3669</v>
      </c>
      <c r="O97" s="2" t="s">
        <v>5733</v>
      </c>
      <c r="P97" s="2" t="s">
        <v>5734</v>
      </c>
      <c r="Q97" s="2" t="s">
        <v>5735</v>
      </c>
      <c r="R97" s="2" t="s">
        <v>5736</v>
      </c>
      <c r="S97" s="2" t="s">
        <v>3635</v>
      </c>
      <c r="T97" s="2" t="s">
        <v>3635</v>
      </c>
      <c r="U97" s="2" t="s">
        <v>3635</v>
      </c>
      <c r="V97" s="2" t="s">
        <v>5737</v>
      </c>
      <c r="W97" s="2" t="s">
        <v>5738</v>
      </c>
      <c r="X97" s="2" t="s">
        <v>5739</v>
      </c>
      <c r="Y97" s="2" t="s">
        <v>5740</v>
      </c>
      <c r="Z97" s="2" t="s">
        <v>5741</v>
      </c>
      <c r="AA97" s="2" t="s">
        <v>5742</v>
      </c>
      <c r="AB97" s="2" t="s">
        <v>5743</v>
      </c>
      <c r="AC97" s="2" t="s">
        <v>5744</v>
      </c>
      <c r="AD97" s="2" t="s">
        <v>5745</v>
      </c>
      <c r="AE97" s="2" t="s">
        <v>5746</v>
      </c>
      <c r="AF97" s="2" t="s">
        <v>3635</v>
      </c>
      <c r="AG97" s="2">
        <v>17.0</v>
      </c>
      <c r="AH97" s="2">
        <v>2.0</v>
      </c>
      <c r="AI97" s="2">
        <v>2.0</v>
      </c>
      <c r="AJ97" s="2">
        <v>0.0</v>
      </c>
      <c r="AK97" s="2">
        <v>0.0</v>
      </c>
      <c r="AL97" s="2" t="s">
        <v>1974</v>
      </c>
      <c r="AM97" s="2" t="s">
        <v>3651</v>
      </c>
      <c r="AN97" s="2" t="s">
        <v>3762</v>
      </c>
      <c r="AO97" s="2" t="s">
        <v>5747</v>
      </c>
      <c r="AP97" s="2" t="s">
        <v>3635</v>
      </c>
      <c r="AQ97" s="2" t="s">
        <v>5748</v>
      </c>
      <c r="AR97" s="2" t="s">
        <v>5749</v>
      </c>
      <c r="AS97" s="2" t="s">
        <v>3635</v>
      </c>
      <c r="AT97" s="2" t="s">
        <v>3635</v>
      </c>
      <c r="AU97" s="2">
        <v>2019.0</v>
      </c>
      <c r="AV97" s="2" t="s">
        <v>3635</v>
      </c>
      <c r="AW97" s="2" t="s">
        <v>3635</v>
      </c>
      <c r="AX97" s="2" t="s">
        <v>3635</v>
      </c>
      <c r="AY97" s="2" t="s">
        <v>3635</v>
      </c>
      <c r="AZ97" s="2" t="s">
        <v>3635</v>
      </c>
      <c r="BA97" s="2" t="s">
        <v>3635</v>
      </c>
      <c r="BB97" s="2" t="s">
        <v>3635</v>
      </c>
      <c r="BC97" s="2" t="s">
        <v>3635</v>
      </c>
      <c r="BD97" s="2" t="s">
        <v>3635</v>
      </c>
      <c r="BE97" s="2" t="s">
        <v>3635</v>
      </c>
      <c r="BF97" s="2" t="s">
        <v>3635</v>
      </c>
      <c r="BG97" s="2" t="s">
        <v>3635</v>
      </c>
      <c r="BH97" s="2" t="s">
        <v>3635</v>
      </c>
      <c r="BI97" s="2">
        <v>7.0</v>
      </c>
      <c r="BJ97" s="2" t="s">
        <v>5750</v>
      </c>
      <c r="BK97" s="2" t="s">
        <v>3692</v>
      </c>
      <c r="BL97" s="2" t="s">
        <v>5751</v>
      </c>
      <c r="BM97" s="2" t="s">
        <v>5752</v>
      </c>
      <c r="BN97" s="2" t="s">
        <v>3635</v>
      </c>
      <c r="BO97" s="2" t="s">
        <v>3635</v>
      </c>
      <c r="BP97" s="2" t="s">
        <v>3635</v>
      </c>
      <c r="BQ97" s="2" t="s">
        <v>3635</v>
      </c>
      <c r="BR97" s="2" t="s">
        <v>3662</v>
      </c>
      <c r="BS97" s="2" t="s">
        <v>5753</v>
      </c>
      <c r="BT97" s="2" t="str">
        <f>HYPERLINK("https%3A%2F%2Fwww.webofscience.com%2Fwos%2Fwoscc%2Ffull-record%2FWOS:000492038805080","View Full Record in Web of Science")</f>
        <v>View Full Record in Web of Science</v>
      </c>
    </row>
    <row r="98" ht="15.75" customHeight="1">
      <c r="A98" s="2" t="s">
        <v>3664</v>
      </c>
      <c r="B98" s="2" t="s">
        <v>5754</v>
      </c>
      <c r="C98" s="2" t="s">
        <v>3635</v>
      </c>
      <c r="D98" s="2" t="s">
        <v>3635</v>
      </c>
      <c r="E98" s="2" t="s">
        <v>1974</v>
      </c>
      <c r="F98" s="2" t="s">
        <v>5755</v>
      </c>
      <c r="G98" s="2" t="s">
        <v>3635</v>
      </c>
      <c r="H98" s="2" t="s">
        <v>3635</v>
      </c>
      <c r="I98" s="2" t="s">
        <v>5756</v>
      </c>
      <c r="J98" s="2" t="s">
        <v>5757</v>
      </c>
      <c r="K98" s="2" t="s">
        <v>3635</v>
      </c>
      <c r="L98" s="2" t="s">
        <v>3635</v>
      </c>
      <c r="M98" s="2" t="s">
        <v>3638</v>
      </c>
      <c r="N98" s="2" t="s">
        <v>3669</v>
      </c>
      <c r="O98" s="2" t="s">
        <v>5758</v>
      </c>
      <c r="P98" s="2" t="s">
        <v>5759</v>
      </c>
      <c r="Q98" s="2" t="s">
        <v>5760</v>
      </c>
      <c r="R98" s="2" t="s">
        <v>5761</v>
      </c>
      <c r="S98" s="2" t="s">
        <v>3635</v>
      </c>
      <c r="T98" s="2" t="s">
        <v>5762</v>
      </c>
      <c r="U98" s="2" t="s">
        <v>3635</v>
      </c>
      <c r="V98" s="2" t="s">
        <v>5763</v>
      </c>
      <c r="W98" s="2" t="s">
        <v>5764</v>
      </c>
      <c r="X98" s="2" t="s">
        <v>5765</v>
      </c>
      <c r="Y98" s="2" t="s">
        <v>5766</v>
      </c>
      <c r="Z98" s="2" t="s">
        <v>5767</v>
      </c>
      <c r="AA98" s="2" t="s">
        <v>3635</v>
      </c>
      <c r="AB98" s="2" t="s">
        <v>3635</v>
      </c>
      <c r="AC98" s="2" t="s">
        <v>3635</v>
      </c>
      <c r="AD98" s="2" t="s">
        <v>3635</v>
      </c>
      <c r="AE98" s="2" t="s">
        <v>3635</v>
      </c>
      <c r="AF98" s="2" t="s">
        <v>3635</v>
      </c>
      <c r="AG98" s="2">
        <v>10.0</v>
      </c>
      <c r="AH98" s="2">
        <v>1.0</v>
      </c>
      <c r="AI98" s="2">
        <v>1.0</v>
      </c>
      <c r="AJ98" s="2">
        <v>0.0</v>
      </c>
      <c r="AK98" s="2">
        <v>4.0</v>
      </c>
      <c r="AL98" s="2" t="s">
        <v>1974</v>
      </c>
      <c r="AM98" s="2" t="s">
        <v>3651</v>
      </c>
      <c r="AN98" s="2" t="s">
        <v>3762</v>
      </c>
      <c r="AO98" s="2" t="s">
        <v>3635</v>
      </c>
      <c r="AP98" s="2" t="s">
        <v>3635</v>
      </c>
      <c r="AQ98" s="2" t="s">
        <v>5768</v>
      </c>
      <c r="AR98" s="2" t="s">
        <v>3635</v>
      </c>
      <c r="AS98" s="2" t="s">
        <v>3635</v>
      </c>
      <c r="AT98" s="2" t="s">
        <v>3635</v>
      </c>
      <c r="AU98" s="2">
        <v>2014.0</v>
      </c>
      <c r="AV98" s="2" t="s">
        <v>3635</v>
      </c>
      <c r="AW98" s="2" t="s">
        <v>3635</v>
      </c>
      <c r="AX98" s="2" t="s">
        <v>3635</v>
      </c>
      <c r="AY98" s="2" t="s">
        <v>3635</v>
      </c>
      <c r="AZ98" s="2" t="s">
        <v>3635</v>
      </c>
      <c r="BA98" s="2" t="s">
        <v>3635</v>
      </c>
      <c r="BB98" s="2">
        <v>760.0</v>
      </c>
      <c r="BC98" s="2">
        <v>764.0</v>
      </c>
      <c r="BD98" s="2" t="s">
        <v>3635</v>
      </c>
      <c r="BE98" s="2" t="s">
        <v>1220</v>
      </c>
      <c r="BF98" s="3" t="str">
        <f>HYPERLINK("http://dx.doi.org/10.1109/ICICTA.2014.184","http://dx.doi.org/10.1109/ICICTA.2014.184")</f>
        <v>http://dx.doi.org/10.1109/ICICTA.2014.184</v>
      </c>
      <c r="BG98" s="2" t="s">
        <v>3635</v>
      </c>
      <c r="BH98" s="2" t="s">
        <v>3635</v>
      </c>
      <c r="BI98" s="2">
        <v>5.0</v>
      </c>
      <c r="BJ98" s="2" t="s">
        <v>3970</v>
      </c>
      <c r="BK98" s="2" t="s">
        <v>3692</v>
      </c>
      <c r="BL98" s="2" t="s">
        <v>3971</v>
      </c>
      <c r="BM98" s="2" t="s">
        <v>5769</v>
      </c>
      <c r="BN98" s="2" t="s">
        <v>3635</v>
      </c>
      <c r="BO98" s="2" t="s">
        <v>3635</v>
      </c>
      <c r="BP98" s="2" t="s">
        <v>3635</v>
      </c>
      <c r="BQ98" s="2" t="s">
        <v>3635</v>
      </c>
      <c r="BR98" s="2" t="s">
        <v>3662</v>
      </c>
      <c r="BS98" s="2" t="s">
        <v>5770</v>
      </c>
      <c r="BT98" s="2" t="str">
        <f>HYPERLINK("https%3A%2F%2Fwww.webofscience.com%2Fwos%2Fwoscc%2Ffull-record%2FWOS:000380483200177","View Full Record in Web of Science")</f>
        <v>View Full Record in Web of Science</v>
      </c>
    </row>
    <row r="99" ht="15.75" customHeight="1">
      <c r="A99" s="2" t="s">
        <v>3633</v>
      </c>
      <c r="B99" s="2" t="s">
        <v>5771</v>
      </c>
      <c r="C99" s="2" t="s">
        <v>3635</v>
      </c>
      <c r="D99" s="2" t="s">
        <v>3635</v>
      </c>
      <c r="E99" s="2" t="s">
        <v>3635</v>
      </c>
      <c r="F99" s="2" t="s">
        <v>5772</v>
      </c>
      <c r="G99" s="2" t="s">
        <v>3635</v>
      </c>
      <c r="H99" s="2" t="s">
        <v>3635</v>
      </c>
      <c r="I99" s="2" t="s">
        <v>5773</v>
      </c>
      <c r="J99" s="2" t="s">
        <v>5774</v>
      </c>
      <c r="K99" s="2" t="s">
        <v>3635</v>
      </c>
      <c r="L99" s="2" t="s">
        <v>3635</v>
      </c>
      <c r="M99" s="2" t="s">
        <v>3638</v>
      </c>
      <c r="N99" s="2" t="s">
        <v>21</v>
      </c>
      <c r="O99" s="2" t="s">
        <v>3635</v>
      </c>
      <c r="P99" s="2" t="s">
        <v>3635</v>
      </c>
      <c r="Q99" s="2" t="s">
        <v>3635</v>
      </c>
      <c r="R99" s="2" t="s">
        <v>3635</v>
      </c>
      <c r="S99" s="2" t="s">
        <v>3635</v>
      </c>
      <c r="T99" s="2" t="s">
        <v>5775</v>
      </c>
      <c r="U99" s="2" t="s">
        <v>3635</v>
      </c>
      <c r="V99" s="2" t="s">
        <v>5776</v>
      </c>
      <c r="W99" s="2" t="s">
        <v>5777</v>
      </c>
      <c r="X99" s="2" t="s">
        <v>5778</v>
      </c>
      <c r="Y99" s="2" t="s">
        <v>5779</v>
      </c>
      <c r="Z99" s="2" t="s">
        <v>3635</v>
      </c>
      <c r="AA99" s="2" t="s">
        <v>5780</v>
      </c>
      <c r="AB99" s="2" t="s">
        <v>5781</v>
      </c>
      <c r="AC99" s="2" t="s">
        <v>3635</v>
      </c>
      <c r="AD99" s="2" t="s">
        <v>3635</v>
      </c>
      <c r="AE99" s="2" t="s">
        <v>3635</v>
      </c>
      <c r="AF99" s="2" t="s">
        <v>3635</v>
      </c>
      <c r="AG99" s="2">
        <v>38.0</v>
      </c>
      <c r="AH99" s="2">
        <v>0.0</v>
      </c>
      <c r="AI99" s="2">
        <v>0.0</v>
      </c>
      <c r="AJ99" s="2">
        <v>0.0</v>
      </c>
      <c r="AK99" s="2">
        <v>3.0</v>
      </c>
      <c r="AL99" s="2" t="s">
        <v>5782</v>
      </c>
      <c r="AM99" s="2" t="s">
        <v>5783</v>
      </c>
      <c r="AN99" s="2" t="s">
        <v>5784</v>
      </c>
      <c r="AO99" s="2" t="s">
        <v>5785</v>
      </c>
      <c r="AP99" s="2" t="s">
        <v>5786</v>
      </c>
      <c r="AQ99" s="2" t="s">
        <v>3635</v>
      </c>
      <c r="AR99" s="2" t="s">
        <v>5787</v>
      </c>
      <c r="AS99" s="2" t="s">
        <v>5788</v>
      </c>
      <c r="AT99" s="2" t="s">
        <v>3656</v>
      </c>
      <c r="AU99" s="2">
        <v>2021.0</v>
      </c>
      <c r="AV99" s="2">
        <v>25.0</v>
      </c>
      <c r="AW99" s="2">
        <v>1.0</v>
      </c>
      <c r="AX99" s="2" t="s">
        <v>3635</v>
      </c>
      <c r="AY99" s="2" t="s">
        <v>3635</v>
      </c>
      <c r="AZ99" s="2" t="s">
        <v>3635</v>
      </c>
      <c r="BA99" s="2" t="s">
        <v>3635</v>
      </c>
      <c r="BB99" s="2">
        <v>75.0</v>
      </c>
      <c r="BC99" s="2">
        <v>98.0</v>
      </c>
      <c r="BD99" s="2" t="s">
        <v>3635</v>
      </c>
      <c r="BE99" s="2" t="s">
        <v>5789</v>
      </c>
      <c r="BF99" s="3" t="str">
        <f>HYPERLINK("http://dx.doi.org/10.2478/manment-2019-0060","http://dx.doi.org/10.2478/manment-2019-0060")</f>
        <v>http://dx.doi.org/10.2478/manment-2019-0060</v>
      </c>
      <c r="BG99" s="2" t="s">
        <v>3635</v>
      </c>
      <c r="BH99" s="2" t="s">
        <v>3635</v>
      </c>
      <c r="BI99" s="2">
        <v>24.0</v>
      </c>
      <c r="BJ99" s="2" t="s">
        <v>5790</v>
      </c>
      <c r="BK99" s="2" t="s">
        <v>3993</v>
      </c>
      <c r="BL99" s="2" t="s">
        <v>3994</v>
      </c>
      <c r="BM99" s="2" t="s">
        <v>5791</v>
      </c>
      <c r="BN99" s="2" t="s">
        <v>3635</v>
      </c>
      <c r="BO99" s="2" t="s">
        <v>5792</v>
      </c>
      <c r="BP99" s="2" t="s">
        <v>3635</v>
      </c>
      <c r="BQ99" s="2" t="s">
        <v>3635</v>
      </c>
      <c r="BR99" s="2" t="s">
        <v>3662</v>
      </c>
      <c r="BS99" s="2" t="s">
        <v>5793</v>
      </c>
      <c r="BT99" s="2" t="str">
        <f>HYPERLINK("https%3A%2F%2Fwww.webofscience.com%2Fwos%2Fwoscc%2Ffull-record%2FWOS:000752716200004","View Full Record in Web of Science")</f>
        <v>View Full Record in Web of Science</v>
      </c>
    </row>
    <row r="100" ht="15.75" customHeight="1">
      <c r="A100" s="2" t="s">
        <v>3664</v>
      </c>
      <c r="B100" s="2" t="s">
        <v>5794</v>
      </c>
      <c r="C100" s="2" t="s">
        <v>3635</v>
      </c>
      <c r="D100" s="2" t="s">
        <v>3635</v>
      </c>
      <c r="E100" s="2" t="s">
        <v>1974</v>
      </c>
      <c r="F100" s="2" t="s">
        <v>5795</v>
      </c>
      <c r="G100" s="2" t="s">
        <v>3635</v>
      </c>
      <c r="H100" s="2" t="s">
        <v>3635</v>
      </c>
      <c r="I100" s="2" t="s">
        <v>5796</v>
      </c>
      <c r="J100" s="2" t="s">
        <v>5797</v>
      </c>
      <c r="K100" s="2" t="s">
        <v>3635</v>
      </c>
      <c r="L100" s="2" t="s">
        <v>3635</v>
      </c>
      <c r="M100" s="2" t="s">
        <v>3638</v>
      </c>
      <c r="N100" s="2" t="s">
        <v>3669</v>
      </c>
      <c r="O100" s="2" t="s">
        <v>5798</v>
      </c>
      <c r="P100" s="2" t="s">
        <v>5799</v>
      </c>
      <c r="Q100" s="2" t="s">
        <v>5800</v>
      </c>
      <c r="R100" s="2" t="s">
        <v>1974</v>
      </c>
      <c r="S100" s="2" t="s">
        <v>3635</v>
      </c>
      <c r="T100" s="2" t="s">
        <v>5801</v>
      </c>
      <c r="U100" s="2" t="s">
        <v>3635</v>
      </c>
      <c r="V100" s="2" t="s">
        <v>5802</v>
      </c>
      <c r="W100" s="2" t="s">
        <v>5803</v>
      </c>
      <c r="X100" s="2" t="s">
        <v>3677</v>
      </c>
      <c r="Y100" s="2" t="s">
        <v>5804</v>
      </c>
      <c r="Z100" s="2" t="s">
        <v>5805</v>
      </c>
      <c r="AA100" s="2" t="s">
        <v>5806</v>
      </c>
      <c r="AB100" s="2" t="s">
        <v>5807</v>
      </c>
      <c r="AC100" s="2" t="s">
        <v>3635</v>
      </c>
      <c r="AD100" s="2" t="s">
        <v>3635</v>
      </c>
      <c r="AE100" s="2" t="s">
        <v>3635</v>
      </c>
      <c r="AF100" s="2" t="s">
        <v>3635</v>
      </c>
      <c r="AG100" s="2">
        <v>22.0</v>
      </c>
      <c r="AH100" s="2">
        <v>0.0</v>
      </c>
      <c r="AI100" s="2">
        <v>0.0</v>
      </c>
      <c r="AJ100" s="2">
        <v>0.0</v>
      </c>
      <c r="AK100" s="2">
        <v>0.0</v>
      </c>
      <c r="AL100" s="2" t="s">
        <v>1974</v>
      </c>
      <c r="AM100" s="2" t="s">
        <v>3651</v>
      </c>
      <c r="AN100" s="2" t="s">
        <v>3762</v>
      </c>
      <c r="AO100" s="2" t="s">
        <v>3635</v>
      </c>
      <c r="AP100" s="2" t="s">
        <v>3635</v>
      </c>
      <c r="AQ100" s="2" t="s">
        <v>5808</v>
      </c>
      <c r="AR100" s="2" t="s">
        <v>3635</v>
      </c>
      <c r="AS100" s="2" t="s">
        <v>3635</v>
      </c>
      <c r="AT100" s="2" t="s">
        <v>3635</v>
      </c>
      <c r="AU100" s="2">
        <v>2013.0</v>
      </c>
      <c r="AV100" s="2" t="s">
        <v>3635</v>
      </c>
      <c r="AW100" s="2" t="s">
        <v>3635</v>
      </c>
      <c r="AX100" s="2" t="s">
        <v>3635</v>
      </c>
      <c r="AY100" s="2" t="s">
        <v>3635</v>
      </c>
      <c r="AZ100" s="2" t="s">
        <v>3635</v>
      </c>
      <c r="BA100" s="2" t="s">
        <v>3635</v>
      </c>
      <c r="BB100" s="2">
        <v>263.0</v>
      </c>
      <c r="BC100" s="2">
        <v>268.0</v>
      </c>
      <c r="BD100" s="2" t="s">
        <v>3635</v>
      </c>
      <c r="BE100" s="2" t="s">
        <v>3635</v>
      </c>
      <c r="BF100" s="2" t="s">
        <v>3635</v>
      </c>
      <c r="BG100" s="2" t="s">
        <v>3635</v>
      </c>
      <c r="BH100" s="2" t="s">
        <v>3635</v>
      </c>
      <c r="BI100" s="2">
        <v>6.0</v>
      </c>
      <c r="BJ100" s="2" t="s">
        <v>3657</v>
      </c>
      <c r="BK100" s="2" t="s">
        <v>3692</v>
      </c>
      <c r="BL100" s="2" t="s">
        <v>3659</v>
      </c>
      <c r="BM100" s="2" t="s">
        <v>5809</v>
      </c>
      <c r="BN100" s="2" t="s">
        <v>3635</v>
      </c>
      <c r="BO100" s="2" t="s">
        <v>3635</v>
      </c>
      <c r="BP100" s="2" t="s">
        <v>3635</v>
      </c>
      <c r="BQ100" s="2" t="s">
        <v>3635</v>
      </c>
      <c r="BR100" s="2" t="s">
        <v>3662</v>
      </c>
      <c r="BS100" s="2" t="s">
        <v>5810</v>
      </c>
      <c r="BT100" s="2" t="str">
        <f>HYPERLINK("https%3A%2F%2Fwww.webofscience.com%2Fwos%2Fwoscc%2Ffull-record%2FWOS:000330639500059","View Full Record in Web of Science")</f>
        <v>View Full Record in Web of Science</v>
      </c>
    </row>
    <row r="101" ht="15.75" customHeight="1">
      <c r="A101" s="2" t="s">
        <v>3664</v>
      </c>
      <c r="B101" s="2" t="s">
        <v>5811</v>
      </c>
      <c r="C101" s="2" t="s">
        <v>3635</v>
      </c>
      <c r="D101" s="2" t="s">
        <v>3635</v>
      </c>
      <c r="E101" s="2" t="s">
        <v>3685</v>
      </c>
      <c r="F101" s="2" t="s">
        <v>5812</v>
      </c>
      <c r="G101" s="2" t="s">
        <v>3635</v>
      </c>
      <c r="H101" s="2" t="s">
        <v>3635</v>
      </c>
      <c r="I101" s="2" t="s">
        <v>1668</v>
      </c>
      <c r="J101" s="2" t="s">
        <v>5813</v>
      </c>
      <c r="K101" s="2" t="s">
        <v>5814</v>
      </c>
      <c r="L101" s="2" t="s">
        <v>3635</v>
      </c>
      <c r="M101" s="2" t="s">
        <v>3638</v>
      </c>
      <c r="N101" s="2" t="s">
        <v>3669</v>
      </c>
      <c r="O101" s="2" t="s">
        <v>5815</v>
      </c>
      <c r="P101" s="2" t="s">
        <v>5816</v>
      </c>
      <c r="Q101" s="2" t="s">
        <v>5817</v>
      </c>
      <c r="R101" s="2" t="s">
        <v>3837</v>
      </c>
      <c r="S101" s="2" t="s">
        <v>3635</v>
      </c>
      <c r="T101" s="2" t="s">
        <v>3635</v>
      </c>
      <c r="U101" s="2" t="s">
        <v>3635</v>
      </c>
      <c r="V101" s="2" t="s">
        <v>5818</v>
      </c>
      <c r="W101" s="2" t="s">
        <v>5819</v>
      </c>
      <c r="X101" s="2" t="s">
        <v>5820</v>
      </c>
      <c r="Y101" s="2" t="s">
        <v>5821</v>
      </c>
      <c r="Z101" s="2" t="s">
        <v>5822</v>
      </c>
      <c r="AA101" s="2" t="s">
        <v>3635</v>
      </c>
      <c r="AB101" s="2" t="s">
        <v>3635</v>
      </c>
      <c r="AC101" s="2" t="s">
        <v>3635</v>
      </c>
      <c r="AD101" s="2" t="s">
        <v>3635</v>
      </c>
      <c r="AE101" s="2" t="s">
        <v>3635</v>
      </c>
      <c r="AF101" s="2" t="s">
        <v>3635</v>
      </c>
      <c r="AG101" s="2">
        <v>12.0</v>
      </c>
      <c r="AH101" s="2">
        <v>5.0</v>
      </c>
      <c r="AI101" s="2">
        <v>5.0</v>
      </c>
      <c r="AJ101" s="2">
        <v>0.0</v>
      </c>
      <c r="AK101" s="2">
        <v>1.0</v>
      </c>
      <c r="AL101" s="2" t="s">
        <v>3685</v>
      </c>
      <c r="AM101" s="2" t="s">
        <v>3686</v>
      </c>
      <c r="AN101" s="2" t="s">
        <v>3687</v>
      </c>
      <c r="AO101" s="2" t="s">
        <v>5823</v>
      </c>
      <c r="AP101" s="2" t="s">
        <v>3635</v>
      </c>
      <c r="AQ101" s="2" t="s">
        <v>5824</v>
      </c>
      <c r="AR101" s="2" t="s">
        <v>5825</v>
      </c>
      <c r="AS101" s="2" t="s">
        <v>3635</v>
      </c>
      <c r="AT101" s="2" t="s">
        <v>3635</v>
      </c>
      <c r="AU101" s="2">
        <v>2006.0</v>
      </c>
      <c r="AV101" s="2" t="s">
        <v>3635</v>
      </c>
      <c r="AW101" s="2" t="s">
        <v>3635</v>
      </c>
      <c r="AX101" s="2" t="s">
        <v>3635</v>
      </c>
      <c r="AY101" s="2" t="s">
        <v>3635</v>
      </c>
      <c r="AZ101" s="2" t="s">
        <v>3635</v>
      </c>
      <c r="BA101" s="2" t="s">
        <v>3635</v>
      </c>
      <c r="BB101" s="2">
        <v>307.0</v>
      </c>
      <c r="BC101" s="2" t="s">
        <v>3954</v>
      </c>
      <c r="BD101" s="2" t="s">
        <v>3635</v>
      </c>
      <c r="BE101" s="2" t="s">
        <v>3635</v>
      </c>
      <c r="BF101" s="2" t="s">
        <v>3635</v>
      </c>
      <c r="BG101" s="2" t="s">
        <v>3635</v>
      </c>
      <c r="BH101" s="2" t="s">
        <v>3635</v>
      </c>
      <c r="BI101" s="2">
        <v>2.0</v>
      </c>
      <c r="BJ101" s="2" t="s">
        <v>3657</v>
      </c>
      <c r="BK101" s="2" t="s">
        <v>3692</v>
      </c>
      <c r="BL101" s="2" t="s">
        <v>3659</v>
      </c>
      <c r="BM101" s="2" t="s">
        <v>5826</v>
      </c>
      <c r="BN101" s="2" t="s">
        <v>3635</v>
      </c>
      <c r="BO101" s="2" t="s">
        <v>3635</v>
      </c>
      <c r="BP101" s="2" t="s">
        <v>3635</v>
      </c>
      <c r="BQ101" s="2" t="s">
        <v>3635</v>
      </c>
      <c r="BR101" s="2" t="s">
        <v>3662</v>
      </c>
      <c r="BS101" s="2" t="s">
        <v>5827</v>
      </c>
      <c r="BT101" s="2" t="str">
        <f>HYPERLINK("https%3A%2F%2Fwww.webofscience.com%2Fwos%2Fwoscc%2Ffull-record%2FWOS:000241643200049","View Full Record in Web of Science")</f>
        <v>View Full Record in Web of Science</v>
      </c>
    </row>
    <row r="102" ht="15.75" customHeight="1">
      <c r="A102" s="2" t="s">
        <v>3633</v>
      </c>
      <c r="B102" s="2" t="s">
        <v>5828</v>
      </c>
      <c r="C102" s="2" t="s">
        <v>3635</v>
      </c>
      <c r="D102" s="2" t="s">
        <v>3635</v>
      </c>
      <c r="E102" s="2" t="s">
        <v>3635</v>
      </c>
      <c r="F102" s="2" t="s">
        <v>5829</v>
      </c>
      <c r="G102" s="2" t="s">
        <v>3635</v>
      </c>
      <c r="H102" s="2" t="s">
        <v>3635</v>
      </c>
      <c r="I102" s="2" t="s">
        <v>5830</v>
      </c>
      <c r="J102" s="2" t="s">
        <v>5831</v>
      </c>
      <c r="K102" s="2" t="s">
        <v>3635</v>
      </c>
      <c r="L102" s="2" t="s">
        <v>3635</v>
      </c>
      <c r="M102" s="2" t="s">
        <v>3638</v>
      </c>
      <c r="N102" s="2" t="s">
        <v>21</v>
      </c>
      <c r="O102" s="2" t="s">
        <v>3635</v>
      </c>
      <c r="P102" s="2" t="s">
        <v>3635</v>
      </c>
      <c r="Q102" s="2" t="s">
        <v>3635</v>
      </c>
      <c r="R102" s="2" t="s">
        <v>3635</v>
      </c>
      <c r="S102" s="2" t="s">
        <v>3635</v>
      </c>
      <c r="T102" s="2" t="s">
        <v>5832</v>
      </c>
      <c r="U102" s="2" t="s">
        <v>3635</v>
      </c>
      <c r="V102" s="2" t="s">
        <v>5833</v>
      </c>
      <c r="W102" s="2" t="s">
        <v>5834</v>
      </c>
      <c r="X102" s="2" t="s">
        <v>5835</v>
      </c>
      <c r="Y102" s="2" t="s">
        <v>5836</v>
      </c>
      <c r="Z102" s="2" t="s">
        <v>5837</v>
      </c>
      <c r="AA102" s="2" t="s">
        <v>3635</v>
      </c>
      <c r="AB102" s="2" t="s">
        <v>3635</v>
      </c>
      <c r="AC102" s="2" t="s">
        <v>5838</v>
      </c>
      <c r="AD102" s="2" t="s">
        <v>4102</v>
      </c>
      <c r="AE102" s="2" t="s">
        <v>5839</v>
      </c>
      <c r="AF102" s="2" t="s">
        <v>3635</v>
      </c>
      <c r="AG102" s="2">
        <v>28.0</v>
      </c>
      <c r="AH102" s="2">
        <v>19.0</v>
      </c>
      <c r="AI102" s="2">
        <v>20.0</v>
      </c>
      <c r="AJ102" s="2">
        <v>0.0</v>
      </c>
      <c r="AK102" s="2">
        <v>1.0</v>
      </c>
      <c r="AL102" s="2" t="s">
        <v>5840</v>
      </c>
      <c r="AM102" s="2" t="s">
        <v>3808</v>
      </c>
      <c r="AN102" s="2" t="s">
        <v>5841</v>
      </c>
      <c r="AO102" s="2" t="s">
        <v>5842</v>
      </c>
      <c r="AP102" s="2" t="s">
        <v>5843</v>
      </c>
      <c r="AQ102" s="2" t="s">
        <v>3635</v>
      </c>
      <c r="AR102" s="2" t="s">
        <v>5844</v>
      </c>
      <c r="AS102" s="2" t="s">
        <v>5845</v>
      </c>
      <c r="AT102" s="2" t="s">
        <v>4517</v>
      </c>
      <c r="AU102" s="2">
        <v>2014.0</v>
      </c>
      <c r="AV102" s="2">
        <v>24.0</v>
      </c>
      <c r="AW102" s="2">
        <v>2.0</v>
      </c>
      <c r="AX102" s="2" t="s">
        <v>3635</v>
      </c>
      <c r="AY102" s="2" t="s">
        <v>3635</v>
      </c>
      <c r="AZ102" s="2" t="s">
        <v>3635</v>
      </c>
      <c r="BA102" s="2" t="s">
        <v>3635</v>
      </c>
      <c r="BB102" s="2">
        <v>201.0</v>
      </c>
      <c r="BC102" s="2">
        <v>205.0</v>
      </c>
      <c r="BD102" s="2" t="s">
        <v>3635</v>
      </c>
      <c r="BE102" s="2" t="s">
        <v>5846</v>
      </c>
      <c r="BF102" s="3" t="str">
        <f>HYPERLINK("http://dx.doi.org/10.1016/j.ijmst.2014.01.010","http://dx.doi.org/10.1016/j.ijmst.2014.01.010")</f>
        <v>http://dx.doi.org/10.1016/j.ijmst.2014.01.010</v>
      </c>
      <c r="BG102" s="2" t="s">
        <v>3635</v>
      </c>
      <c r="BH102" s="2" t="s">
        <v>3635</v>
      </c>
      <c r="BI102" s="2">
        <v>5.0</v>
      </c>
      <c r="BJ102" s="2" t="s">
        <v>5847</v>
      </c>
      <c r="BK102" s="2" t="s">
        <v>3993</v>
      </c>
      <c r="BL102" s="2" t="s">
        <v>5847</v>
      </c>
      <c r="BM102" s="2" t="s">
        <v>5848</v>
      </c>
      <c r="BN102" s="2" t="s">
        <v>3635</v>
      </c>
      <c r="BO102" s="2" t="s">
        <v>3635</v>
      </c>
      <c r="BP102" s="2" t="s">
        <v>3635</v>
      </c>
      <c r="BQ102" s="2" t="s">
        <v>3635</v>
      </c>
      <c r="BR102" s="2" t="s">
        <v>3662</v>
      </c>
      <c r="BS102" s="2" t="s">
        <v>5849</v>
      </c>
      <c r="BT102" s="2" t="str">
        <f>HYPERLINK("https%3A%2F%2Fwww.webofscience.com%2Fwos%2Fwoscc%2Ffull-record%2FWOS:000420610700011","View Full Record in Web of Science")</f>
        <v>View Full Record in Web of Science</v>
      </c>
    </row>
    <row r="103" ht="15.75" customHeight="1">
      <c r="A103" s="2" t="s">
        <v>3633</v>
      </c>
      <c r="B103" s="2" t="s">
        <v>5850</v>
      </c>
      <c r="C103" s="2" t="s">
        <v>3635</v>
      </c>
      <c r="D103" s="2" t="s">
        <v>3635</v>
      </c>
      <c r="E103" s="2" t="s">
        <v>3635</v>
      </c>
      <c r="F103" s="2" t="s">
        <v>5851</v>
      </c>
      <c r="G103" s="2" t="s">
        <v>3635</v>
      </c>
      <c r="H103" s="2" t="s">
        <v>3635</v>
      </c>
      <c r="I103" s="2" t="s">
        <v>5852</v>
      </c>
      <c r="J103" s="2" t="s">
        <v>5853</v>
      </c>
      <c r="K103" s="2" t="s">
        <v>3635</v>
      </c>
      <c r="L103" s="2" t="s">
        <v>3635</v>
      </c>
      <c r="M103" s="2" t="s">
        <v>3638</v>
      </c>
      <c r="N103" s="2" t="s">
        <v>21</v>
      </c>
      <c r="O103" s="2" t="s">
        <v>3635</v>
      </c>
      <c r="P103" s="2" t="s">
        <v>3635</v>
      </c>
      <c r="Q103" s="2" t="s">
        <v>3635</v>
      </c>
      <c r="R103" s="2" t="s">
        <v>3635</v>
      </c>
      <c r="S103" s="2" t="s">
        <v>3635</v>
      </c>
      <c r="T103" s="2" t="s">
        <v>5854</v>
      </c>
      <c r="U103" s="2" t="s">
        <v>4883</v>
      </c>
      <c r="V103" s="2" t="s">
        <v>5855</v>
      </c>
      <c r="W103" s="2" t="s">
        <v>5856</v>
      </c>
      <c r="X103" s="2" t="s">
        <v>5857</v>
      </c>
      <c r="Y103" s="2" t="s">
        <v>5858</v>
      </c>
      <c r="Z103" s="2" t="s">
        <v>5859</v>
      </c>
      <c r="AA103" s="2" t="s">
        <v>5860</v>
      </c>
      <c r="AB103" s="2" t="s">
        <v>5861</v>
      </c>
      <c r="AC103" s="2" t="s">
        <v>3635</v>
      </c>
      <c r="AD103" s="2" t="s">
        <v>3635</v>
      </c>
      <c r="AE103" s="2" t="s">
        <v>3635</v>
      </c>
      <c r="AF103" s="2" t="s">
        <v>3635</v>
      </c>
      <c r="AG103" s="2">
        <v>32.0</v>
      </c>
      <c r="AH103" s="2">
        <v>2.0</v>
      </c>
      <c r="AI103" s="2">
        <v>3.0</v>
      </c>
      <c r="AJ103" s="2">
        <v>1.0</v>
      </c>
      <c r="AK103" s="2">
        <v>11.0</v>
      </c>
      <c r="AL103" s="2" t="s">
        <v>5862</v>
      </c>
      <c r="AM103" s="2" t="s">
        <v>5112</v>
      </c>
      <c r="AN103" s="2" t="s">
        <v>5863</v>
      </c>
      <c r="AO103" s="2" t="s">
        <v>5864</v>
      </c>
      <c r="AP103" s="2" t="s">
        <v>5865</v>
      </c>
      <c r="AQ103" s="2" t="s">
        <v>3635</v>
      </c>
      <c r="AR103" s="2" t="s">
        <v>5866</v>
      </c>
      <c r="AS103" s="2" t="s">
        <v>5867</v>
      </c>
      <c r="AT103" s="2" t="s">
        <v>3656</v>
      </c>
      <c r="AU103" s="2">
        <v>2023.0</v>
      </c>
      <c r="AV103" s="2">
        <v>31.0</v>
      </c>
      <c r="AW103" s="2">
        <v>1.0</v>
      </c>
      <c r="AX103" s="2" t="s">
        <v>3635</v>
      </c>
      <c r="AY103" s="2" t="s">
        <v>3635</v>
      </c>
      <c r="AZ103" s="2" t="s">
        <v>3635</v>
      </c>
      <c r="BA103" s="2" t="s">
        <v>3635</v>
      </c>
      <c r="BB103" s="2">
        <v>42.0</v>
      </c>
      <c r="BC103" s="2">
        <v>58.0</v>
      </c>
      <c r="BD103" s="2" t="s">
        <v>5868</v>
      </c>
      <c r="BE103" s="2" t="s">
        <v>5869</v>
      </c>
      <c r="BF103" s="3" t="str">
        <f>HYPERLINK("http://dx.doi.org/10.1017/pan.2021.36","http://dx.doi.org/10.1017/pan.2021.36")</f>
        <v>http://dx.doi.org/10.1017/pan.2021.36</v>
      </c>
      <c r="BG103" s="2" t="s">
        <v>3635</v>
      </c>
      <c r="BH103" s="2" t="s">
        <v>5870</v>
      </c>
      <c r="BI103" s="2">
        <v>17.0</v>
      </c>
      <c r="BJ103" s="2" t="s">
        <v>5725</v>
      </c>
      <c r="BK103" s="2" t="s">
        <v>5726</v>
      </c>
      <c r="BL103" s="2" t="s">
        <v>5727</v>
      </c>
      <c r="BM103" s="2" t="s">
        <v>5871</v>
      </c>
      <c r="BN103" s="2" t="s">
        <v>3635</v>
      </c>
      <c r="BO103" s="2" t="s">
        <v>3635</v>
      </c>
      <c r="BP103" s="2" t="s">
        <v>3635</v>
      </c>
      <c r="BQ103" s="2" t="s">
        <v>3635</v>
      </c>
      <c r="BR103" s="2" t="s">
        <v>3662</v>
      </c>
      <c r="BS103" s="2" t="s">
        <v>5872</v>
      </c>
      <c r="BT103" s="2" t="str">
        <f>HYPERLINK("https%3A%2F%2Fwww.webofscience.com%2Fwos%2Fwoscc%2Ffull-record%2FWOS:000740091200001","View Full Record in Web of Science")</f>
        <v>View Full Record in Web of Science</v>
      </c>
    </row>
    <row r="104" ht="15.75" customHeight="1">
      <c r="A104" s="2" t="s">
        <v>3633</v>
      </c>
      <c r="B104" s="2" t="s">
        <v>5873</v>
      </c>
      <c r="C104" s="2" t="s">
        <v>3635</v>
      </c>
      <c r="D104" s="2" t="s">
        <v>3635</v>
      </c>
      <c r="E104" s="2" t="s">
        <v>3635</v>
      </c>
      <c r="F104" s="2" t="s">
        <v>5874</v>
      </c>
      <c r="G104" s="2" t="s">
        <v>3635</v>
      </c>
      <c r="H104" s="2" t="s">
        <v>3635</v>
      </c>
      <c r="I104" s="2" t="s">
        <v>479</v>
      </c>
      <c r="J104" s="2" t="s">
        <v>5875</v>
      </c>
      <c r="K104" s="2" t="s">
        <v>3635</v>
      </c>
      <c r="L104" s="2" t="s">
        <v>3635</v>
      </c>
      <c r="M104" s="2" t="s">
        <v>3638</v>
      </c>
      <c r="N104" s="2" t="s">
        <v>21</v>
      </c>
      <c r="O104" s="2" t="s">
        <v>3635</v>
      </c>
      <c r="P104" s="2" t="s">
        <v>3635</v>
      </c>
      <c r="Q104" s="2" t="s">
        <v>3635</v>
      </c>
      <c r="R104" s="2" t="s">
        <v>3635</v>
      </c>
      <c r="S104" s="2" t="s">
        <v>3635</v>
      </c>
      <c r="T104" s="2" t="s">
        <v>3635</v>
      </c>
      <c r="U104" s="2" t="s">
        <v>5876</v>
      </c>
      <c r="V104" s="2" t="s">
        <v>5877</v>
      </c>
      <c r="W104" s="2" t="s">
        <v>5878</v>
      </c>
      <c r="X104" s="2" t="s">
        <v>5879</v>
      </c>
      <c r="Y104" s="2" t="s">
        <v>5880</v>
      </c>
      <c r="Z104" s="2" t="s">
        <v>5881</v>
      </c>
      <c r="AA104" s="2" t="s">
        <v>5882</v>
      </c>
      <c r="AB104" s="2" t="s">
        <v>5883</v>
      </c>
      <c r="AC104" s="2" t="s">
        <v>5884</v>
      </c>
      <c r="AD104" s="2" t="s">
        <v>5885</v>
      </c>
      <c r="AE104" s="2" t="s">
        <v>5886</v>
      </c>
      <c r="AF104" s="2" t="s">
        <v>3635</v>
      </c>
      <c r="AG104" s="2">
        <v>67.0</v>
      </c>
      <c r="AH104" s="2">
        <v>1.0</v>
      </c>
      <c r="AI104" s="2">
        <v>1.0</v>
      </c>
      <c r="AJ104" s="2">
        <v>2.0</v>
      </c>
      <c r="AK104" s="2">
        <v>2.0</v>
      </c>
      <c r="AL104" s="2" t="s">
        <v>5887</v>
      </c>
      <c r="AM104" s="2" t="s">
        <v>4668</v>
      </c>
      <c r="AN104" s="2" t="s">
        <v>5888</v>
      </c>
      <c r="AO104" s="2" t="s">
        <v>3635</v>
      </c>
      <c r="AP104" s="2" t="s">
        <v>5889</v>
      </c>
      <c r="AQ104" s="2" t="s">
        <v>3635</v>
      </c>
      <c r="AR104" s="2" t="s">
        <v>5890</v>
      </c>
      <c r="AS104" s="2" t="s">
        <v>5891</v>
      </c>
      <c r="AT104" s="2" t="s">
        <v>5143</v>
      </c>
      <c r="AU104" s="2">
        <v>2023.0</v>
      </c>
      <c r="AV104" s="2">
        <v>3.0</v>
      </c>
      <c r="AW104" s="2">
        <v>10.0</v>
      </c>
      <c r="AX104" s="2" t="s">
        <v>3635</v>
      </c>
      <c r="AY104" s="2" t="s">
        <v>3635</v>
      </c>
      <c r="AZ104" s="2" t="s">
        <v>3635</v>
      </c>
      <c r="BA104" s="2" t="s">
        <v>3635</v>
      </c>
      <c r="BB104" s="2">
        <v>883.0</v>
      </c>
      <c r="BC104" s="2">
        <v>893.0</v>
      </c>
      <c r="BD104" s="2" t="s">
        <v>3635</v>
      </c>
      <c r="BE104" s="2" t="s">
        <v>482</v>
      </c>
      <c r="BF104" s="3" t="str">
        <f>HYPERLINK("http://dx.doi.org/10.1038/s43588-023-00519-x","http://dx.doi.org/10.1038/s43588-023-00519-x")</f>
        <v>http://dx.doi.org/10.1038/s43588-023-00519-x</v>
      </c>
      <c r="BG104" s="2" t="s">
        <v>3635</v>
      </c>
      <c r="BH104" s="2" t="s">
        <v>3635</v>
      </c>
      <c r="BI104" s="2">
        <v>11.0</v>
      </c>
      <c r="BJ104" s="2" t="s">
        <v>5892</v>
      </c>
      <c r="BK104" s="2" t="s">
        <v>3993</v>
      </c>
      <c r="BL104" s="2" t="s">
        <v>5893</v>
      </c>
      <c r="BM104" s="2" t="s">
        <v>5894</v>
      </c>
      <c r="BN104" s="2">
        <v>3.8177751E7</v>
      </c>
      <c r="BO104" s="2" t="s">
        <v>3694</v>
      </c>
      <c r="BP104" s="2" t="s">
        <v>3635</v>
      </c>
      <c r="BQ104" s="2" t="s">
        <v>3635</v>
      </c>
      <c r="BR104" s="2" t="s">
        <v>3662</v>
      </c>
      <c r="BS104" s="2" t="s">
        <v>5895</v>
      </c>
      <c r="BT104" s="2" t="str">
        <f>HYPERLINK("https%3A%2F%2Fwww.webofscience.com%2Fwos%2Fwoscc%2Ffull-record%2FWOS:001096070500021","View Full Record in Web of Science")</f>
        <v>View Full Record in Web of Science</v>
      </c>
    </row>
    <row r="105" ht="15.75" customHeight="1">
      <c r="A105" s="2" t="s">
        <v>3633</v>
      </c>
      <c r="B105" s="2" t="s">
        <v>5896</v>
      </c>
      <c r="C105" s="2" t="s">
        <v>3635</v>
      </c>
      <c r="D105" s="2" t="s">
        <v>3635</v>
      </c>
      <c r="E105" s="2" t="s">
        <v>3635</v>
      </c>
      <c r="F105" s="2" t="s">
        <v>5897</v>
      </c>
      <c r="G105" s="2" t="s">
        <v>3635</v>
      </c>
      <c r="H105" s="2" t="s">
        <v>3635</v>
      </c>
      <c r="I105" s="2" t="s">
        <v>5898</v>
      </c>
      <c r="J105" s="2" t="s">
        <v>5899</v>
      </c>
      <c r="K105" s="2" t="s">
        <v>3635</v>
      </c>
      <c r="L105" s="2" t="s">
        <v>3635</v>
      </c>
      <c r="M105" s="2" t="s">
        <v>3638</v>
      </c>
      <c r="N105" s="2" t="s">
        <v>21</v>
      </c>
      <c r="O105" s="2" t="s">
        <v>3635</v>
      </c>
      <c r="P105" s="2" t="s">
        <v>3635</v>
      </c>
      <c r="Q105" s="2" t="s">
        <v>3635</v>
      </c>
      <c r="R105" s="2" t="s">
        <v>3635</v>
      </c>
      <c r="S105" s="2" t="s">
        <v>3635</v>
      </c>
      <c r="T105" s="2" t="s">
        <v>5900</v>
      </c>
      <c r="U105" s="2" t="s">
        <v>3635</v>
      </c>
      <c r="V105" s="2" t="s">
        <v>5901</v>
      </c>
      <c r="W105" s="2" t="s">
        <v>5902</v>
      </c>
      <c r="X105" s="2" t="s">
        <v>5903</v>
      </c>
      <c r="Y105" s="2" t="s">
        <v>5904</v>
      </c>
      <c r="Z105" s="2" t="s">
        <v>5905</v>
      </c>
      <c r="AA105" s="2" t="s">
        <v>3635</v>
      </c>
      <c r="AB105" s="2" t="s">
        <v>5906</v>
      </c>
      <c r="AC105" s="2" t="s">
        <v>3635</v>
      </c>
      <c r="AD105" s="2" t="s">
        <v>3635</v>
      </c>
      <c r="AE105" s="2" t="s">
        <v>3635</v>
      </c>
      <c r="AF105" s="2" t="s">
        <v>3635</v>
      </c>
      <c r="AG105" s="2">
        <v>18.0</v>
      </c>
      <c r="AH105" s="2">
        <v>11.0</v>
      </c>
      <c r="AI105" s="2">
        <v>11.0</v>
      </c>
      <c r="AJ105" s="2">
        <v>0.0</v>
      </c>
      <c r="AK105" s="2">
        <v>9.0</v>
      </c>
      <c r="AL105" s="2" t="s">
        <v>5907</v>
      </c>
      <c r="AM105" s="2" t="s">
        <v>5908</v>
      </c>
      <c r="AN105" s="2" t="s">
        <v>5909</v>
      </c>
      <c r="AO105" s="2" t="s">
        <v>5910</v>
      </c>
      <c r="AP105" s="2" t="s">
        <v>5911</v>
      </c>
      <c r="AQ105" s="2" t="s">
        <v>3635</v>
      </c>
      <c r="AR105" s="2" t="s">
        <v>5912</v>
      </c>
      <c r="AS105" s="2" t="s">
        <v>5913</v>
      </c>
      <c r="AT105" s="2" t="s">
        <v>3656</v>
      </c>
      <c r="AU105" s="2">
        <v>2017.0</v>
      </c>
      <c r="AV105" s="2">
        <v>87.0</v>
      </c>
      <c r="AW105" s="2">
        <v>2.0</v>
      </c>
      <c r="AX105" s="2" t="s">
        <v>3635</v>
      </c>
      <c r="AY105" s="2" t="s">
        <v>3635</v>
      </c>
      <c r="AZ105" s="2" t="s">
        <v>3635</v>
      </c>
      <c r="BA105" s="2" t="s">
        <v>3635</v>
      </c>
      <c r="BB105" s="2">
        <v>227.0</v>
      </c>
      <c r="BC105" s="2">
        <v>238.0</v>
      </c>
      <c r="BD105" s="2" t="s">
        <v>3635</v>
      </c>
      <c r="BE105" s="2" t="s">
        <v>5914</v>
      </c>
      <c r="BF105" s="3" t="str">
        <f>HYPERLINK("http://dx.doi.org/10.1080/00949655.2016.1203433","http://dx.doi.org/10.1080/00949655.2016.1203433")</f>
        <v>http://dx.doi.org/10.1080/00949655.2016.1203433</v>
      </c>
      <c r="BG105" s="2" t="s">
        <v>3635</v>
      </c>
      <c r="BH105" s="2" t="s">
        <v>3635</v>
      </c>
      <c r="BI105" s="2">
        <v>12.0</v>
      </c>
      <c r="BJ105" s="2" t="s">
        <v>5915</v>
      </c>
      <c r="BK105" s="2" t="s">
        <v>3658</v>
      </c>
      <c r="BL105" s="2" t="s">
        <v>5585</v>
      </c>
      <c r="BM105" s="2" t="s">
        <v>5916</v>
      </c>
      <c r="BN105" s="2" t="s">
        <v>3635</v>
      </c>
      <c r="BO105" s="2" t="s">
        <v>3635</v>
      </c>
      <c r="BP105" s="2" t="s">
        <v>3635</v>
      </c>
      <c r="BQ105" s="2" t="s">
        <v>3635</v>
      </c>
      <c r="BR105" s="2" t="s">
        <v>3662</v>
      </c>
      <c r="BS105" s="2" t="s">
        <v>5917</v>
      </c>
      <c r="BT105" s="2" t="str">
        <f>HYPERLINK("https%3A%2F%2Fwww.webofscience.com%2Fwos%2Fwoscc%2Ffull-record%2FWOS:000388714600002","View Full Record in Web of Science")</f>
        <v>View Full Record in Web of Science</v>
      </c>
    </row>
    <row r="106" ht="15.75" customHeight="1">
      <c r="A106" s="2" t="s">
        <v>3633</v>
      </c>
      <c r="B106" s="2" t="s">
        <v>5918</v>
      </c>
      <c r="C106" s="2" t="s">
        <v>3635</v>
      </c>
      <c r="D106" s="2" t="s">
        <v>3635</v>
      </c>
      <c r="E106" s="2" t="s">
        <v>3635</v>
      </c>
      <c r="F106" s="2" t="s">
        <v>5919</v>
      </c>
      <c r="G106" s="2" t="s">
        <v>3635</v>
      </c>
      <c r="H106" s="2" t="s">
        <v>3635</v>
      </c>
      <c r="I106" s="2" t="s">
        <v>5920</v>
      </c>
      <c r="J106" s="2" t="s">
        <v>5921</v>
      </c>
      <c r="K106" s="2" t="s">
        <v>3635</v>
      </c>
      <c r="L106" s="2" t="s">
        <v>3635</v>
      </c>
      <c r="M106" s="2" t="s">
        <v>3638</v>
      </c>
      <c r="N106" s="2" t="s">
        <v>21</v>
      </c>
      <c r="O106" s="2" t="s">
        <v>3635</v>
      </c>
      <c r="P106" s="2" t="s">
        <v>3635</v>
      </c>
      <c r="Q106" s="2" t="s">
        <v>3635</v>
      </c>
      <c r="R106" s="2" t="s">
        <v>3635</v>
      </c>
      <c r="S106" s="2" t="s">
        <v>3635</v>
      </c>
      <c r="T106" s="2" t="s">
        <v>5922</v>
      </c>
      <c r="U106" s="2" t="s">
        <v>5923</v>
      </c>
      <c r="V106" s="2" t="s">
        <v>5924</v>
      </c>
      <c r="W106" s="2" t="s">
        <v>5925</v>
      </c>
      <c r="X106" s="2" t="s">
        <v>3677</v>
      </c>
      <c r="Y106" s="2" t="s">
        <v>5926</v>
      </c>
      <c r="Z106" s="2" t="s">
        <v>5927</v>
      </c>
      <c r="AA106" s="2" t="s">
        <v>5928</v>
      </c>
      <c r="AB106" s="2" t="s">
        <v>5929</v>
      </c>
      <c r="AC106" s="2" t="s">
        <v>5930</v>
      </c>
      <c r="AD106" s="2" t="s">
        <v>5931</v>
      </c>
      <c r="AE106" s="2" t="s">
        <v>5932</v>
      </c>
      <c r="AF106" s="2" t="s">
        <v>3635</v>
      </c>
      <c r="AG106" s="2">
        <v>37.0</v>
      </c>
      <c r="AH106" s="2">
        <v>0.0</v>
      </c>
      <c r="AI106" s="2">
        <v>0.0</v>
      </c>
      <c r="AJ106" s="2">
        <v>0.0</v>
      </c>
      <c r="AK106" s="2">
        <v>7.0</v>
      </c>
      <c r="AL106" s="2" t="s">
        <v>5933</v>
      </c>
      <c r="AM106" s="2" t="s">
        <v>5934</v>
      </c>
      <c r="AN106" s="2" t="s">
        <v>5935</v>
      </c>
      <c r="AO106" s="2" t="s">
        <v>5936</v>
      </c>
      <c r="AP106" s="2" t="s">
        <v>3635</v>
      </c>
      <c r="AQ106" s="2" t="s">
        <v>3635</v>
      </c>
      <c r="AR106" s="2" t="s">
        <v>5937</v>
      </c>
      <c r="AS106" s="2" t="s">
        <v>5938</v>
      </c>
      <c r="AT106" s="2" t="s">
        <v>3635</v>
      </c>
      <c r="AU106" s="2">
        <v>2021.0</v>
      </c>
      <c r="AV106" s="2">
        <v>15.0</v>
      </c>
      <c r="AW106" s="2" t="s">
        <v>3635</v>
      </c>
      <c r="AX106" s="2" t="s">
        <v>3635</v>
      </c>
      <c r="AY106" s="2" t="s">
        <v>3635</v>
      </c>
      <c r="AZ106" s="2" t="s">
        <v>3635</v>
      </c>
      <c r="BA106" s="2" t="s">
        <v>3635</v>
      </c>
      <c r="BB106" s="2">
        <v>625.0</v>
      </c>
      <c r="BC106" s="2">
        <v>633.0</v>
      </c>
      <c r="BD106" s="2" t="s">
        <v>3635</v>
      </c>
      <c r="BE106" s="2" t="s">
        <v>5939</v>
      </c>
      <c r="BF106" s="3" t="str">
        <f>HYPERLINK("http://dx.doi.org/10.2147/PPA.S301670","http://dx.doi.org/10.2147/PPA.S301670")</f>
        <v>http://dx.doi.org/10.2147/PPA.S301670</v>
      </c>
      <c r="BG106" s="2" t="s">
        <v>3635</v>
      </c>
      <c r="BH106" s="2" t="s">
        <v>3635</v>
      </c>
      <c r="BI106" s="2">
        <v>9.0</v>
      </c>
      <c r="BJ106" s="2" t="s">
        <v>5940</v>
      </c>
      <c r="BK106" s="2" t="s">
        <v>4378</v>
      </c>
      <c r="BL106" s="2" t="s">
        <v>5941</v>
      </c>
      <c r="BM106" s="2" t="s">
        <v>5942</v>
      </c>
      <c r="BN106" s="2">
        <v>3.3776425E7</v>
      </c>
      <c r="BO106" s="2" t="s">
        <v>5943</v>
      </c>
      <c r="BP106" s="2" t="s">
        <v>3635</v>
      </c>
      <c r="BQ106" s="2" t="s">
        <v>3635</v>
      </c>
      <c r="BR106" s="2" t="s">
        <v>3662</v>
      </c>
      <c r="BS106" s="2" t="s">
        <v>5944</v>
      </c>
      <c r="BT106" s="2" t="str">
        <f>HYPERLINK("https%3A%2F%2Fwww.webofscience.com%2Fwos%2Fwoscc%2Ffull-record%2FWOS:000632437600001","View Full Record in Web of Science")</f>
        <v>View Full Record in Web of Science</v>
      </c>
    </row>
    <row r="107" ht="15.75" customHeight="1">
      <c r="A107" s="2" t="s">
        <v>5438</v>
      </c>
      <c r="B107" s="2" t="s">
        <v>5945</v>
      </c>
      <c r="C107" s="2" t="s">
        <v>3635</v>
      </c>
      <c r="D107" s="2" t="s">
        <v>5946</v>
      </c>
      <c r="E107" s="2" t="s">
        <v>3635</v>
      </c>
      <c r="F107" s="2" t="s">
        <v>5945</v>
      </c>
      <c r="G107" s="2" t="s">
        <v>3635</v>
      </c>
      <c r="H107" s="2" t="s">
        <v>3635</v>
      </c>
      <c r="I107" s="2" t="s">
        <v>1767</v>
      </c>
      <c r="J107" s="2" t="s">
        <v>5947</v>
      </c>
      <c r="K107" s="2" t="s">
        <v>4258</v>
      </c>
      <c r="L107" s="2" t="s">
        <v>3635</v>
      </c>
      <c r="M107" s="2" t="s">
        <v>3638</v>
      </c>
      <c r="N107" s="2" t="s">
        <v>5948</v>
      </c>
      <c r="O107" s="2" t="s">
        <v>5949</v>
      </c>
      <c r="P107" s="2" t="s">
        <v>5950</v>
      </c>
      <c r="Q107" s="2" t="s">
        <v>5951</v>
      </c>
      <c r="R107" s="2" t="s">
        <v>5952</v>
      </c>
      <c r="S107" s="2" t="s">
        <v>3635</v>
      </c>
      <c r="T107" s="2" t="s">
        <v>5953</v>
      </c>
      <c r="U107" s="2" t="s">
        <v>3635</v>
      </c>
      <c r="V107" s="2" t="s">
        <v>5954</v>
      </c>
      <c r="W107" s="2" t="s">
        <v>5955</v>
      </c>
      <c r="X107" s="2" t="s">
        <v>5429</v>
      </c>
      <c r="Y107" s="2" t="s">
        <v>5956</v>
      </c>
      <c r="Z107" s="2" t="s">
        <v>5957</v>
      </c>
      <c r="AA107" s="2" t="s">
        <v>3635</v>
      </c>
      <c r="AB107" s="2" t="s">
        <v>3635</v>
      </c>
      <c r="AC107" s="2" t="s">
        <v>3635</v>
      </c>
      <c r="AD107" s="2" t="s">
        <v>3635</v>
      </c>
      <c r="AE107" s="2" t="s">
        <v>3635</v>
      </c>
      <c r="AF107" s="2" t="s">
        <v>3635</v>
      </c>
      <c r="AG107" s="2">
        <v>27.0</v>
      </c>
      <c r="AH107" s="2">
        <v>79.0</v>
      </c>
      <c r="AI107" s="2">
        <v>91.0</v>
      </c>
      <c r="AJ107" s="2">
        <v>0.0</v>
      </c>
      <c r="AK107" s="2">
        <v>4.0</v>
      </c>
      <c r="AL107" s="2" t="s">
        <v>5958</v>
      </c>
      <c r="AM107" s="2" t="s">
        <v>4312</v>
      </c>
      <c r="AN107" s="2" t="s">
        <v>5959</v>
      </c>
      <c r="AO107" s="2" t="s">
        <v>4274</v>
      </c>
      <c r="AP107" s="2" t="s">
        <v>4275</v>
      </c>
      <c r="AQ107" s="2" t="s">
        <v>5960</v>
      </c>
      <c r="AR107" s="2" t="s">
        <v>4277</v>
      </c>
      <c r="AS107" s="2" t="s">
        <v>3635</v>
      </c>
      <c r="AT107" s="2" t="s">
        <v>3635</v>
      </c>
      <c r="AU107" s="2">
        <v>2003.0</v>
      </c>
      <c r="AV107" s="2">
        <v>2820.0</v>
      </c>
      <c r="AW107" s="2" t="s">
        <v>3635</v>
      </c>
      <c r="AX107" s="2" t="s">
        <v>3635</v>
      </c>
      <c r="AY107" s="2" t="s">
        <v>3635</v>
      </c>
      <c r="AZ107" s="2" t="s">
        <v>3635</v>
      </c>
      <c r="BA107" s="2" t="s">
        <v>3635</v>
      </c>
      <c r="BB107" s="2">
        <v>73.0</v>
      </c>
      <c r="BC107" s="2">
        <v>93.0</v>
      </c>
      <c r="BD107" s="2" t="s">
        <v>3635</v>
      </c>
      <c r="BE107" s="2" t="s">
        <v>3635</v>
      </c>
      <c r="BF107" s="2" t="s">
        <v>3635</v>
      </c>
      <c r="BG107" s="2" t="s">
        <v>3635</v>
      </c>
      <c r="BH107" s="2" t="s">
        <v>3635</v>
      </c>
      <c r="BI107" s="2">
        <v>21.0</v>
      </c>
      <c r="BJ107" s="2" t="s">
        <v>4447</v>
      </c>
      <c r="BK107" s="2" t="s">
        <v>5961</v>
      </c>
      <c r="BL107" s="2" t="s">
        <v>3659</v>
      </c>
      <c r="BM107" s="2" t="s">
        <v>5962</v>
      </c>
      <c r="BN107" s="2" t="s">
        <v>3635</v>
      </c>
      <c r="BO107" s="2" t="s">
        <v>3635</v>
      </c>
      <c r="BP107" s="2" t="s">
        <v>3635</v>
      </c>
      <c r="BQ107" s="2" t="s">
        <v>3635</v>
      </c>
      <c r="BR107" s="2" t="s">
        <v>3662</v>
      </c>
      <c r="BS107" s="2" t="s">
        <v>5963</v>
      </c>
      <c r="BT107" s="2" t="str">
        <f>HYPERLINK("https%3A%2F%2Fwww.webofscience.com%2Fwos%2Fwoscc%2Ffull-record%2FWOS:000186429400005","View Full Record in Web of Science")</f>
        <v>View Full Record in Web of Science</v>
      </c>
    </row>
    <row r="108" ht="15.75" customHeight="1">
      <c r="A108" s="2" t="s">
        <v>3633</v>
      </c>
      <c r="B108" s="2" t="s">
        <v>5964</v>
      </c>
      <c r="C108" s="2" t="s">
        <v>3635</v>
      </c>
      <c r="D108" s="2" t="s">
        <v>3635</v>
      </c>
      <c r="E108" s="2" t="s">
        <v>3635</v>
      </c>
      <c r="F108" s="2" t="s">
        <v>5965</v>
      </c>
      <c r="G108" s="2" t="s">
        <v>3635</v>
      </c>
      <c r="H108" s="2" t="s">
        <v>3635</v>
      </c>
      <c r="I108" s="2" t="s">
        <v>493</v>
      </c>
      <c r="J108" s="2" t="s">
        <v>5966</v>
      </c>
      <c r="K108" s="2" t="s">
        <v>3635</v>
      </c>
      <c r="L108" s="2" t="s">
        <v>3635</v>
      </c>
      <c r="M108" s="2" t="s">
        <v>3638</v>
      </c>
      <c r="N108" s="2" t="s">
        <v>21</v>
      </c>
      <c r="O108" s="2" t="s">
        <v>3635</v>
      </c>
      <c r="P108" s="2" t="s">
        <v>3635</v>
      </c>
      <c r="Q108" s="2" t="s">
        <v>3635</v>
      </c>
      <c r="R108" s="2" t="s">
        <v>3635</v>
      </c>
      <c r="S108" s="2" t="s">
        <v>3635</v>
      </c>
      <c r="T108" s="2" t="s">
        <v>5967</v>
      </c>
      <c r="U108" s="2" t="s">
        <v>3635</v>
      </c>
      <c r="V108" s="2" t="s">
        <v>5968</v>
      </c>
      <c r="W108" s="2" t="s">
        <v>5969</v>
      </c>
      <c r="X108" s="2" t="s">
        <v>5970</v>
      </c>
      <c r="Y108" s="2" t="s">
        <v>5971</v>
      </c>
      <c r="Z108" s="2" t="s">
        <v>5972</v>
      </c>
      <c r="AA108" s="2" t="s">
        <v>5973</v>
      </c>
      <c r="AB108" s="2" t="s">
        <v>3635</v>
      </c>
      <c r="AC108" s="2" t="s">
        <v>3635</v>
      </c>
      <c r="AD108" s="2" t="s">
        <v>3635</v>
      </c>
      <c r="AE108" s="2" t="s">
        <v>3635</v>
      </c>
      <c r="AF108" s="2" t="s">
        <v>3635</v>
      </c>
      <c r="AG108" s="2">
        <v>25.0</v>
      </c>
      <c r="AH108" s="2">
        <v>0.0</v>
      </c>
      <c r="AI108" s="2">
        <v>1.0</v>
      </c>
      <c r="AJ108" s="2">
        <v>2.0</v>
      </c>
      <c r="AK108" s="2">
        <v>8.0</v>
      </c>
      <c r="AL108" s="2" t="s">
        <v>5974</v>
      </c>
      <c r="AM108" s="2" t="s">
        <v>5975</v>
      </c>
      <c r="AN108" s="2" t="s">
        <v>5976</v>
      </c>
      <c r="AO108" s="2" t="s">
        <v>5977</v>
      </c>
      <c r="AP108" s="2" t="s">
        <v>5978</v>
      </c>
      <c r="AQ108" s="2" t="s">
        <v>3635</v>
      </c>
      <c r="AR108" s="2" t="s">
        <v>5979</v>
      </c>
      <c r="AS108" s="2" t="s">
        <v>5980</v>
      </c>
      <c r="AT108" s="2" t="s">
        <v>3635</v>
      </c>
      <c r="AU108" s="2">
        <v>2020.0</v>
      </c>
      <c r="AV108" s="2">
        <v>16.0</v>
      </c>
      <c r="AW108" s="2">
        <v>2.0</v>
      </c>
      <c r="AX108" s="2" t="s">
        <v>3635</v>
      </c>
      <c r="AY108" s="2" t="s">
        <v>3635</v>
      </c>
      <c r="AZ108" s="2" t="s">
        <v>3635</v>
      </c>
      <c r="BA108" s="2" t="s">
        <v>3635</v>
      </c>
      <c r="BB108" s="2">
        <v>147.0</v>
      </c>
      <c r="BC108" s="2">
        <v>171.0</v>
      </c>
      <c r="BD108" s="2" t="s">
        <v>3635</v>
      </c>
      <c r="BE108" s="2" t="s">
        <v>3635</v>
      </c>
      <c r="BF108" s="2" t="s">
        <v>3635</v>
      </c>
      <c r="BG108" s="2" t="s">
        <v>3635</v>
      </c>
      <c r="BH108" s="2" t="s">
        <v>3635</v>
      </c>
      <c r="BI108" s="2">
        <v>25.0</v>
      </c>
      <c r="BJ108" s="2" t="s">
        <v>4791</v>
      </c>
      <c r="BK108" s="2" t="s">
        <v>3658</v>
      </c>
      <c r="BL108" s="2" t="s">
        <v>3659</v>
      </c>
      <c r="BM108" s="2" t="s">
        <v>5981</v>
      </c>
      <c r="BN108" s="2" t="s">
        <v>3635</v>
      </c>
      <c r="BO108" s="2" t="s">
        <v>3635</v>
      </c>
      <c r="BP108" s="2" t="s">
        <v>3635</v>
      </c>
      <c r="BQ108" s="2" t="s">
        <v>3635</v>
      </c>
      <c r="BR108" s="2" t="s">
        <v>3662</v>
      </c>
      <c r="BS108" s="2" t="s">
        <v>5982</v>
      </c>
      <c r="BT108" s="2" t="str">
        <f>HYPERLINK("https%3A%2F%2Fwww.webofscience.com%2Fwos%2Fwoscc%2Ffull-record%2FWOS:000551922200003","View Full Record in Web of Science")</f>
        <v>View Full Record in Web of Science</v>
      </c>
    </row>
    <row r="109" ht="15.75" customHeight="1">
      <c r="A109" s="2" t="s">
        <v>3664</v>
      </c>
      <c r="B109" s="2" t="s">
        <v>5983</v>
      </c>
      <c r="C109" s="2" t="s">
        <v>3635</v>
      </c>
      <c r="D109" s="2" t="s">
        <v>3635</v>
      </c>
      <c r="E109" s="2" t="s">
        <v>3882</v>
      </c>
      <c r="F109" s="2" t="s">
        <v>5984</v>
      </c>
      <c r="G109" s="2" t="s">
        <v>3635</v>
      </c>
      <c r="H109" s="2" t="s">
        <v>3635</v>
      </c>
      <c r="I109" s="2" t="s">
        <v>674</v>
      </c>
      <c r="J109" s="2" t="s">
        <v>5985</v>
      </c>
      <c r="K109" s="2" t="s">
        <v>3635</v>
      </c>
      <c r="L109" s="2" t="s">
        <v>3635</v>
      </c>
      <c r="M109" s="2" t="s">
        <v>3638</v>
      </c>
      <c r="N109" s="2" t="s">
        <v>3669</v>
      </c>
      <c r="O109" s="2" t="s">
        <v>5986</v>
      </c>
      <c r="P109" s="2" t="s">
        <v>5987</v>
      </c>
      <c r="Q109" s="2" t="s">
        <v>4859</v>
      </c>
      <c r="R109" s="2" t="s">
        <v>3635</v>
      </c>
      <c r="S109" s="2" t="s">
        <v>3635</v>
      </c>
      <c r="T109" s="2" t="s">
        <v>5988</v>
      </c>
      <c r="U109" s="2" t="s">
        <v>3635</v>
      </c>
      <c r="V109" s="2" t="s">
        <v>5989</v>
      </c>
      <c r="W109" s="2" t="s">
        <v>5990</v>
      </c>
      <c r="X109" s="2" t="s">
        <v>5991</v>
      </c>
      <c r="Y109" s="2" t="s">
        <v>5992</v>
      </c>
      <c r="Z109" s="2" t="s">
        <v>5993</v>
      </c>
      <c r="AA109" s="2" t="s">
        <v>3635</v>
      </c>
      <c r="AB109" s="2" t="s">
        <v>3635</v>
      </c>
      <c r="AC109" s="2" t="s">
        <v>3635</v>
      </c>
      <c r="AD109" s="2" t="s">
        <v>3635</v>
      </c>
      <c r="AE109" s="2" t="s">
        <v>3635</v>
      </c>
      <c r="AF109" s="2" t="s">
        <v>3635</v>
      </c>
      <c r="AG109" s="2">
        <v>16.0</v>
      </c>
      <c r="AH109" s="2">
        <v>0.0</v>
      </c>
      <c r="AI109" s="2">
        <v>0.0</v>
      </c>
      <c r="AJ109" s="2">
        <v>0.0</v>
      </c>
      <c r="AK109" s="2">
        <v>2.0</v>
      </c>
      <c r="AL109" s="2" t="s">
        <v>3650</v>
      </c>
      <c r="AM109" s="2" t="s">
        <v>3651</v>
      </c>
      <c r="AN109" s="2" t="s">
        <v>3894</v>
      </c>
      <c r="AO109" s="2" t="s">
        <v>3635</v>
      </c>
      <c r="AP109" s="2" t="s">
        <v>3635</v>
      </c>
      <c r="AQ109" s="2" t="s">
        <v>5994</v>
      </c>
      <c r="AR109" s="2" t="s">
        <v>3635</v>
      </c>
      <c r="AS109" s="2" t="s">
        <v>3635</v>
      </c>
      <c r="AT109" s="2" t="s">
        <v>3635</v>
      </c>
      <c r="AU109" s="2">
        <v>2019.0</v>
      </c>
      <c r="AV109" s="2" t="s">
        <v>3635</v>
      </c>
      <c r="AW109" s="2" t="s">
        <v>3635</v>
      </c>
      <c r="AX109" s="2" t="s">
        <v>3635</v>
      </c>
      <c r="AY109" s="2" t="s">
        <v>3635</v>
      </c>
      <c r="AZ109" s="2" t="s">
        <v>3635</v>
      </c>
      <c r="BA109" s="2" t="s">
        <v>3635</v>
      </c>
      <c r="BB109" s="2" t="s">
        <v>3635</v>
      </c>
      <c r="BC109" s="2" t="s">
        <v>3635</v>
      </c>
      <c r="BD109" s="2" t="s">
        <v>3635</v>
      </c>
      <c r="BE109" s="2" t="s">
        <v>676</v>
      </c>
      <c r="BF109" s="3" t="str">
        <f>HYPERLINK("http://dx.doi.org/10.1145/3387168.3387208","http://dx.doi.org/10.1145/3387168.3387208")</f>
        <v>http://dx.doi.org/10.1145/3387168.3387208</v>
      </c>
      <c r="BG109" s="2" t="s">
        <v>3635</v>
      </c>
      <c r="BH109" s="2" t="s">
        <v>3635</v>
      </c>
      <c r="BI109" s="2">
        <v>5.0</v>
      </c>
      <c r="BJ109" s="2" t="s">
        <v>5995</v>
      </c>
      <c r="BK109" s="2" t="s">
        <v>3692</v>
      </c>
      <c r="BL109" s="2" t="s">
        <v>5996</v>
      </c>
      <c r="BM109" s="2" t="s">
        <v>5997</v>
      </c>
      <c r="BN109" s="2" t="s">
        <v>3635</v>
      </c>
      <c r="BO109" s="2" t="s">
        <v>3635</v>
      </c>
      <c r="BP109" s="2" t="s">
        <v>3635</v>
      </c>
      <c r="BQ109" s="2" t="s">
        <v>3635</v>
      </c>
      <c r="BR109" s="2" t="s">
        <v>3662</v>
      </c>
      <c r="BS109" s="2" t="s">
        <v>5998</v>
      </c>
      <c r="BT109" s="2" t="str">
        <f>HYPERLINK("https%3A%2F%2Fwww.webofscience.com%2Fwos%2Fwoscc%2Ffull-record%2FWOS:000631898400040","View Full Record in Web of Science")</f>
        <v>View Full Record in Web of Science</v>
      </c>
    </row>
    <row r="110" ht="15.75" customHeight="1">
      <c r="A110" s="2" t="s">
        <v>3633</v>
      </c>
      <c r="B110" s="2" t="s">
        <v>5999</v>
      </c>
      <c r="C110" s="2" t="s">
        <v>3635</v>
      </c>
      <c r="D110" s="2" t="s">
        <v>3635</v>
      </c>
      <c r="E110" s="2" t="s">
        <v>3635</v>
      </c>
      <c r="F110" s="2" t="s">
        <v>6000</v>
      </c>
      <c r="G110" s="2" t="s">
        <v>3635</v>
      </c>
      <c r="H110" s="2" t="s">
        <v>3635</v>
      </c>
      <c r="I110" s="2" t="s">
        <v>405</v>
      </c>
      <c r="J110" s="2" t="s">
        <v>6001</v>
      </c>
      <c r="K110" s="2" t="s">
        <v>3635</v>
      </c>
      <c r="L110" s="2" t="s">
        <v>3635</v>
      </c>
      <c r="M110" s="2" t="s">
        <v>3638</v>
      </c>
      <c r="N110" s="2" t="s">
        <v>21</v>
      </c>
      <c r="O110" s="2" t="s">
        <v>3635</v>
      </c>
      <c r="P110" s="2" t="s">
        <v>3635</v>
      </c>
      <c r="Q110" s="2" t="s">
        <v>3635</v>
      </c>
      <c r="R110" s="2" t="s">
        <v>3635</v>
      </c>
      <c r="S110" s="2" t="s">
        <v>3635</v>
      </c>
      <c r="T110" s="2" t="s">
        <v>6002</v>
      </c>
      <c r="U110" s="2" t="s">
        <v>6003</v>
      </c>
      <c r="V110" s="2" t="s">
        <v>6004</v>
      </c>
      <c r="W110" s="2" t="s">
        <v>6005</v>
      </c>
      <c r="X110" s="2" t="s">
        <v>6006</v>
      </c>
      <c r="Y110" s="2" t="s">
        <v>6007</v>
      </c>
      <c r="Z110" s="2" t="s">
        <v>6008</v>
      </c>
      <c r="AA110" s="2" t="s">
        <v>6009</v>
      </c>
      <c r="AB110" s="2" t="s">
        <v>6010</v>
      </c>
      <c r="AC110" s="2" t="s">
        <v>6011</v>
      </c>
      <c r="AD110" s="2" t="s">
        <v>6012</v>
      </c>
      <c r="AE110" s="2" t="s">
        <v>6013</v>
      </c>
      <c r="AF110" s="2" t="s">
        <v>3635</v>
      </c>
      <c r="AG110" s="2">
        <v>59.0</v>
      </c>
      <c r="AH110" s="2">
        <v>17.0</v>
      </c>
      <c r="AI110" s="2">
        <v>17.0</v>
      </c>
      <c r="AJ110" s="2">
        <v>15.0</v>
      </c>
      <c r="AK110" s="2">
        <v>106.0</v>
      </c>
      <c r="AL110" s="2" t="s">
        <v>3784</v>
      </c>
      <c r="AM110" s="2" t="s">
        <v>3785</v>
      </c>
      <c r="AN110" s="2" t="s">
        <v>3786</v>
      </c>
      <c r="AO110" s="2" t="s">
        <v>6014</v>
      </c>
      <c r="AP110" s="2" t="s">
        <v>6015</v>
      </c>
      <c r="AQ110" s="2" t="s">
        <v>3635</v>
      </c>
      <c r="AR110" s="2" t="s">
        <v>6016</v>
      </c>
      <c r="AS110" s="2" t="s">
        <v>6017</v>
      </c>
      <c r="AT110" s="2" t="s">
        <v>5367</v>
      </c>
      <c r="AU110" s="2">
        <v>2022.0</v>
      </c>
      <c r="AV110" s="2">
        <v>69.0</v>
      </c>
      <c r="AW110" s="2">
        <v>6.0</v>
      </c>
      <c r="AX110" s="2" t="s">
        <v>3635</v>
      </c>
      <c r="AY110" s="2" t="s">
        <v>3635</v>
      </c>
      <c r="AZ110" s="2" t="s">
        <v>3635</v>
      </c>
      <c r="BA110" s="2" t="s">
        <v>3635</v>
      </c>
      <c r="BB110" s="2">
        <v>3648.0</v>
      </c>
      <c r="BC110" s="2">
        <v>3659.0</v>
      </c>
      <c r="BD110" s="2" t="s">
        <v>3635</v>
      </c>
      <c r="BE110" s="2" t="s">
        <v>408</v>
      </c>
      <c r="BF110" s="3" t="str">
        <f>HYPERLINK("http://dx.doi.org/10.1109/TEM.2021.3102321","http://dx.doi.org/10.1109/TEM.2021.3102321")</f>
        <v>http://dx.doi.org/10.1109/TEM.2021.3102321</v>
      </c>
      <c r="BG110" s="2" t="s">
        <v>3635</v>
      </c>
      <c r="BH110" s="2" t="s">
        <v>6018</v>
      </c>
      <c r="BI110" s="2">
        <v>12.0</v>
      </c>
      <c r="BJ110" s="2" t="s">
        <v>6019</v>
      </c>
      <c r="BK110" s="2" t="s">
        <v>4378</v>
      </c>
      <c r="BL110" s="2" t="s">
        <v>6020</v>
      </c>
      <c r="BM110" s="2" t="s">
        <v>6021</v>
      </c>
      <c r="BN110" s="2" t="s">
        <v>3635</v>
      </c>
      <c r="BO110" s="2" t="s">
        <v>3635</v>
      </c>
      <c r="BP110" s="2" t="s">
        <v>3635</v>
      </c>
      <c r="BQ110" s="2" t="s">
        <v>3635</v>
      </c>
      <c r="BR110" s="2" t="s">
        <v>3662</v>
      </c>
      <c r="BS110" s="2" t="s">
        <v>6022</v>
      </c>
      <c r="BT110" s="2" t="str">
        <f>HYPERLINK("https%3A%2F%2Fwww.webofscience.com%2Fwos%2Fwoscc%2Ffull-record%2FWOS:000732671700001","View Full Record in Web of Science")</f>
        <v>View Full Record in Web of Science</v>
      </c>
    </row>
    <row r="111" ht="15.75" customHeight="1">
      <c r="A111" s="2" t="s">
        <v>3664</v>
      </c>
      <c r="B111" s="2" t="s">
        <v>6023</v>
      </c>
      <c r="C111" s="2" t="s">
        <v>3635</v>
      </c>
      <c r="D111" s="2" t="s">
        <v>6024</v>
      </c>
      <c r="E111" s="2" t="s">
        <v>3635</v>
      </c>
      <c r="F111" s="2" t="s">
        <v>6025</v>
      </c>
      <c r="G111" s="2" t="s">
        <v>3635</v>
      </c>
      <c r="H111" s="2" t="s">
        <v>3635</v>
      </c>
      <c r="I111" s="2" t="s">
        <v>361</v>
      </c>
      <c r="J111" s="2" t="s">
        <v>6026</v>
      </c>
      <c r="K111" s="2" t="s">
        <v>3635</v>
      </c>
      <c r="L111" s="2" t="s">
        <v>3635</v>
      </c>
      <c r="M111" s="2" t="s">
        <v>3638</v>
      </c>
      <c r="N111" s="2" t="s">
        <v>3669</v>
      </c>
      <c r="O111" s="2" t="s">
        <v>6027</v>
      </c>
      <c r="P111" s="2" t="s">
        <v>6028</v>
      </c>
      <c r="Q111" s="2" t="s">
        <v>3843</v>
      </c>
      <c r="R111" s="2" t="s">
        <v>6029</v>
      </c>
      <c r="S111" s="2" t="s">
        <v>3635</v>
      </c>
      <c r="T111" s="2" t="s">
        <v>6030</v>
      </c>
      <c r="U111" s="2" t="s">
        <v>3635</v>
      </c>
      <c r="V111" s="2" t="s">
        <v>6031</v>
      </c>
      <c r="W111" s="2" t="s">
        <v>6032</v>
      </c>
      <c r="X111" s="2" t="s">
        <v>6033</v>
      </c>
      <c r="Y111" s="2" t="s">
        <v>6034</v>
      </c>
      <c r="Z111" s="2" t="s">
        <v>3635</v>
      </c>
      <c r="AA111" s="2" t="s">
        <v>6035</v>
      </c>
      <c r="AB111" s="2" t="s">
        <v>6036</v>
      </c>
      <c r="AC111" s="2" t="s">
        <v>6037</v>
      </c>
      <c r="AD111" s="2" t="s">
        <v>6038</v>
      </c>
      <c r="AE111" s="2" t="s">
        <v>6039</v>
      </c>
      <c r="AF111" s="2" t="s">
        <v>3635</v>
      </c>
      <c r="AG111" s="2">
        <v>25.0</v>
      </c>
      <c r="AH111" s="2">
        <v>1.0</v>
      </c>
      <c r="AI111" s="2">
        <v>1.0</v>
      </c>
      <c r="AJ111" s="2">
        <v>1.0</v>
      </c>
      <c r="AK111" s="2">
        <v>2.0</v>
      </c>
      <c r="AL111" s="2" t="s">
        <v>6040</v>
      </c>
      <c r="AM111" s="2" t="s">
        <v>6041</v>
      </c>
      <c r="AN111" s="2" t="s">
        <v>6042</v>
      </c>
      <c r="AO111" s="2" t="s">
        <v>3635</v>
      </c>
      <c r="AP111" s="2" t="s">
        <v>3635</v>
      </c>
      <c r="AQ111" s="2" t="s">
        <v>6043</v>
      </c>
      <c r="AR111" s="2" t="s">
        <v>3635</v>
      </c>
      <c r="AS111" s="2" t="s">
        <v>3635</v>
      </c>
      <c r="AT111" s="2" t="s">
        <v>3635</v>
      </c>
      <c r="AU111" s="2">
        <v>2022.0</v>
      </c>
      <c r="AV111" s="2" t="s">
        <v>3635</v>
      </c>
      <c r="AW111" s="2" t="s">
        <v>3635</v>
      </c>
      <c r="AX111" s="2" t="s">
        <v>3635</v>
      </c>
      <c r="AY111" s="2" t="s">
        <v>3635</v>
      </c>
      <c r="AZ111" s="2" t="s">
        <v>3635</v>
      </c>
      <c r="BA111" s="2" t="s">
        <v>3635</v>
      </c>
      <c r="BB111" s="2">
        <v>26.0</v>
      </c>
      <c r="BC111" s="2">
        <v>37.0</v>
      </c>
      <c r="BD111" s="2" t="s">
        <v>3635</v>
      </c>
      <c r="BE111" s="2" t="s">
        <v>364</v>
      </c>
      <c r="BF111" s="3" t="str">
        <f>HYPERLINK("http://dx.doi.org/10.5220/0010976100003176","http://dx.doi.org/10.5220/0010976100003176")</f>
        <v>http://dx.doi.org/10.5220/0010976100003176</v>
      </c>
      <c r="BG111" s="2" t="s">
        <v>3635</v>
      </c>
      <c r="BH111" s="2" t="s">
        <v>3635</v>
      </c>
      <c r="BI111" s="2">
        <v>12.0</v>
      </c>
      <c r="BJ111" s="2" t="s">
        <v>3657</v>
      </c>
      <c r="BK111" s="2" t="s">
        <v>3692</v>
      </c>
      <c r="BL111" s="2" t="s">
        <v>3659</v>
      </c>
      <c r="BM111" s="2" t="s">
        <v>6044</v>
      </c>
      <c r="BN111" s="2" t="s">
        <v>3635</v>
      </c>
      <c r="BO111" s="2" t="s">
        <v>6045</v>
      </c>
      <c r="BP111" s="2" t="s">
        <v>3635</v>
      </c>
      <c r="BQ111" s="2" t="s">
        <v>3635</v>
      </c>
      <c r="BR111" s="2" t="s">
        <v>3662</v>
      </c>
      <c r="BS111" s="2" t="s">
        <v>6046</v>
      </c>
      <c r="BT111" s="2" t="str">
        <f>HYPERLINK("https%3A%2F%2Fwww.webofscience.com%2Fwos%2Fwoscc%2Ffull-record%2FWOS:000814765400002","View Full Record in Web of Science")</f>
        <v>View Full Record in Web of Science</v>
      </c>
    </row>
    <row r="112" ht="15.75" customHeight="1">
      <c r="A112" s="2" t="s">
        <v>3633</v>
      </c>
      <c r="B112" s="2" t="s">
        <v>6047</v>
      </c>
      <c r="C112" s="2" t="s">
        <v>3635</v>
      </c>
      <c r="D112" s="2" t="s">
        <v>3635</v>
      </c>
      <c r="E112" s="2" t="s">
        <v>3635</v>
      </c>
      <c r="F112" s="2" t="s">
        <v>6048</v>
      </c>
      <c r="G112" s="2" t="s">
        <v>3635</v>
      </c>
      <c r="H112" s="2" t="s">
        <v>3635</v>
      </c>
      <c r="I112" s="2" t="s">
        <v>924</v>
      </c>
      <c r="J112" s="2" t="s">
        <v>6049</v>
      </c>
      <c r="K112" s="2" t="s">
        <v>3635</v>
      </c>
      <c r="L112" s="2" t="s">
        <v>3635</v>
      </c>
      <c r="M112" s="2" t="s">
        <v>3638</v>
      </c>
      <c r="N112" s="2" t="s">
        <v>21</v>
      </c>
      <c r="O112" s="2" t="s">
        <v>3635</v>
      </c>
      <c r="P112" s="2" t="s">
        <v>3635</v>
      </c>
      <c r="Q112" s="2" t="s">
        <v>3635</v>
      </c>
      <c r="R112" s="2" t="s">
        <v>3635</v>
      </c>
      <c r="S112" s="2" t="s">
        <v>3635</v>
      </c>
      <c r="T112" s="2" t="s">
        <v>6050</v>
      </c>
      <c r="U112" s="2" t="s">
        <v>6051</v>
      </c>
      <c r="V112" s="2" t="s">
        <v>6052</v>
      </c>
      <c r="W112" s="2" t="s">
        <v>6053</v>
      </c>
      <c r="X112" s="2" t="s">
        <v>6054</v>
      </c>
      <c r="Y112" s="2" t="s">
        <v>6055</v>
      </c>
      <c r="Z112" s="2" t="s">
        <v>6056</v>
      </c>
      <c r="AA112" s="2" t="s">
        <v>3635</v>
      </c>
      <c r="AB112" s="2" t="s">
        <v>3635</v>
      </c>
      <c r="AC112" s="2" t="s">
        <v>6057</v>
      </c>
      <c r="AD112" s="2" t="s">
        <v>6058</v>
      </c>
      <c r="AE112" s="2" t="s">
        <v>6059</v>
      </c>
      <c r="AF112" s="2" t="s">
        <v>3635</v>
      </c>
      <c r="AG112" s="2">
        <v>30.0</v>
      </c>
      <c r="AH112" s="2">
        <v>11.0</v>
      </c>
      <c r="AI112" s="2">
        <v>12.0</v>
      </c>
      <c r="AJ112" s="2">
        <v>3.0</v>
      </c>
      <c r="AK112" s="2">
        <v>43.0</v>
      </c>
      <c r="AL112" s="2" t="s">
        <v>5480</v>
      </c>
      <c r="AM112" s="2" t="s">
        <v>3915</v>
      </c>
      <c r="AN112" s="2" t="s">
        <v>5481</v>
      </c>
      <c r="AO112" s="2" t="s">
        <v>6060</v>
      </c>
      <c r="AP112" s="2" t="s">
        <v>6061</v>
      </c>
      <c r="AQ112" s="2" t="s">
        <v>3635</v>
      </c>
      <c r="AR112" s="2" t="s">
        <v>6062</v>
      </c>
      <c r="AS112" s="2" t="s">
        <v>6063</v>
      </c>
      <c r="AT112" s="2" t="s">
        <v>3953</v>
      </c>
      <c r="AU112" s="2">
        <v>2018.0</v>
      </c>
      <c r="AV112" s="2">
        <v>80.0</v>
      </c>
      <c r="AW112" s="2" t="s">
        <v>3635</v>
      </c>
      <c r="AX112" s="2" t="s">
        <v>3635</v>
      </c>
      <c r="AY112" s="2" t="s">
        <v>3635</v>
      </c>
      <c r="AZ112" s="2" t="s">
        <v>3635</v>
      </c>
      <c r="BA112" s="2" t="s">
        <v>3635</v>
      </c>
      <c r="BB112" s="2">
        <v>174.0</v>
      </c>
      <c r="BC112" s="2">
        <v>184.0</v>
      </c>
      <c r="BD112" s="2" t="s">
        <v>3635</v>
      </c>
      <c r="BE112" s="2" t="s">
        <v>927</v>
      </c>
      <c r="BF112" s="3" t="str">
        <f>HYPERLINK("http://dx.doi.org/10.1016/j.conengprac.2018.08.015","http://dx.doi.org/10.1016/j.conengprac.2018.08.015")</f>
        <v>http://dx.doi.org/10.1016/j.conengprac.2018.08.015</v>
      </c>
      <c r="BG112" s="2" t="s">
        <v>3635</v>
      </c>
      <c r="BH112" s="2" t="s">
        <v>3635</v>
      </c>
      <c r="BI112" s="2">
        <v>11.0</v>
      </c>
      <c r="BJ112" s="2" t="s">
        <v>6064</v>
      </c>
      <c r="BK112" s="2" t="s">
        <v>3658</v>
      </c>
      <c r="BL112" s="2" t="s">
        <v>6065</v>
      </c>
      <c r="BM112" s="2" t="s">
        <v>6066</v>
      </c>
      <c r="BN112" s="2" t="s">
        <v>3635</v>
      </c>
      <c r="BO112" s="2" t="s">
        <v>3635</v>
      </c>
      <c r="BP112" s="2" t="s">
        <v>3635</v>
      </c>
      <c r="BQ112" s="2" t="s">
        <v>3635</v>
      </c>
      <c r="BR112" s="2" t="s">
        <v>3662</v>
      </c>
      <c r="BS112" s="2" t="s">
        <v>6067</v>
      </c>
      <c r="BT112" s="2" t="str">
        <f>HYPERLINK("https%3A%2F%2Fwww.webofscience.com%2Fwos%2Fwoscc%2Ffull-record%2FWOS:000447483500016","View Full Record in Web of Science")</f>
        <v>View Full Record in Web of Science</v>
      </c>
    </row>
    <row r="113" ht="15.75" customHeight="1">
      <c r="A113" s="2" t="s">
        <v>3633</v>
      </c>
      <c r="B113" s="2" t="s">
        <v>6068</v>
      </c>
      <c r="C113" s="2" t="s">
        <v>3635</v>
      </c>
      <c r="D113" s="2" t="s">
        <v>3635</v>
      </c>
      <c r="E113" s="2" t="s">
        <v>3635</v>
      </c>
      <c r="F113" s="2" t="s">
        <v>6069</v>
      </c>
      <c r="G113" s="2" t="s">
        <v>3635</v>
      </c>
      <c r="H113" s="2" t="s">
        <v>3635</v>
      </c>
      <c r="I113" s="2" t="s">
        <v>237</v>
      </c>
      <c r="J113" s="2" t="s">
        <v>6070</v>
      </c>
      <c r="K113" s="2" t="s">
        <v>3635</v>
      </c>
      <c r="L113" s="2" t="s">
        <v>3635</v>
      </c>
      <c r="M113" s="2" t="s">
        <v>3638</v>
      </c>
      <c r="N113" s="2" t="s">
        <v>21</v>
      </c>
      <c r="O113" s="2" t="s">
        <v>3635</v>
      </c>
      <c r="P113" s="2" t="s">
        <v>3635</v>
      </c>
      <c r="Q113" s="2" t="s">
        <v>3635</v>
      </c>
      <c r="R113" s="2" t="s">
        <v>3635</v>
      </c>
      <c r="S113" s="2" t="s">
        <v>3635</v>
      </c>
      <c r="T113" s="2" t="s">
        <v>6071</v>
      </c>
      <c r="U113" s="2" t="s">
        <v>3635</v>
      </c>
      <c r="V113" s="2" t="s">
        <v>6072</v>
      </c>
      <c r="W113" s="2" t="s">
        <v>6073</v>
      </c>
      <c r="X113" s="2" t="s">
        <v>6074</v>
      </c>
      <c r="Y113" s="2" t="s">
        <v>6075</v>
      </c>
      <c r="Z113" s="2" t="s">
        <v>6076</v>
      </c>
      <c r="AA113" s="2" t="s">
        <v>3635</v>
      </c>
      <c r="AB113" s="2" t="s">
        <v>3635</v>
      </c>
      <c r="AC113" s="2" t="s">
        <v>6077</v>
      </c>
      <c r="AD113" s="2" t="s">
        <v>6078</v>
      </c>
      <c r="AE113" s="2" t="s">
        <v>6079</v>
      </c>
      <c r="AF113" s="2" t="s">
        <v>3635</v>
      </c>
      <c r="AG113" s="2">
        <v>27.0</v>
      </c>
      <c r="AH113" s="2">
        <v>0.0</v>
      </c>
      <c r="AI113" s="2">
        <v>0.0</v>
      </c>
      <c r="AJ113" s="2">
        <v>1.0</v>
      </c>
      <c r="AK113" s="2">
        <v>1.0</v>
      </c>
      <c r="AL113" s="2" t="s">
        <v>3784</v>
      </c>
      <c r="AM113" s="2" t="s">
        <v>3785</v>
      </c>
      <c r="AN113" s="2" t="s">
        <v>3786</v>
      </c>
      <c r="AO113" s="2" t="s">
        <v>6080</v>
      </c>
      <c r="AP113" s="2" t="s">
        <v>6081</v>
      </c>
      <c r="AQ113" s="2" t="s">
        <v>3635</v>
      </c>
      <c r="AR113" s="2" t="s">
        <v>6082</v>
      </c>
      <c r="AS113" s="2" t="s">
        <v>6083</v>
      </c>
      <c r="AT113" s="2" t="s">
        <v>6084</v>
      </c>
      <c r="AU113" s="2">
        <v>2024.0</v>
      </c>
      <c r="AV113" s="2">
        <v>24.0</v>
      </c>
      <c r="AW113" s="2">
        <v>6.0</v>
      </c>
      <c r="AX113" s="2" t="s">
        <v>3635</v>
      </c>
      <c r="AY113" s="2" t="s">
        <v>3635</v>
      </c>
      <c r="AZ113" s="2" t="s">
        <v>3635</v>
      </c>
      <c r="BA113" s="2" t="s">
        <v>3635</v>
      </c>
      <c r="BB113" s="2">
        <v>7537.0</v>
      </c>
      <c r="BC113" s="2">
        <v>7547.0</v>
      </c>
      <c r="BD113" s="2" t="s">
        <v>3635</v>
      </c>
      <c r="BE113" s="2" t="s">
        <v>240</v>
      </c>
      <c r="BF113" s="3" t="str">
        <f>HYPERLINK("http://dx.doi.org/10.1109/JSEN.2024.3354415","http://dx.doi.org/10.1109/JSEN.2024.3354415")</f>
        <v>http://dx.doi.org/10.1109/JSEN.2024.3354415</v>
      </c>
      <c r="BG113" s="2" t="s">
        <v>3635</v>
      </c>
      <c r="BH113" s="2" t="s">
        <v>3635</v>
      </c>
      <c r="BI113" s="2">
        <v>11.0</v>
      </c>
      <c r="BJ113" s="2" t="s">
        <v>6085</v>
      </c>
      <c r="BK113" s="2" t="s">
        <v>3658</v>
      </c>
      <c r="BL113" s="2" t="s">
        <v>6086</v>
      </c>
      <c r="BM113" s="2" t="s">
        <v>6087</v>
      </c>
      <c r="BN113" s="2" t="s">
        <v>3635</v>
      </c>
      <c r="BO113" s="2" t="s">
        <v>3635</v>
      </c>
      <c r="BP113" s="2" t="s">
        <v>3635</v>
      </c>
      <c r="BQ113" s="2" t="s">
        <v>3635</v>
      </c>
      <c r="BR113" s="2" t="s">
        <v>3662</v>
      </c>
      <c r="BS113" s="2" t="s">
        <v>6088</v>
      </c>
      <c r="BT113" s="2" t="str">
        <f>HYPERLINK("https%3A%2F%2Fwww.webofscience.com%2Fwos%2Fwoscc%2Ffull-record%2FWOS:001197673400034","View Full Record in Web of Science")</f>
        <v>View Full Record in Web of Science</v>
      </c>
    </row>
    <row r="114" ht="15.75" customHeight="1">
      <c r="A114" s="2" t="s">
        <v>3633</v>
      </c>
      <c r="B114" s="2" t="s">
        <v>6089</v>
      </c>
      <c r="C114" s="2" t="s">
        <v>3635</v>
      </c>
      <c r="D114" s="2" t="s">
        <v>3635</v>
      </c>
      <c r="E114" s="2" t="s">
        <v>3635</v>
      </c>
      <c r="F114" s="2" t="s">
        <v>6090</v>
      </c>
      <c r="G114" s="2" t="s">
        <v>3635</v>
      </c>
      <c r="H114" s="2" t="s">
        <v>6091</v>
      </c>
      <c r="I114" s="2" t="s">
        <v>6092</v>
      </c>
      <c r="J114" s="2" t="s">
        <v>6093</v>
      </c>
      <c r="K114" s="2" t="s">
        <v>3635</v>
      </c>
      <c r="L114" s="2" t="s">
        <v>3635</v>
      </c>
      <c r="M114" s="2" t="s">
        <v>3638</v>
      </c>
      <c r="N114" s="2" t="s">
        <v>21</v>
      </c>
      <c r="O114" s="2" t="s">
        <v>3635</v>
      </c>
      <c r="P114" s="2" t="s">
        <v>3635</v>
      </c>
      <c r="Q114" s="2" t="s">
        <v>3635</v>
      </c>
      <c r="R114" s="2" t="s">
        <v>3635</v>
      </c>
      <c r="S114" s="2" t="s">
        <v>3635</v>
      </c>
      <c r="T114" s="2" t="s">
        <v>3635</v>
      </c>
      <c r="U114" s="2" t="s">
        <v>6094</v>
      </c>
      <c r="V114" s="2" t="s">
        <v>6095</v>
      </c>
      <c r="W114" s="2" t="s">
        <v>6096</v>
      </c>
      <c r="X114" s="2" t="s">
        <v>6097</v>
      </c>
      <c r="Y114" s="2" t="s">
        <v>6098</v>
      </c>
      <c r="Z114" s="2" t="s">
        <v>6099</v>
      </c>
      <c r="AA114" s="2" t="s">
        <v>6100</v>
      </c>
      <c r="AB114" s="2" t="s">
        <v>6101</v>
      </c>
      <c r="AC114" s="2" t="s">
        <v>6102</v>
      </c>
      <c r="AD114" s="2" t="s">
        <v>6103</v>
      </c>
      <c r="AE114" s="2" t="s">
        <v>6104</v>
      </c>
      <c r="AF114" s="2" t="s">
        <v>3635</v>
      </c>
      <c r="AG114" s="2">
        <v>17.0</v>
      </c>
      <c r="AH114" s="2">
        <v>44.0</v>
      </c>
      <c r="AI114" s="2">
        <v>47.0</v>
      </c>
      <c r="AJ114" s="2">
        <v>0.0</v>
      </c>
      <c r="AK114" s="2">
        <v>6.0</v>
      </c>
      <c r="AL114" s="2" t="s">
        <v>4667</v>
      </c>
      <c r="AM114" s="2" t="s">
        <v>4668</v>
      </c>
      <c r="AN114" s="2" t="s">
        <v>4669</v>
      </c>
      <c r="AO114" s="2" t="s">
        <v>6105</v>
      </c>
      <c r="AP114" s="2" t="s">
        <v>3635</v>
      </c>
      <c r="AQ114" s="2" t="s">
        <v>3635</v>
      </c>
      <c r="AR114" s="2" t="s">
        <v>6106</v>
      </c>
      <c r="AS114" s="2" t="s">
        <v>6107</v>
      </c>
      <c r="AT114" s="2" t="s">
        <v>5486</v>
      </c>
      <c r="AU114" s="2">
        <v>2010.0</v>
      </c>
      <c r="AV114" s="2">
        <v>7.0</v>
      </c>
      <c r="AW114" s="2" t="s">
        <v>3635</v>
      </c>
      <c r="AX114" s="2" t="s">
        <v>3635</v>
      </c>
      <c r="AY114" s="2">
        <v>1.0</v>
      </c>
      <c r="AZ114" s="2" t="s">
        <v>3635</v>
      </c>
      <c r="BA114" s="2" t="s">
        <v>3635</v>
      </c>
      <c r="BB114" s="2" t="s">
        <v>6108</v>
      </c>
      <c r="BC114" s="2" t="s">
        <v>6109</v>
      </c>
      <c r="BD114" s="2" t="s">
        <v>3635</v>
      </c>
      <c r="BE114" s="2" t="s">
        <v>6110</v>
      </c>
      <c r="BF114" s="3" t="str">
        <f>HYPERLINK("http://dx.doi.org/10.1177/1740774510373494","http://dx.doi.org/10.1177/1740774510373494")</f>
        <v>http://dx.doi.org/10.1177/1740774510373494</v>
      </c>
      <c r="BG114" s="2" t="s">
        <v>3635</v>
      </c>
      <c r="BH114" s="2" t="s">
        <v>3635</v>
      </c>
      <c r="BI114" s="2">
        <v>13.0</v>
      </c>
      <c r="BJ114" s="2" t="s">
        <v>6111</v>
      </c>
      <c r="BK114" s="2" t="s">
        <v>3658</v>
      </c>
      <c r="BL114" s="2" t="s">
        <v>6112</v>
      </c>
      <c r="BM114" s="2" t="s">
        <v>6113</v>
      </c>
      <c r="BN114" s="2">
        <v>2.0595243E7</v>
      </c>
      <c r="BO114" s="2" t="s">
        <v>4701</v>
      </c>
      <c r="BP114" s="2" t="s">
        <v>3635</v>
      </c>
      <c r="BQ114" s="2" t="s">
        <v>3635</v>
      </c>
      <c r="BR114" s="2" t="s">
        <v>3662</v>
      </c>
      <c r="BS114" s="2" t="s">
        <v>6114</v>
      </c>
      <c r="BT114" s="2" t="str">
        <f>HYPERLINK("https%3A%2F%2Fwww.webofscience.com%2Fwos%2Fwoscc%2Ffull-record%2FWOS:000280707300006","View Full Record in Web of Science")</f>
        <v>View Full Record in Web of Science</v>
      </c>
    </row>
    <row r="115" ht="15.75" customHeight="1">
      <c r="A115" s="2" t="s">
        <v>3633</v>
      </c>
      <c r="B115" s="2" t="s">
        <v>6115</v>
      </c>
      <c r="C115" s="2" t="s">
        <v>3635</v>
      </c>
      <c r="D115" s="2" t="s">
        <v>3635</v>
      </c>
      <c r="E115" s="2" t="s">
        <v>3635</v>
      </c>
      <c r="F115" s="2" t="s">
        <v>6116</v>
      </c>
      <c r="G115" s="2" t="s">
        <v>3635</v>
      </c>
      <c r="H115" s="2" t="s">
        <v>3635</v>
      </c>
      <c r="I115" s="2" t="s">
        <v>400</v>
      </c>
      <c r="J115" s="2" t="s">
        <v>6117</v>
      </c>
      <c r="K115" s="2" t="s">
        <v>3635</v>
      </c>
      <c r="L115" s="2" t="s">
        <v>3635</v>
      </c>
      <c r="M115" s="2" t="s">
        <v>3638</v>
      </c>
      <c r="N115" s="2" t="s">
        <v>21</v>
      </c>
      <c r="O115" s="2" t="s">
        <v>3635</v>
      </c>
      <c r="P115" s="2" t="s">
        <v>3635</v>
      </c>
      <c r="Q115" s="2" t="s">
        <v>3635</v>
      </c>
      <c r="R115" s="2" t="s">
        <v>3635</v>
      </c>
      <c r="S115" s="2" t="s">
        <v>3635</v>
      </c>
      <c r="T115" s="2" t="s">
        <v>6118</v>
      </c>
      <c r="U115" s="2" t="s">
        <v>6119</v>
      </c>
      <c r="V115" s="2" t="s">
        <v>6120</v>
      </c>
      <c r="W115" s="2" t="s">
        <v>6121</v>
      </c>
      <c r="X115" s="2" t="s">
        <v>6122</v>
      </c>
      <c r="Y115" s="2" t="s">
        <v>6123</v>
      </c>
      <c r="Z115" s="2" t="s">
        <v>6124</v>
      </c>
      <c r="AA115" s="2" t="s">
        <v>6125</v>
      </c>
      <c r="AB115" s="2" t="s">
        <v>6126</v>
      </c>
      <c r="AC115" s="2" t="s">
        <v>6127</v>
      </c>
      <c r="AD115" s="2" t="s">
        <v>6128</v>
      </c>
      <c r="AE115" s="2" t="s">
        <v>6129</v>
      </c>
      <c r="AF115" s="2" t="s">
        <v>3635</v>
      </c>
      <c r="AG115" s="2">
        <v>99.0</v>
      </c>
      <c r="AH115" s="2">
        <v>14.0</v>
      </c>
      <c r="AI115" s="2">
        <v>14.0</v>
      </c>
      <c r="AJ115" s="2">
        <v>0.0</v>
      </c>
      <c r="AK115" s="2">
        <v>8.0</v>
      </c>
      <c r="AL115" s="2" t="s">
        <v>3709</v>
      </c>
      <c r="AM115" s="2" t="s">
        <v>3710</v>
      </c>
      <c r="AN115" s="2" t="s">
        <v>3711</v>
      </c>
      <c r="AO115" s="2" t="s">
        <v>6130</v>
      </c>
      <c r="AP115" s="2" t="s">
        <v>6131</v>
      </c>
      <c r="AQ115" s="2" t="s">
        <v>3635</v>
      </c>
      <c r="AR115" s="2" t="s">
        <v>6132</v>
      </c>
      <c r="AS115" s="2" t="s">
        <v>6133</v>
      </c>
      <c r="AT115" s="2" t="s">
        <v>4984</v>
      </c>
      <c r="AU115" s="2">
        <v>2022.0</v>
      </c>
      <c r="AV115" s="2">
        <v>42.0</v>
      </c>
      <c r="AW115" s="2">
        <v>6.0</v>
      </c>
      <c r="AX115" s="2" t="s">
        <v>3635</v>
      </c>
      <c r="AY115" s="2" t="s">
        <v>3635</v>
      </c>
      <c r="AZ115" s="2" t="s">
        <v>3717</v>
      </c>
      <c r="BA115" s="2" t="s">
        <v>3635</v>
      </c>
      <c r="BB115" s="2">
        <v>1155.0</v>
      </c>
      <c r="BC115" s="2">
        <v>1178.0</v>
      </c>
      <c r="BD115" s="2" t="s">
        <v>3635</v>
      </c>
      <c r="BE115" s="2" t="s">
        <v>403</v>
      </c>
      <c r="BF115" s="3" t="str">
        <f>HYPERLINK("http://dx.doi.org/10.1111/risa.13759","http://dx.doi.org/10.1111/risa.13759")</f>
        <v>http://dx.doi.org/10.1111/risa.13759</v>
      </c>
      <c r="BG115" s="2" t="s">
        <v>3635</v>
      </c>
      <c r="BH115" s="2" t="s">
        <v>6134</v>
      </c>
      <c r="BI115" s="2">
        <v>24.0</v>
      </c>
      <c r="BJ115" s="2" t="s">
        <v>6135</v>
      </c>
      <c r="BK115" s="2" t="s">
        <v>4378</v>
      </c>
      <c r="BL115" s="2" t="s">
        <v>6136</v>
      </c>
      <c r="BM115" s="2" t="s">
        <v>6137</v>
      </c>
      <c r="BN115" s="2">
        <v>3.4146433E7</v>
      </c>
      <c r="BO115" s="2" t="s">
        <v>6138</v>
      </c>
      <c r="BP115" s="2" t="s">
        <v>3635</v>
      </c>
      <c r="BQ115" s="2" t="s">
        <v>3635</v>
      </c>
      <c r="BR115" s="2" t="s">
        <v>3662</v>
      </c>
      <c r="BS115" s="2" t="s">
        <v>6139</v>
      </c>
      <c r="BT115" s="2" t="str">
        <f>HYPERLINK("https%3A%2F%2Fwww.webofscience.com%2Fwos%2Fwoscc%2Ffull-record%2FWOS:000663398200001","View Full Record in Web of Science")</f>
        <v>View Full Record in Web of Science</v>
      </c>
    </row>
    <row r="116" ht="15.75" customHeight="1">
      <c r="A116" s="2" t="s">
        <v>3664</v>
      </c>
      <c r="B116" s="2" t="s">
        <v>6140</v>
      </c>
      <c r="C116" s="2" t="s">
        <v>3635</v>
      </c>
      <c r="D116" s="2" t="s">
        <v>6141</v>
      </c>
      <c r="E116" s="2" t="s">
        <v>3635</v>
      </c>
      <c r="F116" s="2" t="s">
        <v>6140</v>
      </c>
      <c r="G116" s="2" t="s">
        <v>3635</v>
      </c>
      <c r="H116" s="2" t="s">
        <v>3635</v>
      </c>
      <c r="I116" s="2" t="s">
        <v>6142</v>
      </c>
      <c r="J116" s="2" t="s">
        <v>6143</v>
      </c>
      <c r="K116" s="2" t="s">
        <v>6144</v>
      </c>
      <c r="L116" s="2" t="s">
        <v>3635</v>
      </c>
      <c r="M116" s="2" t="s">
        <v>3638</v>
      </c>
      <c r="N116" s="2" t="s">
        <v>3669</v>
      </c>
      <c r="O116" s="2" t="s">
        <v>6145</v>
      </c>
      <c r="P116" s="2" t="s">
        <v>6146</v>
      </c>
      <c r="Q116" s="2" t="s">
        <v>6147</v>
      </c>
      <c r="R116" s="2" t="s">
        <v>6148</v>
      </c>
      <c r="S116" s="2" t="s">
        <v>3635</v>
      </c>
      <c r="T116" s="2" t="s">
        <v>6149</v>
      </c>
      <c r="U116" s="2" t="s">
        <v>6150</v>
      </c>
      <c r="V116" s="2" t="s">
        <v>6151</v>
      </c>
      <c r="W116" s="2" t="s">
        <v>6152</v>
      </c>
      <c r="X116" s="2" t="s">
        <v>4782</v>
      </c>
      <c r="Y116" s="2" t="s">
        <v>6153</v>
      </c>
      <c r="Z116" s="2" t="s">
        <v>3635</v>
      </c>
      <c r="AA116" s="2" t="s">
        <v>3635</v>
      </c>
      <c r="AB116" s="2" t="s">
        <v>3635</v>
      </c>
      <c r="AC116" s="2" t="s">
        <v>3635</v>
      </c>
      <c r="AD116" s="2" t="s">
        <v>3635</v>
      </c>
      <c r="AE116" s="2" t="s">
        <v>3635</v>
      </c>
      <c r="AF116" s="2" t="s">
        <v>3635</v>
      </c>
      <c r="AG116" s="2">
        <v>18.0</v>
      </c>
      <c r="AH116" s="2">
        <v>0.0</v>
      </c>
      <c r="AI116" s="2">
        <v>0.0</v>
      </c>
      <c r="AJ116" s="2">
        <v>0.0</v>
      </c>
      <c r="AK116" s="2">
        <v>0.0</v>
      </c>
      <c r="AL116" s="2" t="s">
        <v>6154</v>
      </c>
      <c r="AM116" s="2" t="s">
        <v>3651</v>
      </c>
      <c r="AN116" s="2" t="s">
        <v>6155</v>
      </c>
      <c r="AO116" s="2" t="s">
        <v>6156</v>
      </c>
      <c r="AP116" s="2" t="s">
        <v>3635</v>
      </c>
      <c r="AQ116" s="2" t="s">
        <v>6157</v>
      </c>
      <c r="AR116" s="2" t="s">
        <v>6158</v>
      </c>
      <c r="AS116" s="2" t="s">
        <v>3635</v>
      </c>
      <c r="AT116" s="2" t="s">
        <v>3635</v>
      </c>
      <c r="AU116" s="2">
        <v>2005.0</v>
      </c>
      <c r="AV116" s="2">
        <v>184.0</v>
      </c>
      <c r="AW116" s="2" t="s">
        <v>3635</v>
      </c>
      <c r="AX116" s="2" t="s">
        <v>3635</v>
      </c>
      <c r="AY116" s="2" t="s">
        <v>3635</v>
      </c>
      <c r="AZ116" s="2" t="s">
        <v>3635</v>
      </c>
      <c r="BA116" s="2" t="s">
        <v>3635</v>
      </c>
      <c r="BB116" s="2">
        <v>289.0</v>
      </c>
      <c r="BC116" s="2">
        <v>300.0</v>
      </c>
      <c r="BD116" s="2" t="s">
        <v>3635</v>
      </c>
      <c r="BE116" s="2" t="s">
        <v>3635</v>
      </c>
      <c r="BF116" s="2" t="s">
        <v>3635</v>
      </c>
      <c r="BG116" s="2" t="s">
        <v>3635</v>
      </c>
      <c r="BH116" s="2" t="s">
        <v>3635</v>
      </c>
      <c r="BI116" s="2">
        <v>12.0</v>
      </c>
      <c r="BJ116" s="2" t="s">
        <v>6159</v>
      </c>
      <c r="BK116" s="2" t="s">
        <v>3692</v>
      </c>
      <c r="BL116" s="2" t="s">
        <v>3741</v>
      </c>
      <c r="BM116" s="2" t="s">
        <v>6160</v>
      </c>
      <c r="BN116" s="2" t="s">
        <v>3635</v>
      </c>
      <c r="BO116" s="2" t="s">
        <v>3635</v>
      </c>
      <c r="BP116" s="2" t="s">
        <v>3635</v>
      </c>
      <c r="BQ116" s="2" t="s">
        <v>3635</v>
      </c>
      <c r="BR116" s="2" t="s">
        <v>3662</v>
      </c>
      <c r="BS116" s="2" t="s">
        <v>6161</v>
      </c>
      <c r="BT116" s="2" t="str">
        <f>HYPERLINK("https%3A%2F%2Fwww.webofscience.com%2Fwos%2Fwoscc%2Ffull-record%2FWOS:000231560800028","View Full Record in Web of Science")</f>
        <v>View Full Record in Web of Science</v>
      </c>
    </row>
    <row r="117" ht="15.75" customHeight="1">
      <c r="A117" s="2" t="s">
        <v>3664</v>
      </c>
      <c r="B117" s="2" t="s">
        <v>6162</v>
      </c>
      <c r="C117" s="2" t="s">
        <v>3635</v>
      </c>
      <c r="D117" s="2" t="s">
        <v>6163</v>
      </c>
      <c r="E117" s="2" t="s">
        <v>3635</v>
      </c>
      <c r="F117" s="2" t="s">
        <v>6164</v>
      </c>
      <c r="G117" s="2" t="s">
        <v>3635</v>
      </c>
      <c r="H117" s="2" t="s">
        <v>3635</v>
      </c>
      <c r="I117" s="2" t="s">
        <v>6165</v>
      </c>
      <c r="J117" s="2" t="s">
        <v>6166</v>
      </c>
      <c r="K117" s="2" t="s">
        <v>6167</v>
      </c>
      <c r="L117" s="2" t="s">
        <v>3635</v>
      </c>
      <c r="M117" s="2" t="s">
        <v>3638</v>
      </c>
      <c r="N117" s="2" t="s">
        <v>3669</v>
      </c>
      <c r="O117" s="2" t="s">
        <v>6168</v>
      </c>
      <c r="P117" s="2" t="s">
        <v>6169</v>
      </c>
      <c r="Q117" s="2" t="s">
        <v>3843</v>
      </c>
      <c r="R117" s="2" t="s">
        <v>6170</v>
      </c>
      <c r="S117" s="2" t="s">
        <v>3635</v>
      </c>
      <c r="T117" s="2" t="s">
        <v>6171</v>
      </c>
      <c r="U117" s="2" t="s">
        <v>6172</v>
      </c>
      <c r="V117" s="2" t="s">
        <v>6173</v>
      </c>
      <c r="W117" s="2" t="s">
        <v>6174</v>
      </c>
      <c r="X117" s="2" t="s">
        <v>6175</v>
      </c>
      <c r="Y117" s="2" t="s">
        <v>6176</v>
      </c>
      <c r="Z117" s="2" t="s">
        <v>6177</v>
      </c>
      <c r="AA117" s="2" t="s">
        <v>3635</v>
      </c>
      <c r="AB117" s="2" t="s">
        <v>6178</v>
      </c>
      <c r="AC117" s="2" t="s">
        <v>3635</v>
      </c>
      <c r="AD117" s="2" t="s">
        <v>3635</v>
      </c>
      <c r="AE117" s="2" t="s">
        <v>3635</v>
      </c>
      <c r="AF117" s="2" t="s">
        <v>3635</v>
      </c>
      <c r="AG117" s="2">
        <v>33.0</v>
      </c>
      <c r="AH117" s="2">
        <v>0.0</v>
      </c>
      <c r="AI117" s="2">
        <v>0.0</v>
      </c>
      <c r="AJ117" s="2">
        <v>0.0</v>
      </c>
      <c r="AK117" s="2">
        <v>3.0</v>
      </c>
      <c r="AL117" s="2" t="s">
        <v>4170</v>
      </c>
      <c r="AM117" s="2" t="s">
        <v>4171</v>
      </c>
      <c r="AN117" s="2" t="s">
        <v>4172</v>
      </c>
      <c r="AO117" s="2" t="s">
        <v>6179</v>
      </c>
      <c r="AP117" s="2" t="s">
        <v>6180</v>
      </c>
      <c r="AQ117" s="2" t="s">
        <v>6181</v>
      </c>
      <c r="AR117" s="2" t="s">
        <v>6182</v>
      </c>
      <c r="AS117" s="2" t="s">
        <v>3635</v>
      </c>
      <c r="AT117" s="2" t="s">
        <v>3635</v>
      </c>
      <c r="AU117" s="2">
        <v>2022.0</v>
      </c>
      <c r="AV117" s="2">
        <v>640.0</v>
      </c>
      <c r="AW117" s="2" t="s">
        <v>3635</v>
      </c>
      <c r="AX117" s="2" t="s">
        <v>3635</v>
      </c>
      <c r="AY117" s="2" t="s">
        <v>3635</v>
      </c>
      <c r="AZ117" s="2" t="s">
        <v>3635</v>
      </c>
      <c r="BA117" s="2" t="s">
        <v>3635</v>
      </c>
      <c r="BB117" s="2">
        <v>128.0</v>
      </c>
      <c r="BC117" s="2">
        <v>142.0</v>
      </c>
      <c r="BD117" s="2" t="s">
        <v>3635</v>
      </c>
      <c r="BE117" s="2" t="s">
        <v>6183</v>
      </c>
      <c r="BF117" s="3" t="str">
        <f>HYPERLINK("http://dx.doi.org/10.1007/978-3-030-94399-8_10","http://dx.doi.org/10.1007/978-3-030-94399-8_10")</f>
        <v>http://dx.doi.org/10.1007/978-3-030-94399-8_10</v>
      </c>
      <c r="BG117" s="2" t="s">
        <v>3635</v>
      </c>
      <c r="BH117" s="2" t="s">
        <v>3635</v>
      </c>
      <c r="BI117" s="2">
        <v>15.0</v>
      </c>
      <c r="BJ117" s="2" t="s">
        <v>6184</v>
      </c>
      <c r="BK117" s="2" t="s">
        <v>3692</v>
      </c>
      <c r="BL117" s="2" t="s">
        <v>6185</v>
      </c>
      <c r="BM117" s="2" t="s">
        <v>6186</v>
      </c>
      <c r="BN117" s="2" t="s">
        <v>3635</v>
      </c>
      <c r="BO117" s="2" t="s">
        <v>3635</v>
      </c>
      <c r="BP117" s="2" t="s">
        <v>3635</v>
      </c>
      <c r="BQ117" s="2" t="s">
        <v>3635</v>
      </c>
      <c r="BR117" s="2" t="s">
        <v>3662</v>
      </c>
      <c r="BS117" s="2" t="s">
        <v>6187</v>
      </c>
      <c r="BT117" s="2" t="str">
        <f>HYPERLINK("https%3A%2F%2Fwww.webofscience.com%2Fwos%2Fwoscc%2Ffull-record%2FWOS:000771711600010","View Full Record in Web of Science")</f>
        <v>View Full Record in Web of Science</v>
      </c>
    </row>
    <row r="118" ht="15.75" customHeight="1">
      <c r="A118" s="2" t="s">
        <v>3664</v>
      </c>
      <c r="B118" s="2" t="s">
        <v>6188</v>
      </c>
      <c r="C118" s="2" t="s">
        <v>3635</v>
      </c>
      <c r="D118" s="2" t="s">
        <v>6189</v>
      </c>
      <c r="E118" s="2" t="s">
        <v>3635</v>
      </c>
      <c r="F118" s="2" t="s">
        <v>6190</v>
      </c>
      <c r="G118" s="2" t="s">
        <v>3635</v>
      </c>
      <c r="H118" s="2" t="s">
        <v>3635</v>
      </c>
      <c r="I118" s="2" t="s">
        <v>6191</v>
      </c>
      <c r="J118" s="2" t="s">
        <v>6192</v>
      </c>
      <c r="K118" s="2" t="s">
        <v>3635</v>
      </c>
      <c r="L118" s="2" t="s">
        <v>3635</v>
      </c>
      <c r="M118" s="2" t="s">
        <v>3638</v>
      </c>
      <c r="N118" s="2" t="s">
        <v>3669</v>
      </c>
      <c r="O118" s="2" t="s">
        <v>6193</v>
      </c>
      <c r="P118" s="2" t="s">
        <v>6194</v>
      </c>
      <c r="Q118" s="2" t="s">
        <v>6195</v>
      </c>
      <c r="R118" s="2" t="s">
        <v>6196</v>
      </c>
      <c r="S118" s="2" t="s">
        <v>6197</v>
      </c>
      <c r="T118" s="2" t="s">
        <v>6198</v>
      </c>
      <c r="U118" s="2" t="s">
        <v>6199</v>
      </c>
      <c r="V118" s="2" t="s">
        <v>6200</v>
      </c>
      <c r="W118" s="2" t="s">
        <v>6201</v>
      </c>
      <c r="X118" s="2" t="s">
        <v>6202</v>
      </c>
      <c r="Y118" s="2" t="s">
        <v>6203</v>
      </c>
      <c r="Z118" s="2" t="s">
        <v>6204</v>
      </c>
      <c r="AA118" s="2" t="s">
        <v>6205</v>
      </c>
      <c r="AB118" s="2" t="s">
        <v>6206</v>
      </c>
      <c r="AC118" s="2" t="s">
        <v>3635</v>
      </c>
      <c r="AD118" s="2" t="s">
        <v>3635</v>
      </c>
      <c r="AE118" s="2" t="s">
        <v>3635</v>
      </c>
      <c r="AF118" s="2" t="s">
        <v>3635</v>
      </c>
      <c r="AG118" s="2">
        <v>20.0</v>
      </c>
      <c r="AH118" s="2">
        <v>4.0</v>
      </c>
      <c r="AI118" s="2">
        <v>4.0</v>
      </c>
      <c r="AJ118" s="2">
        <v>0.0</v>
      </c>
      <c r="AK118" s="2">
        <v>3.0</v>
      </c>
      <c r="AL118" s="2" t="s">
        <v>1974</v>
      </c>
      <c r="AM118" s="2" t="s">
        <v>3651</v>
      </c>
      <c r="AN118" s="2" t="s">
        <v>3762</v>
      </c>
      <c r="AO118" s="2" t="s">
        <v>3635</v>
      </c>
      <c r="AP118" s="2" t="s">
        <v>3635</v>
      </c>
      <c r="AQ118" s="2" t="s">
        <v>6207</v>
      </c>
      <c r="AR118" s="2" t="s">
        <v>3635</v>
      </c>
      <c r="AS118" s="2" t="s">
        <v>3635</v>
      </c>
      <c r="AT118" s="2" t="s">
        <v>3635</v>
      </c>
      <c r="AU118" s="2">
        <v>2014.0</v>
      </c>
      <c r="AV118" s="2" t="s">
        <v>3635</v>
      </c>
      <c r="AW118" s="2" t="s">
        <v>3635</v>
      </c>
      <c r="AX118" s="2" t="s">
        <v>3635</v>
      </c>
      <c r="AY118" s="2" t="s">
        <v>3635</v>
      </c>
      <c r="AZ118" s="2" t="s">
        <v>3635</v>
      </c>
      <c r="BA118" s="2" t="s">
        <v>3635</v>
      </c>
      <c r="BB118" s="2">
        <v>316.0</v>
      </c>
      <c r="BC118" s="2">
        <v>323.0</v>
      </c>
      <c r="BD118" s="2" t="s">
        <v>3635</v>
      </c>
      <c r="BE118" s="2" t="s">
        <v>1388</v>
      </c>
      <c r="BF118" s="3" t="str">
        <f>HYPERLINK("http://dx.doi.org/10.1109/3PGCIC.2014.133","http://dx.doi.org/10.1109/3PGCIC.2014.133")</f>
        <v>http://dx.doi.org/10.1109/3PGCIC.2014.133</v>
      </c>
      <c r="BG118" s="2" t="s">
        <v>3635</v>
      </c>
      <c r="BH118" s="2" t="s">
        <v>3635</v>
      </c>
      <c r="BI118" s="2">
        <v>8.0</v>
      </c>
      <c r="BJ118" s="2" t="s">
        <v>4447</v>
      </c>
      <c r="BK118" s="2" t="s">
        <v>3692</v>
      </c>
      <c r="BL118" s="2" t="s">
        <v>3659</v>
      </c>
      <c r="BM118" s="2" t="s">
        <v>6208</v>
      </c>
      <c r="BN118" s="2" t="s">
        <v>3635</v>
      </c>
      <c r="BO118" s="2" t="s">
        <v>3635</v>
      </c>
      <c r="BP118" s="2" t="s">
        <v>3635</v>
      </c>
      <c r="BQ118" s="2" t="s">
        <v>3635</v>
      </c>
      <c r="BR118" s="2" t="s">
        <v>3662</v>
      </c>
      <c r="BS118" s="2" t="s">
        <v>6209</v>
      </c>
      <c r="BT118" s="2" t="str">
        <f>HYPERLINK("https%3A%2F%2Fwww.webofscience.com%2Fwos%2Fwoscc%2Ffull-record%2FWOS:000380474400053","View Full Record in Web of Science")</f>
        <v>View Full Record in Web of Science</v>
      </c>
    </row>
    <row r="119" ht="15.75" customHeight="1">
      <c r="A119" s="2" t="s">
        <v>3633</v>
      </c>
      <c r="B119" s="2" t="s">
        <v>6210</v>
      </c>
      <c r="C119" s="2" t="s">
        <v>3635</v>
      </c>
      <c r="D119" s="2" t="s">
        <v>3635</v>
      </c>
      <c r="E119" s="2" t="s">
        <v>3635</v>
      </c>
      <c r="F119" s="2" t="s">
        <v>6211</v>
      </c>
      <c r="G119" s="2" t="s">
        <v>3635</v>
      </c>
      <c r="H119" s="2" t="s">
        <v>3635</v>
      </c>
      <c r="I119" s="2" t="s">
        <v>6212</v>
      </c>
      <c r="J119" s="2" t="s">
        <v>6213</v>
      </c>
      <c r="K119" s="2" t="s">
        <v>3635</v>
      </c>
      <c r="L119" s="2" t="s">
        <v>3635</v>
      </c>
      <c r="M119" s="2" t="s">
        <v>3638</v>
      </c>
      <c r="N119" s="2" t="s">
        <v>21</v>
      </c>
      <c r="O119" s="2" t="s">
        <v>3635</v>
      </c>
      <c r="P119" s="2" t="s">
        <v>3635</v>
      </c>
      <c r="Q119" s="2" t="s">
        <v>3635</v>
      </c>
      <c r="R119" s="2" t="s">
        <v>3635</v>
      </c>
      <c r="S119" s="2" t="s">
        <v>3635</v>
      </c>
      <c r="T119" s="2" t="s">
        <v>6214</v>
      </c>
      <c r="U119" s="2" t="s">
        <v>6215</v>
      </c>
      <c r="V119" s="2" t="s">
        <v>6216</v>
      </c>
      <c r="W119" s="2" t="s">
        <v>6217</v>
      </c>
      <c r="X119" s="2" t="s">
        <v>6218</v>
      </c>
      <c r="Y119" s="2" t="s">
        <v>6219</v>
      </c>
      <c r="Z119" s="2" t="s">
        <v>6220</v>
      </c>
      <c r="AA119" s="2" t="s">
        <v>3635</v>
      </c>
      <c r="AB119" s="2" t="s">
        <v>6221</v>
      </c>
      <c r="AC119" s="2" t="s">
        <v>6222</v>
      </c>
      <c r="AD119" s="2" t="s">
        <v>4102</v>
      </c>
      <c r="AE119" s="2" t="s">
        <v>6223</v>
      </c>
      <c r="AF119" s="2" t="s">
        <v>3635</v>
      </c>
      <c r="AG119" s="2">
        <v>72.0</v>
      </c>
      <c r="AH119" s="2">
        <v>0.0</v>
      </c>
      <c r="AI119" s="2">
        <v>0.0</v>
      </c>
      <c r="AJ119" s="2">
        <v>6.0</v>
      </c>
      <c r="AK119" s="2">
        <v>6.0</v>
      </c>
      <c r="AL119" s="2" t="s">
        <v>4644</v>
      </c>
      <c r="AM119" s="2" t="s">
        <v>4645</v>
      </c>
      <c r="AN119" s="2" t="s">
        <v>4646</v>
      </c>
      <c r="AO119" s="2" t="s">
        <v>3635</v>
      </c>
      <c r="AP119" s="2" t="s">
        <v>6224</v>
      </c>
      <c r="AQ119" s="2" t="s">
        <v>3635</v>
      </c>
      <c r="AR119" s="2" t="s">
        <v>6213</v>
      </c>
      <c r="AS119" s="2" t="s">
        <v>6225</v>
      </c>
      <c r="AT119" s="2" t="s">
        <v>5367</v>
      </c>
      <c r="AU119" s="2">
        <v>2023.0</v>
      </c>
      <c r="AV119" s="2">
        <v>15.0</v>
      </c>
      <c r="AW119" s="2">
        <v>23.0</v>
      </c>
      <c r="AX119" s="2" t="s">
        <v>3635</v>
      </c>
      <c r="AY119" s="2" t="s">
        <v>3635</v>
      </c>
      <c r="AZ119" s="2" t="s">
        <v>3635</v>
      </c>
      <c r="BA119" s="2" t="s">
        <v>3635</v>
      </c>
      <c r="BB119" s="2" t="s">
        <v>3635</v>
      </c>
      <c r="BC119" s="2" t="s">
        <v>3635</v>
      </c>
      <c r="BD119" s="2">
        <v>5009.0</v>
      </c>
      <c r="BE119" s="2" t="s">
        <v>6226</v>
      </c>
      <c r="BF119" s="3" t="str">
        <f>HYPERLINK("http://dx.doi.org/10.3390/nu15235009","http://dx.doi.org/10.3390/nu15235009")</f>
        <v>http://dx.doi.org/10.3390/nu15235009</v>
      </c>
      <c r="BG119" s="2" t="s">
        <v>3635</v>
      </c>
      <c r="BH119" s="2" t="s">
        <v>3635</v>
      </c>
      <c r="BI119" s="2">
        <v>17.0</v>
      </c>
      <c r="BJ119" s="2" t="s">
        <v>6227</v>
      </c>
      <c r="BK119" s="2" t="s">
        <v>3658</v>
      </c>
      <c r="BL119" s="2" t="s">
        <v>6227</v>
      </c>
      <c r="BM119" s="2" t="s">
        <v>6228</v>
      </c>
      <c r="BN119" s="2">
        <v>3.8068867E7</v>
      </c>
      <c r="BO119" s="2" t="s">
        <v>4115</v>
      </c>
      <c r="BP119" s="2" t="s">
        <v>3635</v>
      </c>
      <c r="BQ119" s="2" t="s">
        <v>3635</v>
      </c>
      <c r="BR119" s="2" t="s">
        <v>3662</v>
      </c>
      <c r="BS119" s="2" t="s">
        <v>6229</v>
      </c>
      <c r="BT119" s="2" t="str">
        <f>HYPERLINK("https%3A%2F%2Fwww.webofscience.com%2Fwos%2Fwoscc%2Ffull-record%2FWOS:001118039100001","View Full Record in Web of Science")</f>
        <v>View Full Record in Web of Science</v>
      </c>
    </row>
    <row r="120" ht="15.75" customHeight="1">
      <c r="A120" s="2" t="s">
        <v>3664</v>
      </c>
      <c r="B120" s="2" t="s">
        <v>6230</v>
      </c>
      <c r="C120" s="2" t="s">
        <v>3635</v>
      </c>
      <c r="D120" s="2" t="s">
        <v>6231</v>
      </c>
      <c r="E120" s="2" t="s">
        <v>3635</v>
      </c>
      <c r="F120" s="2" t="s">
        <v>6232</v>
      </c>
      <c r="G120" s="2" t="s">
        <v>3635</v>
      </c>
      <c r="H120" s="2" t="s">
        <v>3635</v>
      </c>
      <c r="I120" s="2" t="s">
        <v>6233</v>
      </c>
      <c r="J120" s="2" t="s">
        <v>6234</v>
      </c>
      <c r="K120" s="2" t="s">
        <v>3635</v>
      </c>
      <c r="L120" s="2" t="s">
        <v>3635</v>
      </c>
      <c r="M120" s="2" t="s">
        <v>3638</v>
      </c>
      <c r="N120" s="2" t="s">
        <v>3669</v>
      </c>
      <c r="O120" s="2" t="s">
        <v>6235</v>
      </c>
      <c r="P120" s="2" t="s">
        <v>6236</v>
      </c>
      <c r="Q120" s="2" t="s">
        <v>6237</v>
      </c>
      <c r="R120" s="2" t="s">
        <v>6238</v>
      </c>
      <c r="S120" s="2" t="s">
        <v>3635</v>
      </c>
      <c r="T120" s="2" t="s">
        <v>6239</v>
      </c>
      <c r="U120" s="2" t="s">
        <v>3635</v>
      </c>
      <c r="V120" s="2" t="s">
        <v>6240</v>
      </c>
      <c r="W120" s="2" t="s">
        <v>6241</v>
      </c>
      <c r="X120" s="2" t="s">
        <v>3635</v>
      </c>
      <c r="Y120" s="2" t="s">
        <v>3635</v>
      </c>
      <c r="Z120" s="2" t="s">
        <v>6242</v>
      </c>
      <c r="AA120" s="2" t="s">
        <v>3635</v>
      </c>
      <c r="AB120" s="2" t="s">
        <v>3635</v>
      </c>
      <c r="AC120" s="2" t="s">
        <v>3635</v>
      </c>
      <c r="AD120" s="2" t="s">
        <v>3635</v>
      </c>
      <c r="AE120" s="2" t="s">
        <v>3635</v>
      </c>
      <c r="AF120" s="2" t="s">
        <v>3635</v>
      </c>
      <c r="AG120" s="2">
        <v>7.0</v>
      </c>
      <c r="AH120" s="2">
        <v>0.0</v>
      </c>
      <c r="AI120" s="2">
        <v>0.0</v>
      </c>
      <c r="AJ120" s="2">
        <v>0.0</v>
      </c>
      <c r="AK120" s="2">
        <v>0.0</v>
      </c>
      <c r="AL120" s="2" t="s">
        <v>6243</v>
      </c>
      <c r="AM120" s="2" t="s">
        <v>6244</v>
      </c>
      <c r="AN120" s="2" t="s">
        <v>6245</v>
      </c>
      <c r="AO120" s="2" t="s">
        <v>3635</v>
      </c>
      <c r="AP120" s="2" t="s">
        <v>3635</v>
      </c>
      <c r="AQ120" s="2" t="s">
        <v>6246</v>
      </c>
      <c r="AR120" s="2" t="s">
        <v>3635</v>
      </c>
      <c r="AS120" s="2" t="s">
        <v>3635</v>
      </c>
      <c r="AT120" s="2" t="s">
        <v>3635</v>
      </c>
      <c r="AU120" s="2">
        <v>2009.0</v>
      </c>
      <c r="AV120" s="2" t="s">
        <v>3635</v>
      </c>
      <c r="AW120" s="2" t="s">
        <v>3635</v>
      </c>
      <c r="AX120" s="2" t="s">
        <v>3635</v>
      </c>
      <c r="AY120" s="2" t="s">
        <v>3635</v>
      </c>
      <c r="AZ120" s="2" t="s">
        <v>3635</v>
      </c>
      <c r="BA120" s="2" t="s">
        <v>3635</v>
      </c>
      <c r="BB120" s="2">
        <v>51.0</v>
      </c>
      <c r="BC120" s="2">
        <v>55.0</v>
      </c>
      <c r="BD120" s="2" t="s">
        <v>3635</v>
      </c>
      <c r="BE120" s="2" t="s">
        <v>3635</v>
      </c>
      <c r="BF120" s="2" t="s">
        <v>3635</v>
      </c>
      <c r="BG120" s="2" t="s">
        <v>3635</v>
      </c>
      <c r="BH120" s="2" t="s">
        <v>3635</v>
      </c>
      <c r="BI120" s="2">
        <v>5.0</v>
      </c>
      <c r="BJ120" s="2" t="s">
        <v>6247</v>
      </c>
      <c r="BK120" s="2" t="s">
        <v>4561</v>
      </c>
      <c r="BL120" s="2" t="s">
        <v>6248</v>
      </c>
      <c r="BM120" s="2" t="s">
        <v>6249</v>
      </c>
      <c r="BN120" s="2" t="s">
        <v>3635</v>
      </c>
      <c r="BO120" s="2" t="s">
        <v>3635</v>
      </c>
      <c r="BP120" s="2" t="s">
        <v>3635</v>
      </c>
      <c r="BQ120" s="2" t="s">
        <v>3635</v>
      </c>
      <c r="BR120" s="2" t="s">
        <v>3662</v>
      </c>
      <c r="BS120" s="2" t="s">
        <v>6250</v>
      </c>
      <c r="BT120" s="2" t="str">
        <f>HYPERLINK("https%3A%2F%2Fwww.webofscience.com%2Fwos%2Fwoscc%2Ffull-record%2FWOS:000280695300011","View Full Record in Web of Science")</f>
        <v>View Full Record in Web of Science</v>
      </c>
    </row>
    <row r="121" ht="15.75" customHeight="1">
      <c r="A121" s="2" t="s">
        <v>3633</v>
      </c>
      <c r="B121" s="2" t="s">
        <v>6251</v>
      </c>
      <c r="C121" s="2" t="s">
        <v>3635</v>
      </c>
      <c r="D121" s="2" t="s">
        <v>3635</v>
      </c>
      <c r="E121" s="2" t="s">
        <v>3635</v>
      </c>
      <c r="F121" s="2" t="s">
        <v>6252</v>
      </c>
      <c r="G121" s="2" t="s">
        <v>3635</v>
      </c>
      <c r="H121" s="2" t="s">
        <v>3635</v>
      </c>
      <c r="I121" s="2" t="s">
        <v>1227</v>
      </c>
      <c r="J121" s="2" t="s">
        <v>6253</v>
      </c>
      <c r="K121" s="2" t="s">
        <v>3635</v>
      </c>
      <c r="L121" s="2" t="s">
        <v>3635</v>
      </c>
      <c r="M121" s="2" t="s">
        <v>3638</v>
      </c>
      <c r="N121" s="2" t="s">
        <v>21</v>
      </c>
      <c r="O121" s="2" t="s">
        <v>3635</v>
      </c>
      <c r="P121" s="2" t="s">
        <v>3635</v>
      </c>
      <c r="Q121" s="2" t="s">
        <v>3635</v>
      </c>
      <c r="R121" s="2" t="s">
        <v>3635</v>
      </c>
      <c r="S121" s="2" t="s">
        <v>3635</v>
      </c>
      <c r="T121" s="2" t="s">
        <v>6254</v>
      </c>
      <c r="U121" s="2" t="s">
        <v>3635</v>
      </c>
      <c r="V121" s="2" t="s">
        <v>6255</v>
      </c>
      <c r="W121" s="2" t="s">
        <v>6256</v>
      </c>
      <c r="X121" s="2" t="s">
        <v>6257</v>
      </c>
      <c r="Y121" s="2" t="s">
        <v>6258</v>
      </c>
      <c r="Z121" s="2" t="s">
        <v>6259</v>
      </c>
      <c r="AA121" s="2" t="s">
        <v>3635</v>
      </c>
      <c r="AB121" s="2" t="s">
        <v>6260</v>
      </c>
      <c r="AC121" s="2" t="s">
        <v>6261</v>
      </c>
      <c r="AD121" s="2" t="s">
        <v>6262</v>
      </c>
      <c r="AE121" s="2" t="s">
        <v>6263</v>
      </c>
      <c r="AF121" s="2" t="s">
        <v>3635</v>
      </c>
      <c r="AG121" s="2">
        <v>33.0</v>
      </c>
      <c r="AH121" s="2">
        <v>26.0</v>
      </c>
      <c r="AI121" s="2">
        <v>27.0</v>
      </c>
      <c r="AJ121" s="2">
        <v>0.0</v>
      </c>
      <c r="AK121" s="2">
        <v>9.0</v>
      </c>
      <c r="AL121" s="2" t="s">
        <v>3685</v>
      </c>
      <c r="AM121" s="2" t="s">
        <v>3686</v>
      </c>
      <c r="AN121" s="2" t="s">
        <v>3951</v>
      </c>
      <c r="AO121" s="2" t="s">
        <v>6264</v>
      </c>
      <c r="AP121" s="2" t="s">
        <v>3635</v>
      </c>
      <c r="AQ121" s="2" t="s">
        <v>3635</v>
      </c>
      <c r="AR121" s="2" t="s">
        <v>6265</v>
      </c>
      <c r="AS121" s="2" t="s">
        <v>6266</v>
      </c>
      <c r="AT121" s="2" t="s">
        <v>6267</v>
      </c>
      <c r="AU121" s="2">
        <v>2018.0</v>
      </c>
      <c r="AV121" s="2">
        <v>11.0</v>
      </c>
      <c r="AW121" s="2">
        <v>1.0</v>
      </c>
      <c r="AX121" s="2" t="s">
        <v>3635</v>
      </c>
      <c r="AY121" s="2" t="s">
        <v>3635</v>
      </c>
      <c r="AZ121" s="2" t="s">
        <v>3635</v>
      </c>
      <c r="BA121" s="2" t="s">
        <v>3635</v>
      </c>
      <c r="BB121" s="2">
        <v>34.0</v>
      </c>
      <c r="BC121" s="2">
        <v>48.0</v>
      </c>
      <c r="BD121" s="2" t="s">
        <v>3635</v>
      </c>
      <c r="BE121" s="2" t="s">
        <v>1229</v>
      </c>
      <c r="BF121" s="3" t="str">
        <f>HYPERLINK("http://dx.doi.org/10.1109/TSC.2016.2539945","http://dx.doi.org/10.1109/TSC.2016.2539945")</f>
        <v>http://dx.doi.org/10.1109/TSC.2016.2539945</v>
      </c>
      <c r="BG121" s="2" t="s">
        <v>3635</v>
      </c>
      <c r="BH121" s="2" t="s">
        <v>3635</v>
      </c>
      <c r="BI121" s="2">
        <v>15.0</v>
      </c>
      <c r="BJ121" s="2" t="s">
        <v>4791</v>
      </c>
      <c r="BK121" s="2" t="s">
        <v>3658</v>
      </c>
      <c r="BL121" s="2" t="s">
        <v>3659</v>
      </c>
      <c r="BM121" s="2" t="s">
        <v>6268</v>
      </c>
      <c r="BN121" s="2" t="s">
        <v>3635</v>
      </c>
      <c r="BO121" s="2" t="s">
        <v>3635</v>
      </c>
      <c r="BP121" s="2" t="s">
        <v>3635</v>
      </c>
      <c r="BQ121" s="2" t="s">
        <v>3635</v>
      </c>
      <c r="BR121" s="2" t="s">
        <v>3662</v>
      </c>
      <c r="BS121" s="2" t="s">
        <v>6269</v>
      </c>
      <c r="BT121" s="2" t="str">
        <f>HYPERLINK("https%3A%2F%2Fwww.webofscience.com%2Fwos%2Fwoscc%2Ffull-record%2FWOS:000424468400004","View Full Record in Web of Science")</f>
        <v>View Full Record in Web of Science</v>
      </c>
    </row>
    <row r="122" ht="15.75" customHeight="1">
      <c r="A122" s="2" t="s">
        <v>3664</v>
      </c>
      <c r="B122" s="2" t="s">
        <v>6270</v>
      </c>
      <c r="C122" s="2" t="s">
        <v>3635</v>
      </c>
      <c r="D122" s="2" t="s">
        <v>3635</v>
      </c>
      <c r="E122" s="2" t="s">
        <v>6271</v>
      </c>
      <c r="F122" s="2" t="s">
        <v>6272</v>
      </c>
      <c r="G122" s="2" t="s">
        <v>3635</v>
      </c>
      <c r="H122" s="2" t="s">
        <v>3635</v>
      </c>
      <c r="I122" s="2" t="s">
        <v>6273</v>
      </c>
      <c r="J122" s="2" t="s">
        <v>6274</v>
      </c>
      <c r="K122" s="2" t="s">
        <v>3635</v>
      </c>
      <c r="L122" s="2" t="s">
        <v>3635</v>
      </c>
      <c r="M122" s="2" t="s">
        <v>3638</v>
      </c>
      <c r="N122" s="2" t="s">
        <v>3669</v>
      </c>
      <c r="O122" s="2" t="s">
        <v>6275</v>
      </c>
      <c r="P122" s="2" t="s">
        <v>6276</v>
      </c>
      <c r="Q122" s="2" t="s">
        <v>6277</v>
      </c>
      <c r="R122" s="2" t="s">
        <v>6278</v>
      </c>
      <c r="S122" s="2" t="s">
        <v>3635</v>
      </c>
      <c r="T122" s="2" t="s">
        <v>6279</v>
      </c>
      <c r="U122" s="2" t="s">
        <v>6280</v>
      </c>
      <c r="V122" s="2" t="s">
        <v>6281</v>
      </c>
      <c r="W122" s="2" t="s">
        <v>6282</v>
      </c>
      <c r="X122" s="2" t="s">
        <v>6283</v>
      </c>
      <c r="Y122" s="2" t="s">
        <v>6284</v>
      </c>
      <c r="Z122" s="2" t="s">
        <v>3635</v>
      </c>
      <c r="AA122" s="2" t="s">
        <v>6285</v>
      </c>
      <c r="AB122" s="2" t="s">
        <v>6286</v>
      </c>
      <c r="AC122" s="2" t="s">
        <v>6287</v>
      </c>
      <c r="AD122" s="2" t="s">
        <v>6288</v>
      </c>
      <c r="AE122" s="2" t="s">
        <v>6289</v>
      </c>
      <c r="AF122" s="2" t="s">
        <v>3635</v>
      </c>
      <c r="AG122" s="2">
        <v>14.0</v>
      </c>
      <c r="AH122" s="2">
        <v>0.0</v>
      </c>
      <c r="AI122" s="2">
        <v>0.0</v>
      </c>
      <c r="AJ122" s="2">
        <v>0.0</v>
      </c>
      <c r="AK122" s="2">
        <v>2.0</v>
      </c>
      <c r="AL122" s="2" t="s">
        <v>6290</v>
      </c>
      <c r="AM122" s="2" t="s">
        <v>3651</v>
      </c>
      <c r="AN122" s="2" t="s">
        <v>6291</v>
      </c>
      <c r="AO122" s="2" t="s">
        <v>3635</v>
      </c>
      <c r="AP122" s="2" t="s">
        <v>3635</v>
      </c>
      <c r="AQ122" s="2" t="s">
        <v>6292</v>
      </c>
      <c r="AR122" s="2" t="s">
        <v>3635</v>
      </c>
      <c r="AS122" s="2" t="s">
        <v>3635</v>
      </c>
      <c r="AT122" s="2" t="s">
        <v>3635</v>
      </c>
      <c r="AU122" s="2">
        <v>2018.0</v>
      </c>
      <c r="AV122" s="2" t="s">
        <v>3635</v>
      </c>
      <c r="AW122" s="2" t="s">
        <v>3635</v>
      </c>
      <c r="AX122" s="2" t="s">
        <v>3635</v>
      </c>
      <c r="AY122" s="2" t="s">
        <v>3635</v>
      </c>
      <c r="AZ122" s="2" t="s">
        <v>3635</v>
      </c>
      <c r="BA122" s="2" t="s">
        <v>3635</v>
      </c>
      <c r="BB122" s="2" t="s">
        <v>3635</v>
      </c>
      <c r="BC122" s="2" t="s">
        <v>3635</v>
      </c>
      <c r="BD122" s="2" t="s">
        <v>6293</v>
      </c>
      <c r="BE122" s="2" t="s">
        <v>3635</v>
      </c>
      <c r="BF122" s="2" t="s">
        <v>3635</v>
      </c>
      <c r="BG122" s="2" t="s">
        <v>3635</v>
      </c>
      <c r="BH122" s="2" t="s">
        <v>3635</v>
      </c>
      <c r="BI122" s="2">
        <v>6.0</v>
      </c>
      <c r="BJ122" s="2" t="s">
        <v>6294</v>
      </c>
      <c r="BK122" s="2" t="s">
        <v>3692</v>
      </c>
      <c r="BL122" s="2" t="s">
        <v>6295</v>
      </c>
      <c r="BM122" s="2" t="s">
        <v>6296</v>
      </c>
      <c r="BN122" s="2" t="s">
        <v>3635</v>
      </c>
      <c r="BO122" s="2" t="s">
        <v>3635</v>
      </c>
      <c r="BP122" s="2" t="s">
        <v>3635</v>
      </c>
      <c r="BQ122" s="2" t="s">
        <v>3635</v>
      </c>
      <c r="BR122" s="2" t="s">
        <v>3662</v>
      </c>
      <c r="BS122" s="2" t="s">
        <v>6297</v>
      </c>
      <c r="BT122" s="2" t="str">
        <f>HYPERLINK("https%3A%2F%2Fwww.webofscience.com%2Fwos%2Fwoscc%2Ffull-record%2FWOS:000461265200046","View Full Record in Web of Science")</f>
        <v>View Full Record in Web of Science</v>
      </c>
    </row>
    <row r="123" ht="15.75" customHeight="1">
      <c r="A123" s="2" t="s">
        <v>3633</v>
      </c>
      <c r="B123" s="2" t="s">
        <v>6298</v>
      </c>
      <c r="C123" s="2" t="s">
        <v>3635</v>
      </c>
      <c r="D123" s="2" t="s">
        <v>3635</v>
      </c>
      <c r="E123" s="2" t="s">
        <v>3635</v>
      </c>
      <c r="F123" s="2" t="s">
        <v>6299</v>
      </c>
      <c r="G123" s="2" t="s">
        <v>3635</v>
      </c>
      <c r="H123" s="2" t="s">
        <v>3635</v>
      </c>
      <c r="I123" s="2" t="s">
        <v>6300</v>
      </c>
      <c r="J123" s="2" t="s">
        <v>6301</v>
      </c>
      <c r="K123" s="2" t="s">
        <v>3635</v>
      </c>
      <c r="L123" s="2" t="s">
        <v>3635</v>
      </c>
      <c r="M123" s="2" t="s">
        <v>3638</v>
      </c>
      <c r="N123" s="2" t="s">
        <v>21</v>
      </c>
      <c r="O123" s="2" t="s">
        <v>3635</v>
      </c>
      <c r="P123" s="2" t="s">
        <v>3635</v>
      </c>
      <c r="Q123" s="2" t="s">
        <v>3635</v>
      </c>
      <c r="R123" s="2" t="s">
        <v>3635</v>
      </c>
      <c r="S123" s="2" t="s">
        <v>3635</v>
      </c>
      <c r="T123" s="2" t="s">
        <v>6302</v>
      </c>
      <c r="U123" s="2" t="s">
        <v>6303</v>
      </c>
      <c r="V123" s="2" t="s">
        <v>6304</v>
      </c>
      <c r="W123" s="2" t="s">
        <v>6305</v>
      </c>
      <c r="X123" s="2" t="s">
        <v>6306</v>
      </c>
      <c r="Y123" s="2" t="s">
        <v>6307</v>
      </c>
      <c r="Z123" s="2" t="s">
        <v>6124</v>
      </c>
      <c r="AA123" s="2" t="s">
        <v>3635</v>
      </c>
      <c r="AB123" s="2" t="s">
        <v>6308</v>
      </c>
      <c r="AC123" s="2" t="s">
        <v>6127</v>
      </c>
      <c r="AD123" s="2" t="s">
        <v>6128</v>
      </c>
      <c r="AE123" s="2" t="s">
        <v>6309</v>
      </c>
      <c r="AF123" s="2" t="s">
        <v>3635</v>
      </c>
      <c r="AG123" s="2">
        <v>84.0</v>
      </c>
      <c r="AH123" s="2">
        <v>2.0</v>
      </c>
      <c r="AI123" s="2">
        <v>2.0</v>
      </c>
      <c r="AJ123" s="2">
        <v>1.0</v>
      </c>
      <c r="AK123" s="2">
        <v>12.0</v>
      </c>
      <c r="AL123" s="2" t="s">
        <v>4104</v>
      </c>
      <c r="AM123" s="2" t="s">
        <v>4105</v>
      </c>
      <c r="AN123" s="2" t="s">
        <v>4106</v>
      </c>
      <c r="AO123" s="2" t="s">
        <v>6310</v>
      </c>
      <c r="AP123" s="2" t="s">
        <v>3635</v>
      </c>
      <c r="AQ123" s="2" t="s">
        <v>3635</v>
      </c>
      <c r="AR123" s="2" t="s">
        <v>6311</v>
      </c>
      <c r="AS123" s="2" t="s">
        <v>6312</v>
      </c>
      <c r="AT123" s="2" t="s">
        <v>6313</v>
      </c>
      <c r="AU123" s="2">
        <v>2020.0</v>
      </c>
      <c r="AV123" s="2">
        <v>11.0</v>
      </c>
      <c r="AW123" s="2" t="s">
        <v>3635</v>
      </c>
      <c r="AX123" s="2" t="s">
        <v>3635</v>
      </c>
      <c r="AY123" s="2" t="s">
        <v>3635</v>
      </c>
      <c r="AZ123" s="2" t="s">
        <v>3635</v>
      </c>
      <c r="BA123" s="2" t="s">
        <v>3635</v>
      </c>
      <c r="BB123" s="2" t="s">
        <v>3635</v>
      </c>
      <c r="BC123" s="2" t="s">
        <v>3635</v>
      </c>
      <c r="BD123" s="2">
        <v>1054.0</v>
      </c>
      <c r="BE123" s="2" t="s">
        <v>6314</v>
      </c>
      <c r="BF123" s="3" t="str">
        <f>HYPERLINK("http://dx.doi.org/10.3389/fpsyg.2020.01054","http://dx.doi.org/10.3389/fpsyg.2020.01054")</f>
        <v>http://dx.doi.org/10.3389/fpsyg.2020.01054</v>
      </c>
      <c r="BG123" s="2" t="s">
        <v>3635</v>
      </c>
      <c r="BH123" s="2" t="s">
        <v>3635</v>
      </c>
      <c r="BI123" s="2">
        <v>20.0</v>
      </c>
      <c r="BJ123" s="2" t="s">
        <v>6315</v>
      </c>
      <c r="BK123" s="2" t="s">
        <v>5726</v>
      </c>
      <c r="BL123" s="2" t="s">
        <v>6316</v>
      </c>
      <c r="BM123" s="2" t="s">
        <v>6317</v>
      </c>
      <c r="BN123" s="2">
        <v>3.2625129E7</v>
      </c>
      <c r="BO123" s="2" t="s">
        <v>4748</v>
      </c>
      <c r="BP123" s="2" t="s">
        <v>3635</v>
      </c>
      <c r="BQ123" s="2" t="s">
        <v>3635</v>
      </c>
      <c r="BR123" s="2" t="s">
        <v>3662</v>
      </c>
      <c r="BS123" s="2" t="s">
        <v>6318</v>
      </c>
      <c r="BT123" s="2" t="str">
        <f>HYPERLINK("https%3A%2F%2Fwww.webofscience.com%2Fwos%2Fwoscc%2Ffull-record%2FWOS:000548388300001","View Full Record in Web of Science")</f>
        <v>View Full Record in Web of Science</v>
      </c>
    </row>
    <row r="124" ht="15.75" customHeight="1">
      <c r="A124" s="2" t="s">
        <v>3664</v>
      </c>
      <c r="B124" s="2" t="s">
        <v>6319</v>
      </c>
      <c r="C124" s="2" t="s">
        <v>3635</v>
      </c>
      <c r="D124" s="2" t="s">
        <v>3635</v>
      </c>
      <c r="E124" s="2" t="s">
        <v>1974</v>
      </c>
      <c r="F124" s="2" t="s">
        <v>6320</v>
      </c>
      <c r="G124" s="2" t="s">
        <v>3635</v>
      </c>
      <c r="H124" s="2" t="s">
        <v>3635</v>
      </c>
      <c r="I124" s="2" t="s">
        <v>566</v>
      </c>
      <c r="J124" s="2" t="s">
        <v>6321</v>
      </c>
      <c r="K124" s="2" t="s">
        <v>3635</v>
      </c>
      <c r="L124" s="2" t="s">
        <v>3635</v>
      </c>
      <c r="M124" s="2" t="s">
        <v>3638</v>
      </c>
      <c r="N124" s="2" t="s">
        <v>3669</v>
      </c>
      <c r="O124" s="2" t="s">
        <v>6322</v>
      </c>
      <c r="P124" s="2" t="s">
        <v>6323</v>
      </c>
      <c r="Q124" s="2" t="s">
        <v>5595</v>
      </c>
      <c r="R124" s="2" t="s">
        <v>3866</v>
      </c>
      <c r="S124" s="2" t="s">
        <v>3635</v>
      </c>
      <c r="T124" s="2" t="s">
        <v>6324</v>
      </c>
      <c r="U124" s="2" t="s">
        <v>6325</v>
      </c>
      <c r="V124" s="2" t="s">
        <v>6326</v>
      </c>
      <c r="W124" s="2" t="s">
        <v>6327</v>
      </c>
      <c r="X124" s="2" t="s">
        <v>6328</v>
      </c>
      <c r="Y124" s="2" t="s">
        <v>6329</v>
      </c>
      <c r="Z124" s="2" t="s">
        <v>6330</v>
      </c>
      <c r="AA124" s="2" t="s">
        <v>3635</v>
      </c>
      <c r="AB124" s="2" t="s">
        <v>6331</v>
      </c>
      <c r="AC124" s="2" t="s">
        <v>6332</v>
      </c>
      <c r="AD124" s="2" t="s">
        <v>6333</v>
      </c>
      <c r="AE124" s="2" t="s">
        <v>6334</v>
      </c>
      <c r="AF124" s="2" t="s">
        <v>3635</v>
      </c>
      <c r="AG124" s="2">
        <v>31.0</v>
      </c>
      <c r="AH124" s="2">
        <v>6.0</v>
      </c>
      <c r="AI124" s="2">
        <v>7.0</v>
      </c>
      <c r="AJ124" s="2">
        <v>2.0</v>
      </c>
      <c r="AK124" s="2">
        <v>3.0</v>
      </c>
      <c r="AL124" s="2" t="s">
        <v>3685</v>
      </c>
      <c r="AM124" s="2" t="s">
        <v>3686</v>
      </c>
      <c r="AN124" s="2" t="s">
        <v>3687</v>
      </c>
      <c r="AO124" s="2" t="s">
        <v>3635</v>
      </c>
      <c r="AP124" s="2" t="s">
        <v>3635</v>
      </c>
      <c r="AQ124" s="2" t="s">
        <v>6335</v>
      </c>
      <c r="AR124" s="2" t="s">
        <v>3635</v>
      </c>
      <c r="AS124" s="2" t="s">
        <v>3635</v>
      </c>
      <c r="AT124" s="2" t="s">
        <v>3635</v>
      </c>
      <c r="AU124" s="2">
        <v>2020.0</v>
      </c>
      <c r="AV124" s="2" t="s">
        <v>3635</v>
      </c>
      <c r="AW124" s="2" t="s">
        <v>3635</v>
      </c>
      <c r="AX124" s="2" t="s">
        <v>3635</v>
      </c>
      <c r="AY124" s="2" t="s">
        <v>3635</v>
      </c>
      <c r="AZ124" s="2" t="s">
        <v>3635</v>
      </c>
      <c r="BA124" s="2" t="s">
        <v>3635</v>
      </c>
      <c r="BB124" s="2">
        <v>31.0</v>
      </c>
      <c r="BC124" s="2">
        <v>38.0</v>
      </c>
      <c r="BD124" s="2" t="s">
        <v>3635</v>
      </c>
      <c r="BE124" s="2" t="s">
        <v>569</v>
      </c>
      <c r="BF124" s="3" t="str">
        <f>HYPERLINK("http://dx.doi.org/10.1109/AITEST49225.2020.00012","http://dx.doi.org/10.1109/AITEST49225.2020.00012")</f>
        <v>http://dx.doi.org/10.1109/AITEST49225.2020.00012</v>
      </c>
      <c r="BG124" s="2" t="s">
        <v>3635</v>
      </c>
      <c r="BH124" s="2" t="s">
        <v>3635</v>
      </c>
      <c r="BI124" s="2">
        <v>8.0</v>
      </c>
      <c r="BJ124" s="2" t="s">
        <v>4177</v>
      </c>
      <c r="BK124" s="2" t="s">
        <v>3692</v>
      </c>
      <c r="BL124" s="2" t="s">
        <v>3659</v>
      </c>
      <c r="BM124" s="2" t="s">
        <v>6336</v>
      </c>
      <c r="BN124" s="2" t="s">
        <v>3635</v>
      </c>
      <c r="BO124" s="2" t="s">
        <v>3694</v>
      </c>
      <c r="BP124" s="2" t="s">
        <v>3635</v>
      </c>
      <c r="BQ124" s="2" t="s">
        <v>3635</v>
      </c>
      <c r="BR124" s="2" t="s">
        <v>3662</v>
      </c>
      <c r="BS124" s="2" t="s">
        <v>6337</v>
      </c>
      <c r="BT124" s="2" t="str">
        <f>HYPERLINK("https%3A%2F%2Fwww.webofscience.com%2Fwos%2Fwoscc%2Ffull-record%2FWOS:000583824000005","View Full Record in Web of Science")</f>
        <v>View Full Record in Web of Science</v>
      </c>
    </row>
    <row r="125" ht="15.75" customHeight="1">
      <c r="A125" s="2" t="s">
        <v>3664</v>
      </c>
      <c r="B125" s="2" t="s">
        <v>6338</v>
      </c>
      <c r="C125" s="2" t="s">
        <v>3635</v>
      </c>
      <c r="D125" s="2" t="s">
        <v>3635</v>
      </c>
      <c r="E125" s="2" t="s">
        <v>1974</v>
      </c>
      <c r="F125" s="2" t="s">
        <v>6339</v>
      </c>
      <c r="G125" s="2" t="s">
        <v>3635</v>
      </c>
      <c r="H125" s="2" t="s">
        <v>3635</v>
      </c>
      <c r="I125" s="2" t="s">
        <v>2575</v>
      </c>
      <c r="J125" s="2" t="s">
        <v>6340</v>
      </c>
      <c r="K125" s="2" t="s">
        <v>5814</v>
      </c>
      <c r="L125" s="2" t="s">
        <v>3635</v>
      </c>
      <c r="M125" s="2" t="s">
        <v>3638</v>
      </c>
      <c r="N125" s="2" t="s">
        <v>3669</v>
      </c>
      <c r="O125" s="2" t="s">
        <v>6341</v>
      </c>
      <c r="P125" s="2" t="s">
        <v>6342</v>
      </c>
      <c r="Q125" s="2" t="s">
        <v>6343</v>
      </c>
      <c r="R125" s="2" t="s">
        <v>1974</v>
      </c>
      <c r="S125" s="2" t="s">
        <v>3635</v>
      </c>
      <c r="T125" s="2" t="s">
        <v>3635</v>
      </c>
      <c r="U125" s="2" t="s">
        <v>3635</v>
      </c>
      <c r="V125" s="2" t="s">
        <v>6344</v>
      </c>
      <c r="W125" s="2" t="s">
        <v>6345</v>
      </c>
      <c r="X125" s="2" t="s">
        <v>6346</v>
      </c>
      <c r="Y125" s="2" t="s">
        <v>6347</v>
      </c>
      <c r="Z125" s="2" t="s">
        <v>6348</v>
      </c>
      <c r="AA125" s="2" t="s">
        <v>3635</v>
      </c>
      <c r="AB125" s="2" t="s">
        <v>3635</v>
      </c>
      <c r="AC125" s="2" t="s">
        <v>3635</v>
      </c>
      <c r="AD125" s="2" t="s">
        <v>3635</v>
      </c>
      <c r="AE125" s="2" t="s">
        <v>3635</v>
      </c>
      <c r="AF125" s="2" t="s">
        <v>3635</v>
      </c>
      <c r="AG125" s="2">
        <v>18.0</v>
      </c>
      <c r="AH125" s="2">
        <v>12.0</v>
      </c>
      <c r="AI125" s="2">
        <v>13.0</v>
      </c>
      <c r="AJ125" s="2">
        <v>0.0</v>
      </c>
      <c r="AK125" s="2">
        <v>3.0</v>
      </c>
      <c r="AL125" s="2" t="s">
        <v>1974</v>
      </c>
      <c r="AM125" s="2" t="s">
        <v>3651</v>
      </c>
      <c r="AN125" s="2" t="s">
        <v>3762</v>
      </c>
      <c r="AO125" s="2" t="s">
        <v>5823</v>
      </c>
      <c r="AP125" s="2" t="s">
        <v>3635</v>
      </c>
      <c r="AQ125" s="2" t="s">
        <v>6349</v>
      </c>
      <c r="AR125" s="2" t="s">
        <v>5825</v>
      </c>
      <c r="AS125" s="2" t="s">
        <v>3635</v>
      </c>
      <c r="AT125" s="2" t="s">
        <v>3635</v>
      </c>
      <c r="AU125" s="2">
        <v>2009.0</v>
      </c>
      <c r="AV125" s="2" t="s">
        <v>3635</v>
      </c>
      <c r="AW125" s="2" t="s">
        <v>3635</v>
      </c>
      <c r="AX125" s="2" t="s">
        <v>3635</v>
      </c>
      <c r="AY125" s="2" t="s">
        <v>3635</v>
      </c>
      <c r="AZ125" s="2" t="s">
        <v>3635</v>
      </c>
      <c r="BA125" s="2" t="s">
        <v>3635</v>
      </c>
      <c r="BB125" s="2">
        <v>234.0</v>
      </c>
      <c r="BC125" s="2" t="s">
        <v>3954</v>
      </c>
      <c r="BD125" s="2" t="s">
        <v>3635</v>
      </c>
      <c r="BE125" s="2" t="s">
        <v>1625</v>
      </c>
      <c r="BF125" s="3" t="str">
        <f>HYPERLINK("http://dx.doi.org/10.1109/COMPSAC.2009.38","http://dx.doi.org/10.1109/COMPSAC.2009.38")</f>
        <v>http://dx.doi.org/10.1109/COMPSAC.2009.38</v>
      </c>
      <c r="BG125" s="2" t="s">
        <v>3635</v>
      </c>
      <c r="BH125" s="2" t="s">
        <v>3635</v>
      </c>
      <c r="BI125" s="2">
        <v>2.0</v>
      </c>
      <c r="BJ125" s="2" t="s">
        <v>6350</v>
      </c>
      <c r="BK125" s="2" t="s">
        <v>3692</v>
      </c>
      <c r="BL125" s="2" t="s">
        <v>3659</v>
      </c>
      <c r="BM125" s="2" t="s">
        <v>6351</v>
      </c>
      <c r="BN125" s="2" t="s">
        <v>3635</v>
      </c>
      <c r="BO125" s="2" t="s">
        <v>3635</v>
      </c>
      <c r="BP125" s="2" t="s">
        <v>3635</v>
      </c>
      <c r="BQ125" s="2" t="s">
        <v>3635</v>
      </c>
      <c r="BR125" s="2" t="s">
        <v>3662</v>
      </c>
      <c r="BS125" s="2" t="s">
        <v>6352</v>
      </c>
      <c r="BT125" s="2" t="str">
        <f>HYPERLINK("https%3A%2F%2Fwww.webofscience.com%2Fwos%2Fwoscc%2Ffull-record%2FWOS:000274261400032","View Full Record in Web of Science")</f>
        <v>View Full Record in Web of Science</v>
      </c>
    </row>
    <row r="126" ht="15.75" customHeight="1">
      <c r="A126" s="2" t="s">
        <v>3633</v>
      </c>
      <c r="B126" s="2" t="s">
        <v>6353</v>
      </c>
      <c r="C126" s="2" t="s">
        <v>3635</v>
      </c>
      <c r="D126" s="2" t="s">
        <v>3635</v>
      </c>
      <c r="E126" s="2" t="s">
        <v>3635</v>
      </c>
      <c r="F126" s="2" t="s">
        <v>6354</v>
      </c>
      <c r="G126" s="2" t="s">
        <v>3635</v>
      </c>
      <c r="H126" s="2" t="s">
        <v>3635</v>
      </c>
      <c r="I126" s="2" t="s">
        <v>1235</v>
      </c>
      <c r="J126" s="2" t="s">
        <v>6355</v>
      </c>
      <c r="K126" s="2" t="s">
        <v>3635</v>
      </c>
      <c r="L126" s="2" t="s">
        <v>3635</v>
      </c>
      <c r="M126" s="2" t="s">
        <v>3638</v>
      </c>
      <c r="N126" s="2" t="s">
        <v>21</v>
      </c>
      <c r="O126" s="2" t="s">
        <v>3635</v>
      </c>
      <c r="P126" s="2" t="s">
        <v>3635</v>
      </c>
      <c r="Q126" s="2" t="s">
        <v>3635</v>
      </c>
      <c r="R126" s="2" t="s">
        <v>3635</v>
      </c>
      <c r="S126" s="2" t="s">
        <v>3635</v>
      </c>
      <c r="T126" s="2" t="s">
        <v>6356</v>
      </c>
      <c r="U126" s="2" t="s">
        <v>3635</v>
      </c>
      <c r="V126" s="2" t="s">
        <v>6357</v>
      </c>
      <c r="W126" s="2" t="s">
        <v>6358</v>
      </c>
      <c r="X126" s="2" t="s">
        <v>6359</v>
      </c>
      <c r="Y126" s="2" t="s">
        <v>6360</v>
      </c>
      <c r="Z126" s="2" t="s">
        <v>6361</v>
      </c>
      <c r="AA126" s="2" t="s">
        <v>3635</v>
      </c>
      <c r="AB126" s="2" t="s">
        <v>3635</v>
      </c>
      <c r="AC126" s="2" t="s">
        <v>3635</v>
      </c>
      <c r="AD126" s="2" t="s">
        <v>3635</v>
      </c>
      <c r="AE126" s="2" t="s">
        <v>3635</v>
      </c>
      <c r="AF126" s="2" t="s">
        <v>3635</v>
      </c>
      <c r="AG126" s="2">
        <v>54.0</v>
      </c>
      <c r="AH126" s="2">
        <v>89.0</v>
      </c>
      <c r="AI126" s="2">
        <v>102.0</v>
      </c>
      <c r="AJ126" s="2">
        <v>2.0</v>
      </c>
      <c r="AK126" s="2">
        <v>31.0</v>
      </c>
      <c r="AL126" s="2" t="s">
        <v>6362</v>
      </c>
      <c r="AM126" s="2" t="s">
        <v>6363</v>
      </c>
      <c r="AN126" s="2" t="s">
        <v>6364</v>
      </c>
      <c r="AO126" s="2" t="s">
        <v>6365</v>
      </c>
      <c r="AP126" s="2" t="s">
        <v>6366</v>
      </c>
      <c r="AQ126" s="2" t="s">
        <v>3635</v>
      </c>
      <c r="AR126" s="2" t="s">
        <v>6367</v>
      </c>
      <c r="AS126" s="2" t="s">
        <v>1237</v>
      </c>
      <c r="AT126" s="2" t="s">
        <v>3716</v>
      </c>
      <c r="AU126" s="2">
        <v>2017.0</v>
      </c>
      <c r="AV126" s="2">
        <v>5.0</v>
      </c>
      <c r="AW126" s="2">
        <v>3.0</v>
      </c>
      <c r="AX126" s="2" t="s">
        <v>3635</v>
      </c>
      <c r="AY126" s="2" t="s">
        <v>3635</v>
      </c>
      <c r="AZ126" s="2" t="s">
        <v>3635</v>
      </c>
      <c r="BA126" s="2" t="s">
        <v>3635</v>
      </c>
      <c r="BB126" s="2">
        <v>246.0</v>
      </c>
      <c r="BC126" s="2">
        <v>255.0</v>
      </c>
      <c r="BD126" s="2" t="s">
        <v>3635</v>
      </c>
      <c r="BE126" s="2" t="s">
        <v>1238</v>
      </c>
      <c r="BF126" s="3" t="str">
        <f>HYPERLINK("http://dx.doi.org/10.1089/big.2016.0051","http://dx.doi.org/10.1089/big.2016.0051")</f>
        <v>http://dx.doi.org/10.1089/big.2016.0051</v>
      </c>
      <c r="BG126" s="2" t="s">
        <v>3635</v>
      </c>
      <c r="BH126" s="2" t="s">
        <v>3635</v>
      </c>
      <c r="BI126" s="2">
        <v>10.0</v>
      </c>
      <c r="BJ126" s="2" t="s">
        <v>6368</v>
      </c>
      <c r="BK126" s="2" t="s">
        <v>3658</v>
      </c>
      <c r="BL126" s="2" t="s">
        <v>3659</v>
      </c>
      <c r="BM126" s="2" t="s">
        <v>6369</v>
      </c>
      <c r="BN126" s="2">
        <v>2.8933947E7</v>
      </c>
      <c r="BO126" s="2" t="s">
        <v>3694</v>
      </c>
      <c r="BP126" s="2" t="s">
        <v>3635</v>
      </c>
      <c r="BQ126" s="2" t="s">
        <v>3635</v>
      </c>
      <c r="BR126" s="2" t="s">
        <v>3662</v>
      </c>
      <c r="BS126" s="2" t="s">
        <v>6370</v>
      </c>
      <c r="BT126" s="2" t="str">
        <f>HYPERLINK("https%3A%2F%2Fwww.webofscience.com%2Fwos%2Fwoscc%2Ffull-record%2FWOS:000425010500008","View Full Record in Web of Science")</f>
        <v>View Full Record in Web of Science</v>
      </c>
    </row>
    <row r="127" ht="15.75" customHeight="1">
      <c r="A127" s="2" t="s">
        <v>3633</v>
      </c>
      <c r="B127" s="2" t="s">
        <v>6371</v>
      </c>
      <c r="C127" s="2" t="s">
        <v>3635</v>
      </c>
      <c r="D127" s="2" t="s">
        <v>3635</v>
      </c>
      <c r="E127" s="2" t="s">
        <v>3635</v>
      </c>
      <c r="F127" s="2" t="s">
        <v>6372</v>
      </c>
      <c r="G127" s="2" t="s">
        <v>3635</v>
      </c>
      <c r="H127" s="2" t="s">
        <v>3635</v>
      </c>
      <c r="I127" s="2" t="s">
        <v>6373</v>
      </c>
      <c r="J127" s="2" t="s">
        <v>5034</v>
      </c>
      <c r="K127" s="2" t="s">
        <v>3635</v>
      </c>
      <c r="L127" s="2" t="s">
        <v>3635</v>
      </c>
      <c r="M127" s="2" t="s">
        <v>3638</v>
      </c>
      <c r="N127" s="2" t="s">
        <v>21</v>
      </c>
      <c r="O127" s="2" t="s">
        <v>3635</v>
      </c>
      <c r="P127" s="2" t="s">
        <v>3635</v>
      </c>
      <c r="Q127" s="2" t="s">
        <v>3635</v>
      </c>
      <c r="R127" s="2" t="s">
        <v>3635</v>
      </c>
      <c r="S127" s="2" t="s">
        <v>3635</v>
      </c>
      <c r="T127" s="2" t="s">
        <v>6374</v>
      </c>
      <c r="U127" s="2" t="s">
        <v>6375</v>
      </c>
      <c r="V127" s="2" t="s">
        <v>6376</v>
      </c>
      <c r="W127" s="2" t="s">
        <v>6377</v>
      </c>
      <c r="X127" s="2" t="s">
        <v>6378</v>
      </c>
      <c r="Y127" s="2" t="s">
        <v>6379</v>
      </c>
      <c r="Z127" s="2" t="s">
        <v>6380</v>
      </c>
      <c r="AA127" s="2" t="s">
        <v>6381</v>
      </c>
      <c r="AB127" s="2" t="s">
        <v>6382</v>
      </c>
      <c r="AC127" s="2" t="s">
        <v>6383</v>
      </c>
      <c r="AD127" s="2" t="s">
        <v>6384</v>
      </c>
      <c r="AE127" s="2" t="s">
        <v>6385</v>
      </c>
      <c r="AF127" s="2" t="s">
        <v>3635</v>
      </c>
      <c r="AG127" s="2">
        <v>23.0</v>
      </c>
      <c r="AH127" s="2">
        <v>0.0</v>
      </c>
      <c r="AI127" s="2">
        <v>0.0</v>
      </c>
      <c r="AJ127" s="2">
        <v>4.0</v>
      </c>
      <c r="AK127" s="2">
        <v>6.0</v>
      </c>
      <c r="AL127" s="2" t="s">
        <v>3709</v>
      </c>
      <c r="AM127" s="2" t="s">
        <v>3710</v>
      </c>
      <c r="AN127" s="2" t="s">
        <v>3711</v>
      </c>
      <c r="AO127" s="2" t="s">
        <v>5048</v>
      </c>
      <c r="AP127" s="2" t="s">
        <v>5049</v>
      </c>
      <c r="AQ127" s="2" t="s">
        <v>3635</v>
      </c>
      <c r="AR127" s="2" t="s">
        <v>5034</v>
      </c>
      <c r="AS127" s="2" t="s">
        <v>5050</v>
      </c>
      <c r="AT127" s="2" t="s">
        <v>5367</v>
      </c>
      <c r="AU127" s="2">
        <v>2023.0</v>
      </c>
      <c r="AV127" s="2">
        <v>79.0</v>
      </c>
      <c r="AW127" s="2">
        <v>4.0</v>
      </c>
      <c r="AX127" s="2" t="s">
        <v>3635</v>
      </c>
      <c r="AY127" s="2" t="s">
        <v>3635</v>
      </c>
      <c r="AZ127" s="2" t="s">
        <v>3635</v>
      </c>
      <c r="BA127" s="2" t="s">
        <v>3635</v>
      </c>
      <c r="BB127" s="2">
        <v>3096.0</v>
      </c>
      <c r="BC127" s="2">
        <v>3110.0</v>
      </c>
      <c r="BD127" s="2" t="s">
        <v>3635</v>
      </c>
      <c r="BE127" s="2" t="s">
        <v>6386</v>
      </c>
      <c r="BF127" s="3" t="str">
        <f>HYPERLINK("http://dx.doi.org/10.1111/biom.13889","http://dx.doi.org/10.1111/biom.13889")</f>
        <v>http://dx.doi.org/10.1111/biom.13889</v>
      </c>
      <c r="BG127" s="2" t="s">
        <v>3635</v>
      </c>
      <c r="BH127" s="2" t="s">
        <v>6387</v>
      </c>
      <c r="BI127" s="2">
        <v>15.0</v>
      </c>
      <c r="BJ127" s="2" t="s">
        <v>5054</v>
      </c>
      <c r="BK127" s="2" t="s">
        <v>3658</v>
      </c>
      <c r="BL127" s="2" t="s">
        <v>5055</v>
      </c>
      <c r="BM127" s="2" t="s">
        <v>6388</v>
      </c>
      <c r="BN127" s="2">
        <v>3.7349873E7</v>
      </c>
      <c r="BO127" s="2" t="s">
        <v>4701</v>
      </c>
      <c r="BP127" s="2" t="s">
        <v>3635</v>
      </c>
      <c r="BQ127" s="2" t="s">
        <v>3635</v>
      </c>
      <c r="BR127" s="2" t="s">
        <v>3662</v>
      </c>
      <c r="BS127" s="2" t="s">
        <v>6389</v>
      </c>
      <c r="BT127" s="2" t="str">
        <f>HYPERLINK("https%3A%2F%2Fwww.webofscience.com%2Fwos%2Fwoscc%2Ffull-record%2FWOS:001014425300001","View Full Record in Web of Science")</f>
        <v>View Full Record in Web of Science</v>
      </c>
    </row>
    <row r="128" ht="15.75" customHeight="1">
      <c r="A128" s="2" t="s">
        <v>3664</v>
      </c>
      <c r="B128" s="2" t="s">
        <v>6390</v>
      </c>
      <c r="C128" s="2" t="s">
        <v>3635</v>
      </c>
      <c r="D128" s="2" t="s">
        <v>6391</v>
      </c>
      <c r="E128" s="2" t="s">
        <v>3635</v>
      </c>
      <c r="F128" s="2" t="s">
        <v>6392</v>
      </c>
      <c r="G128" s="2" t="s">
        <v>3635</v>
      </c>
      <c r="H128" s="2" t="s">
        <v>3635</v>
      </c>
      <c r="I128" s="2" t="s">
        <v>725</v>
      </c>
      <c r="J128" s="2" t="s">
        <v>6393</v>
      </c>
      <c r="K128" s="2" t="s">
        <v>6394</v>
      </c>
      <c r="L128" s="2" t="s">
        <v>3635</v>
      </c>
      <c r="M128" s="2" t="s">
        <v>3638</v>
      </c>
      <c r="N128" s="2" t="s">
        <v>3669</v>
      </c>
      <c r="O128" s="2" t="s">
        <v>6395</v>
      </c>
      <c r="P128" s="2" t="s">
        <v>6396</v>
      </c>
      <c r="Q128" s="2" t="s">
        <v>6397</v>
      </c>
      <c r="R128" s="2" t="s">
        <v>3635</v>
      </c>
      <c r="S128" s="2" t="s">
        <v>3635</v>
      </c>
      <c r="T128" s="2" t="s">
        <v>6398</v>
      </c>
      <c r="U128" s="2" t="s">
        <v>3635</v>
      </c>
      <c r="V128" s="2" t="s">
        <v>6399</v>
      </c>
      <c r="W128" s="2" t="s">
        <v>6400</v>
      </c>
      <c r="X128" s="2" t="s">
        <v>6401</v>
      </c>
      <c r="Y128" s="2" t="s">
        <v>6402</v>
      </c>
      <c r="Z128" s="2" t="s">
        <v>6403</v>
      </c>
      <c r="AA128" s="2" t="s">
        <v>6404</v>
      </c>
      <c r="AB128" s="2" t="s">
        <v>6405</v>
      </c>
      <c r="AC128" s="2" t="s">
        <v>3635</v>
      </c>
      <c r="AD128" s="2" t="s">
        <v>3635</v>
      </c>
      <c r="AE128" s="2" t="s">
        <v>3635</v>
      </c>
      <c r="AF128" s="2" t="s">
        <v>3635</v>
      </c>
      <c r="AG128" s="2">
        <v>38.0</v>
      </c>
      <c r="AH128" s="2">
        <v>15.0</v>
      </c>
      <c r="AI128" s="2">
        <v>15.0</v>
      </c>
      <c r="AJ128" s="2">
        <v>0.0</v>
      </c>
      <c r="AK128" s="2">
        <v>0.0</v>
      </c>
      <c r="AL128" s="2" t="s">
        <v>6406</v>
      </c>
      <c r="AM128" s="2" t="s">
        <v>6407</v>
      </c>
      <c r="AN128" s="2" t="s">
        <v>6408</v>
      </c>
      <c r="AO128" s="2" t="s">
        <v>6409</v>
      </c>
      <c r="AP128" s="2" t="s">
        <v>3635</v>
      </c>
      <c r="AQ128" s="2" t="s">
        <v>3635</v>
      </c>
      <c r="AR128" s="2" t="s">
        <v>6410</v>
      </c>
      <c r="AS128" s="2" t="s">
        <v>3635</v>
      </c>
      <c r="AT128" s="2" t="s">
        <v>3635</v>
      </c>
      <c r="AU128" s="2">
        <v>2019.0</v>
      </c>
      <c r="AV128" s="2">
        <v>2547.0</v>
      </c>
      <c r="AW128" s="2" t="s">
        <v>3635</v>
      </c>
      <c r="AX128" s="2" t="s">
        <v>3635</v>
      </c>
      <c r="AY128" s="2" t="s">
        <v>3635</v>
      </c>
      <c r="AZ128" s="2" t="s">
        <v>3635</v>
      </c>
      <c r="BA128" s="2" t="s">
        <v>3635</v>
      </c>
      <c r="BB128" s="2">
        <v>13.0</v>
      </c>
      <c r="BC128" s="2">
        <v>23.0</v>
      </c>
      <c r="BD128" s="2" t="s">
        <v>3635</v>
      </c>
      <c r="BE128" s="2" t="s">
        <v>3635</v>
      </c>
      <c r="BF128" s="2" t="s">
        <v>3635</v>
      </c>
      <c r="BG128" s="2" t="s">
        <v>3635</v>
      </c>
      <c r="BH128" s="2" t="s">
        <v>3635</v>
      </c>
      <c r="BI128" s="2">
        <v>11.0</v>
      </c>
      <c r="BJ128" s="2" t="s">
        <v>6411</v>
      </c>
      <c r="BK128" s="2" t="s">
        <v>3692</v>
      </c>
      <c r="BL128" s="2" t="s">
        <v>5076</v>
      </c>
      <c r="BM128" s="2" t="s">
        <v>6412</v>
      </c>
      <c r="BN128" s="2" t="s">
        <v>3635</v>
      </c>
      <c r="BO128" s="2" t="s">
        <v>3635</v>
      </c>
      <c r="BP128" s="2" t="s">
        <v>3635</v>
      </c>
      <c r="BQ128" s="2" t="s">
        <v>3635</v>
      </c>
      <c r="BR128" s="2" t="s">
        <v>3662</v>
      </c>
      <c r="BS128" s="2" t="s">
        <v>6413</v>
      </c>
      <c r="BT128" s="2" t="str">
        <f>HYPERLINK("https%3A%2F%2Fwww.webofscience.com%2Fwos%2Fwoscc%2Ffull-record%2FWOS:000655018600002","View Full Record in Web of Science")</f>
        <v>View Full Record in Web of Science</v>
      </c>
    </row>
    <row r="129" ht="15.75" customHeight="1">
      <c r="A129" s="2" t="s">
        <v>3633</v>
      </c>
      <c r="B129" s="2" t="s">
        <v>6414</v>
      </c>
      <c r="C129" s="2" t="s">
        <v>3635</v>
      </c>
      <c r="D129" s="2" t="s">
        <v>3635</v>
      </c>
      <c r="E129" s="2" t="s">
        <v>3635</v>
      </c>
      <c r="F129" s="2" t="s">
        <v>6415</v>
      </c>
      <c r="G129" s="2" t="s">
        <v>3635</v>
      </c>
      <c r="H129" s="2" t="s">
        <v>3635</v>
      </c>
      <c r="I129" s="2" t="s">
        <v>756</v>
      </c>
      <c r="J129" s="2" t="s">
        <v>6416</v>
      </c>
      <c r="K129" s="2" t="s">
        <v>3635</v>
      </c>
      <c r="L129" s="2" t="s">
        <v>3635</v>
      </c>
      <c r="M129" s="2" t="s">
        <v>3638</v>
      </c>
      <c r="N129" s="2" t="s">
        <v>21</v>
      </c>
      <c r="O129" s="2" t="s">
        <v>3635</v>
      </c>
      <c r="P129" s="2" t="s">
        <v>3635</v>
      </c>
      <c r="Q129" s="2" t="s">
        <v>3635</v>
      </c>
      <c r="R129" s="2" t="s">
        <v>3635</v>
      </c>
      <c r="S129" s="2" t="s">
        <v>3635</v>
      </c>
      <c r="T129" s="2" t="s">
        <v>6417</v>
      </c>
      <c r="U129" s="2" t="s">
        <v>6418</v>
      </c>
      <c r="V129" s="2" t="s">
        <v>6419</v>
      </c>
      <c r="W129" s="2" t="s">
        <v>6420</v>
      </c>
      <c r="X129" s="2" t="s">
        <v>6421</v>
      </c>
      <c r="Y129" s="2" t="s">
        <v>6422</v>
      </c>
      <c r="Z129" s="2" t="s">
        <v>6423</v>
      </c>
      <c r="AA129" s="2" t="s">
        <v>6424</v>
      </c>
      <c r="AB129" s="2" t="s">
        <v>6425</v>
      </c>
      <c r="AC129" s="2" t="s">
        <v>6426</v>
      </c>
      <c r="AD129" s="2" t="s">
        <v>6427</v>
      </c>
      <c r="AE129" s="2" t="s">
        <v>6428</v>
      </c>
      <c r="AF129" s="2" t="s">
        <v>3635</v>
      </c>
      <c r="AG129" s="2">
        <v>87.0</v>
      </c>
      <c r="AH129" s="2">
        <v>24.0</v>
      </c>
      <c r="AI129" s="2">
        <v>24.0</v>
      </c>
      <c r="AJ129" s="2">
        <v>3.0</v>
      </c>
      <c r="AK129" s="2">
        <v>12.0</v>
      </c>
      <c r="AL129" s="2" t="s">
        <v>6154</v>
      </c>
      <c r="AM129" s="2" t="s">
        <v>6429</v>
      </c>
      <c r="AN129" s="2" t="s">
        <v>6430</v>
      </c>
      <c r="AO129" s="2" t="s">
        <v>6431</v>
      </c>
      <c r="AP129" s="2" t="s">
        <v>6432</v>
      </c>
      <c r="AQ129" s="2" t="s">
        <v>3635</v>
      </c>
      <c r="AR129" s="2" t="s">
        <v>6433</v>
      </c>
      <c r="AS129" s="2" t="s">
        <v>6434</v>
      </c>
      <c r="AT129" s="2" t="s">
        <v>3716</v>
      </c>
      <c r="AU129" s="2">
        <v>2020.0</v>
      </c>
      <c r="AV129" s="2">
        <v>25.0</v>
      </c>
      <c r="AW129" s="2">
        <v>5.0</v>
      </c>
      <c r="AX129" s="2" t="s">
        <v>3635</v>
      </c>
      <c r="AY129" s="2" t="s">
        <v>3635</v>
      </c>
      <c r="AZ129" s="2" t="s">
        <v>3635</v>
      </c>
      <c r="BA129" s="2" t="s">
        <v>3635</v>
      </c>
      <c r="BB129" s="2">
        <v>4020.0</v>
      </c>
      <c r="BC129" s="2">
        <v>4068.0</v>
      </c>
      <c r="BD129" s="2" t="s">
        <v>3635</v>
      </c>
      <c r="BE129" s="2" t="s">
        <v>758</v>
      </c>
      <c r="BF129" s="3" t="str">
        <f>HYPERLINK("http://dx.doi.org/10.1007/s10664-020-09847-2","http://dx.doi.org/10.1007/s10664-020-09847-2")</f>
        <v>http://dx.doi.org/10.1007/s10664-020-09847-2</v>
      </c>
      <c r="BG129" s="2" t="s">
        <v>3635</v>
      </c>
      <c r="BH129" s="2" t="s">
        <v>6435</v>
      </c>
      <c r="BI129" s="2">
        <v>49.0</v>
      </c>
      <c r="BJ129" s="2" t="s">
        <v>3657</v>
      </c>
      <c r="BK129" s="2" t="s">
        <v>3658</v>
      </c>
      <c r="BL129" s="2" t="s">
        <v>3659</v>
      </c>
      <c r="BM129" s="2" t="s">
        <v>6436</v>
      </c>
      <c r="BN129" s="2" t="s">
        <v>3635</v>
      </c>
      <c r="BO129" s="2" t="s">
        <v>3635</v>
      </c>
      <c r="BP129" s="2" t="s">
        <v>3635</v>
      </c>
      <c r="BQ129" s="2" t="s">
        <v>3635</v>
      </c>
      <c r="BR129" s="2" t="s">
        <v>3662</v>
      </c>
      <c r="BS129" s="2" t="s">
        <v>6437</v>
      </c>
      <c r="BT129" s="2" t="str">
        <f>HYPERLINK("https%3A%2F%2Fwww.webofscience.com%2Fwos%2Fwoscc%2Ffull-record%2FWOS:000564958400001","View Full Record in Web of Science")</f>
        <v>View Full Record in Web of Science</v>
      </c>
    </row>
    <row r="130" ht="15.75" customHeight="1">
      <c r="A130" s="2" t="s">
        <v>3664</v>
      </c>
      <c r="B130" s="2" t="s">
        <v>6438</v>
      </c>
      <c r="C130" s="2" t="s">
        <v>3635</v>
      </c>
      <c r="D130" s="2" t="s">
        <v>3635</v>
      </c>
      <c r="E130" s="2" t="s">
        <v>1974</v>
      </c>
      <c r="F130" s="2" t="s">
        <v>6439</v>
      </c>
      <c r="G130" s="2" t="s">
        <v>3635</v>
      </c>
      <c r="H130" s="2" t="s">
        <v>3635</v>
      </c>
      <c r="I130" s="2" t="s">
        <v>6440</v>
      </c>
      <c r="J130" s="2" t="s">
        <v>6441</v>
      </c>
      <c r="K130" s="2" t="s">
        <v>3635</v>
      </c>
      <c r="L130" s="2" t="s">
        <v>3635</v>
      </c>
      <c r="M130" s="2" t="s">
        <v>3638</v>
      </c>
      <c r="N130" s="2" t="s">
        <v>3669</v>
      </c>
      <c r="O130" s="2" t="s">
        <v>6442</v>
      </c>
      <c r="P130" s="2" t="s">
        <v>6443</v>
      </c>
      <c r="Q130" s="2" t="s">
        <v>6444</v>
      </c>
      <c r="R130" s="2" t="s">
        <v>3635</v>
      </c>
      <c r="S130" s="2" t="s">
        <v>3635</v>
      </c>
      <c r="T130" s="2" t="s">
        <v>3635</v>
      </c>
      <c r="U130" s="2" t="s">
        <v>3635</v>
      </c>
      <c r="V130" s="2" t="s">
        <v>6445</v>
      </c>
      <c r="W130" s="2" t="s">
        <v>6446</v>
      </c>
      <c r="X130" s="2" t="s">
        <v>6447</v>
      </c>
      <c r="Y130" s="2" t="s">
        <v>6448</v>
      </c>
      <c r="Z130" s="2" t="s">
        <v>6361</v>
      </c>
      <c r="AA130" s="2" t="s">
        <v>3635</v>
      </c>
      <c r="AB130" s="2" t="s">
        <v>3635</v>
      </c>
      <c r="AC130" s="2" t="s">
        <v>3635</v>
      </c>
      <c r="AD130" s="2" t="s">
        <v>3635</v>
      </c>
      <c r="AE130" s="2" t="s">
        <v>3635</v>
      </c>
      <c r="AF130" s="2" t="s">
        <v>3635</v>
      </c>
      <c r="AG130" s="2">
        <v>20.0</v>
      </c>
      <c r="AH130" s="2">
        <v>63.0</v>
      </c>
      <c r="AI130" s="2">
        <v>69.0</v>
      </c>
      <c r="AJ130" s="2">
        <v>1.0</v>
      </c>
      <c r="AK130" s="2">
        <v>8.0</v>
      </c>
      <c r="AL130" s="2" t="s">
        <v>1974</v>
      </c>
      <c r="AM130" s="2" t="s">
        <v>3651</v>
      </c>
      <c r="AN130" s="2" t="s">
        <v>3762</v>
      </c>
      <c r="AO130" s="2" t="s">
        <v>3635</v>
      </c>
      <c r="AP130" s="2" t="s">
        <v>3635</v>
      </c>
      <c r="AQ130" s="2" t="s">
        <v>6449</v>
      </c>
      <c r="AR130" s="2" t="s">
        <v>3635</v>
      </c>
      <c r="AS130" s="2" t="s">
        <v>3635</v>
      </c>
      <c r="AT130" s="2" t="s">
        <v>3635</v>
      </c>
      <c r="AU130" s="2">
        <v>2016.0</v>
      </c>
      <c r="AV130" s="2" t="s">
        <v>3635</v>
      </c>
      <c r="AW130" s="2" t="s">
        <v>3635</v>
      </c>
      <c r="AX130" s="2" t="s">
        <v>3635</v>
      </c>
      <c r="AY130" s="2" t="s">
        <v>3635</v>
      </c>
      <c r="AZ130" s="2" t="s">
        <v>3635</v>
      </c>
      <c r="BA130" s="2" t="s">
        <v>3635</v>
      </c>
      <c r="BB130" s="2" t="s">
        <v>3635</v>
      </c>
      <c r="BC130" s="2" t="s">
        <v>3635</v>
      </c>
      <c r="BD130" s="2" t="s">
        <v>3635</v>
      </c>
      <c r="BE130" s="2" t="s">
        <v>3635</v>
      </c>
      <c r="BF130" s="2" t="s">
        <v>3635</v>
      </c>
      <c r="BG130" s="2" t="s">
        <v>3635</v>
      </c>
      <c r="BH130" s="2" t="s">
        <v>3635</v>
      </c>
      <c r="BI130" s="2">
        <v>5.0</v>
      </c>
      <c r="BJ130" s="2" t="s">
        <v>6368</v>
      </c>
      <c r="BK130" s="2" t="s">
        <v>3692</v>
      </c>
      <c r="BL130" s="2" t="s">
        <v>3659</v>
      </c>
      <c r="BM130" s="2" t="s">
        <v>6450</v>
      </c>
      <c r="BN130" s="2" t="s">
        <v>3635</v>
      </c>
      <c r="BO130" s="2" t="s">
        <v>3635</v>
      </c>
      <c r="BP130" s="2" t="s">
        <v>3635</v>
      </c>
      <c r="BQ130" s="2" t="s">
        <v>3635</v>
      </c>
      <c r="BR130" s="2" t="s">
        <v>3662</v>
      </c>
      <c r="BS130" s="2" t="s">
        <v>6451</v>
      </c>
      <c r="BT130" s="2" t="str">
        <f>HYPERLINK("https%3A%2F%2Fwww.webofscience.com%2Fwos%2Fwoscc%2Ffull-record%2FWOS:000405940800065","View Full Record in Web of Science")</f>
        <v>View Full Record in Web of Science</v>
      </c>
    </row>
    <row r="131" ht="15.75" customHeight="1">
      <c r="A131" s="2" t="s">
        <v>3633</v>
      </c>
      <c r="B131" s="2" t="s">
        <v>6452</v>
      </c>
      <c r="C131" s="2" t="s">
        <v>3635</v>
      </c>
      <c r="D131" s="2" t="s">
        <v>3635</v>
      </c>
      <c r="E131" s="2" t="s">
        <v>3635</v>
      </c>
      <c r="F131" s="2" t="s">
        <v>6453</v>
      </c>
      <c r="G131" s="2" t="s">
        <v>3635</v>
      </c>
      <c r="H131" s="2" t="s">
        <v>3635</v>
      </c>
      <c r="I131" s="2" t="s">
        <v>6454</v>
      </c>
      <c r="J131" s="2" t="s">
        <v>6455</v>
      </c>
      <c r="K131" s="2" t="s">
        <v>3635</v>
      </c>
      <c r="L131" s="2" t="s">
        <v>3635</v>
      </c>
      <c r="M131" s="2" t="s">
        <v>3638</v>
      </c>
      <c r="N131" s="2" t="s">
        <v>21</v>
      </c>
      <c r="O131" s="2" t="s">
        <v>3635</v>
      </c>
      <c r="P131" s="2" t="s">
        <v>3635</v>
      </c>
      <c r="Q131" s="2" t="s">
        <v>3635</v>
      </c>
      <c r="R131" s="2" t="s">
        <v>3635</v>
      </c>
      <c r="S131" s="2" t="s">
        <v>3635</v>
      </c>
      <c r="T131" s="2" t="s">
        <v>6456</v>
      </c>
      <c r="U131" s="2" t="s">
        <v>6457</v>
      </c>
      <c r="V131" s="2" t="s">
        <v>6458</v>
      </c>
      <c r="W131" s="2" t="s">
        <v>6459</v>
      </c>
      <c r="X131" s="2" t="s">
        <v>6460</v>
      </c>
      <c r="Y131" s="2" t="s">
        <v>6461</v>
      </c>
      <c r="Z131" s="2" t="s">
        <v>6462</v>
      </c>
      <c r="AA131" s="2" t="s">
        <v>6463</v>
      </c>
      <c r="AB131" s="2" t="s">
        <v>6464</v>
      </c>
      <c r="AC131" s="2" t="s">
        <v>6465</v>
      </c>
      <c r="AD131" s="2" t="s">
        <v>6466</v>
      </c>
      <c r="AE131" s="2" t="s">
        <v>6467</v>
      </c>
      <c r="AF131" s="2" t="s">
        <v>3635</v>
      </c>
      <c r="AG131" s="2">
        <v>67.0</v>
      </c>
      <c r="AH131" s="2">
        <v>13.0</v>
      </c>
      <c r="AI131" s="2">
        <v>13.0</v>
      </c>
      <c r="AJ131" s="2">
        <v>0.0</v>
      </c>
      <c r="AK131" s="2">
        <v>8.0</v>
      </c>
      <c r="AL131" s="2" t="s">
        <v>4369</v>
      </c>
      <c r="AM131" s="2" t="s">
        <v>4370</v>
      </c>
      <c r="AN131" s="2" t="s">
        <v>4371</v>
      </c>
      <c r="AO131" s="2" t="s">
        <v>6468</v>
      </c>
      <c r="AP131" s="2" t="s">
        <v>6469</v>
      </c>
      <c r="AQ131" s="2" t="s">
        <v>3635</v>
      </c>
      <c r="AR131" s="2" t="s">
        <v>6470</v>
      </c>
      <c r="AS131" s="2" t="s">
        <v>6471</v>
      </c>
      <c r="AT131" s="2" t="s">
        <v>3716</v>
      </c>
      <c r="AU131" s="2">
        <v>2020.0</v>
      </c>
      <c r="AV131" s="2">
        <v>27.0</v>
      </c>
      <c r="AW131" s="2">
        <v>26.0</v>
      </c>
      <c r="AX131" s="2" t="s">
        <v>3635</v>
      </c>
      <c r="AY131" s="2" t="s">
        <v>3635</v>
      </c>
      <c r="AZ131" s="2" t="s">
        <v>3635</v>
      </c>
      <c r="BA131" s="2" t="s">
        <v>3635</v>
      </c>
      <c r="BB131" s="2">
        <v>32809.0</v>
      </c>
      <c r="BC131" s="2">
        <v>32819.0</v>
      </c>
      <c r="BD131" s="2" t="s">
        <v>3635</v>
      </c>
      <c r="BE131" s="2" t="s">
        <v>6472</v>
      </c>
      <c r="BF131" s="3" t="str">
        <f>HYPERLINK("http://dx.doi.org/10.1007/s11356-020-09263-5","http://dx.doi.org/10.1007/s11356-020-09263-5")</f>
        <v>http://dx.doi.org/10.1007/s11356-020-09263-5</v>
      </c>
      <c r="BG131" s="2" t="s">
        <v>3635</v>
      </c>
      <c r="BH131" s="2" t="s">
        <v>6473</v>
      </c>
      <c r="BI131" s="2">
        <v>11.0</v>
      </c>
      <c r="BJ131" s="2" t="s">
        <v>6474</v>
      </c>
      <c r="BK131" s="2" t="s">
        <v>4378</v>
      </c>
      <c r="BL131" s="2" t="s">
        <v>6475</v>
      </c>
      <c r="BM131" s="2" t="s">
        <v>6476</v>
      </c>
      <c r="BN131" s="2">
        <v>3.2519105E7</v>
      </c>
      <c r="BO131" s="2" t="s">
        <v>3635</v>
      </c>
      <c r="BP131" s="2" t="s">
        <v>3635</v>
      </c>
      <c r="BQ131" s="2" t="s">
        <v>3635</v>
      </c>
      <c r="BR131" s="2" t="s">
        <v>3662</v>
      </c>
      <c r="BS131" s="2" t="s">
        <v>6477</v>
      </c>
      <c r="BT131" s="2" t="str">
        <f>HYPERLINK("https%3A%2F%2Fwww.webofscience.com%2Fwos%2Fwoscc%2Ffull-record%2FWOS:000539204100010","View Full Record in Web of Science")</f>
        <v>View Full Record in Web of Science</v>
      </c>
    </row>
    <row r="132" ht="15.75" customHeight="1">
      <c r="A132" s="2" t="s">
        <v>3633</v>
      </c>
      <c r="B132" s="2" t="s">
        <v>6478</v>
      </c>
      <c r="C132" s="2" t="s">
        <v>3635</v>
      </c>
      <c r="D132" s="2" t="s">
        <v>3635</v>
      </c>
      <c r="E132" s="2" t="s">
        <v>3635</v>
      </c>
      <c r="F132" s="2" t="s">
        <v>6479</v>
      </c>
      <c r="G132" s="2" t="s">
        <v>3635</v>
      </c>
      <c r="H132" s="2" t="s">
        <v>3635</v>
      </c>
      <c r="I132" s="2" t="s">
        <v>6480</v>
      </c>
      <c r="J132" s="2" t="s">
        <v>6481</v>
      </c>
      <c r="K132" s="2" t="s">
        <v>3635</v>
      </c>
      <c r="L132" s="2" t="s">
        <v>3635</v>
      </c>
      <c r="M132" s="2" t="s">
        <v>3638</v>
      </c>
      <c r="N132" s="2" t="s">
        <v>21</v>
      </c>
      <c r="O132" s="2" t="s">
        <v>3635</v>
      </c>
      <c r="P132" s="2" t="s">
        <v>3635</v>
      </c>
      <c r="Q132" s="2" t="s">
        <v>3635</v>
      </c>
      <c r="R132" s="2" t="s">
        <v>3635</v>
      </c>
      <c r="S132" s="2" t="s">
        <v>3635</v>
      </c>
      <c r="T132" s="2" t="s">
        <v>6482</v>
      </c>
      <c r="U132" s="2" t="s">
        <v>6483</v>
      </c>
      <c r="V132" s="2" t="s">
        <v>6484</v>
      </c>
      <c r="W132" s="2" t="s">
        <v>6485</v>
      </c>
      <c r="X132" s="2" t="s">
        <v>6486</v>
      </c>
      <c r="Y132" s="2" t="s">
        <v>6487</v>
      </c>
      <c r="Z132" s="2" t="s">
        <v>6488</v>
      </c>
      <c r="AA132" s="2" t="s">
        <v>6489</v>
      </c>
      <c r="AB132" s="2" t="s">
        <v>6490</v>
      </c>
      <c r="AC132" s="2" t="s">
        <v>6491</v>
      </c>
      <c r="AD132" s="2" t="s">
        <v>6492</v>
      </c>
      <c r="AE132" s="2" t="s">
        <v>6493</v>
      </c>
      <c r="AF132" s="2" t="s">
        <v>3635</v>
      </c>
      <c r="AG132" s="2">
        <v>130.0</v>
      </c>
      <c r="AH132" s="2">
        <v>0.0</v>
      </c>
      <c r="AI132" s="2">
        <v>0.0</v>
      </c>
      <c r="AJ132" s="2">
        <v>0.0</v>
      </c>
      <c r="AK132" s="2">
        <v>4.0</v>
      </c>
      <c r="AL132" s="2" t="s">
        <v>3709</v>
      </c>
      <c r="AM132" s="2" t="s">
        <v>3710</v>
      </c>
      <c r="AN132" s="2" t="s">
        <v>3711</v>
      </c>
      <c r="AO132" s="2" t="s">
        <v>6494</v>
      </c>
      <c r="AP132" s="2" t="s">
        <v>6495</v>
      </c>
      <c r="AQ132" s="2" t="s">
        <v>3635</v>
      </c>
      <c r="AR132" s="2" t="s">
        <v>6496</v>
      </c>
      <c r="AS132" s="2" t="s">
        <v>6497</v>
      </c>
      <c r="AT132" s="2" t="s">
        <v>3656</v>
      </c>
      <c r="AU132" s="2">
        <v>2023.0</v>
      </c>
      <c r="AV132" s="2">
        <v>22.0</v>
      </c>
      <c r="AW132" s="2">
        <v>1.0</v>
      </c>
      <c r="AX132" s="2" t="s">
        <v>3635</v>
      </c>
      <c r="AY132" s="2" t="s">
        <v>3635</v>
      </c>
      <c r="AZ132" s="2" t="s">
        <v>3635</v>
      </c>
      <c r="BA132" s="2" t="s">
        <v>3635</v>
      </c>
      <c r="BB132" s="2">
        <v>205.0</v>
      </c>
      <c r="BC132" s="2">
        <v>231.0</v>
      </c>
      <c r="BD132" s="2" t="s">
        <v>3635</v>
      </c>
      <c r="BE132" s="2" t="s">
        <v>6498</v>
      </c>
      <c r="BF132" s="3" t="str">
        <f>HYPERLINK("http://dx.doi.org/10.1002/pst.2258","http://dx.doi.org/10.1002/pst.2258")</f>
        <v>http://dx.doi.org/10.1002/pst.2258</v>
      </c>
      <c r="BG132" s="2" t="s">
        <v>3635</v>
      </c>
      <c r="BH132" s="2" t="s">
        <v>6499</v>
      </c>
      <c r="BI132" s="2">
        <v>27.0</v>
      </c>
      <c r="BJ132" s="2" t="s">
        <v>6500</v>
      </c>
      <c r="BK132" s="2" t="s">
        <v>3658</v>
      </c>
      <c r="BL132" s="2" t="s">
        <v>6501</v>
      </c>
      <c r="BM132" s="2" t="s">
        <v>6502</v>
      </c>
      <c r="BN132" s="2">
        <v>3.6637242E7</v>
      </c>
      <c r="BO132" s="2" t="s">
        <v>3635</v>
      </c>
      <c r="BP132" s="2" t="s">
        <v>3635</v>
      </c>
      <c r="BQ132" s="2" t="s">
        <v>3635</v>
      </c>
      <c r="BR132" s="2" t="s">
        <v>3662</v>
      </c>
      <c r="BS132" s="2" t="s">
        <v>6503</v>
      </c>
      <c r="BT132" s="2" t="str">
        <f>HYPERLINK("https%3A%2F%2Fwww.webofscience.com%2Fwos%2Fwoscc%2Ffull-record%2FWOS:000836938600001","View Full Record in Web of Science")</f>
        <v>View Full Record in Web of Science</v>
      </c>
    </row>
    <row r="133" ht="15.75" customHeight="1">
      <c r="A133" s="2" t="s">
        <v>3633</v>
      </c>
      <c r="B133" s="2" t="s">
        <v>6504</v>
      </c>
      <c r="C133" s="2" t="s">
        <v>3635</v>
      </c>
      <c r="D133" s="2" t="s">
        <v>3635</v>
      </c>
      <c r="E133" s="2" t="s">
        <v>3635</v>
      </c>
      <c r="F133" s="2" t="s">
        <v>6505</v>
      </c>
      <c r="G133" s="2" t="s">
        <v>3635</v>
      </c>
      <c r="H133" s="2" t="s">
        <v>3635</v>
      </c>
      <c r="I133" s="2" t="s">
        <v>475</v>
      </c>
      <c r="J133" s="2" t="s">
        <v>6506</v>
      </c>
      <c r="K133" s="2" t="s">
        <v>3635</v>
      </c>
      <c r="L133" s="2" t="s">
        <v>3635</v>
      </c>
      <c r="M133" s="2" t="s">
        <v>3638</v>
      </c>
      <c r="N133" s="2" t="s">
        <v>5035</v>
      </c>
      <c r="O133" s="2" t="s">
        <v>3635</v>
      </c>
      <c r="P133" s="2" t="s">
        <v>3635</v>
      </c>
      <c r="Q133" s="2" t="s">
        <v>3635</v>
      </c>
      <c r="R133" s="2" t="s">
        <v>3635</v>
      </c>
      <c r="S133" s="2" t="s">
        <v>3635</v>
      </c>
      <c r="T133" s="2" t="s">
        <v>6507</v>
      </c>
      <c r="U133" s="2" t="s">
        <v>3635</v>
      </c>
      <c r="V133" s="2" t="s">
        <v>6508</v>
      </c>
      <c r="W133" s="2" t="s">
        <v>6509</v>
      </c>
      <c r="X133" s="2" t="s">
        <v>6510</v>
      </c>
      <c r="Y133" s="2" t="s">
        <v>6511</v>
      </c>
      <c r="Z133" s="2" t="s">
        <v>6512</v>
      </c>
      <c r="AA133" s="2" t="s">
        <v>6513</v>
      </c>
      <c r="AB133" s="2" t="s">
        <v>6514</v>
      </c>
      <c r="AC133" s="2" t="s">
        <v>6515</v>
      </c>
      <c r="AD133" s="2" t="s">
        <v>6516</v>
      </c>
      <c r="AE133" s="2" t="s">
        <v>6517</v>
      </c>
      <c r="AF133" s="2" t="s">
        <v>3635</v>
      </c>
      <c r="AG133" s="2">
        <v>34.0</v>
      </c>
      <c r="AH133" s="2">
        <v>0.0</v>
      </c>
      <c r="AI133" s="2">
        <v>0.0</v>
      </c>
      <c r="AJ133" s="2">
        <v>3.0</v>
      </c>
      <c r="AK133" s="2">
        <v>5.0</v>
      </c>
      <c r="AL133" s="2" t="s">
        <v>4369</v>
      </c>
      <c r="AM133" s="2" t="s">
        <v>4370</v>
      </c>
      <c r="AN133" s="2" t="s">
        <v>4371</v>
      </c>
      <c r="AO133" s="2" t="s">
        <v>6518</v>
      </c>
      <c r="AP133" s="2" t="s">
        <v>6519</v>
      </c>
      <c r="AQ133" s="2" t="s">
        <v>3635</v>
      </c>
      <c r="AR133" s="2" t="s">
        <v>6520</v>
      </c>
      <c r="AS133" s="2" t="s">
        <v>6521</v>
      </c>
      <c r="AT133" s="2" t="s">
        <v>6522</v>
      </c>
      <c r="AU133" s="2">
        <v>2023.0</v>
      </c>
      <c r="AV133" s="2" t="s">
        <v>3635</v>
      </c>
      <c r="AW133" s="2" t="s">
        <v>3635</v>
      </c>
      <c r="AX133" s="2" t="s">
        <v>3635</v>
      </c>
      <c r="AY133" s="2" t="s">
        <v>3635</v>
      </c>
      <c r="AZ133" s="2" t="s">
        <v>3635</v>
      </c>
      <c r="BA133" s="2" t="s">
        <v>3635</v>
      </c>
      <c r="BB133" s="2" t="s">
        <v>3635</v>
      </c>
      <c r="BC133" s="2" t="s">
        <v>3635</v>
      </c>
      <c r="BD133" s="2" t="s">
        <v>3635</v>
      </c>
      <c r="BE133" s="2" t="s">
        <v>477</v>
      </c>
      <c r="BF133" s="3" t="str">
        <f>HYPERLINK("http://dx.doi.org/10.1007/s13389-023-00319-z","http://dx.doi.org/10.1007/s13389-023-00319-z")</f>
        <v>http://dx.doi.org/10.1007/s13389-023-00319-z</v>
      </c>
      <c r="BG133" s="2" t="s">
        <v>3635</v>
      </c>
      <c r="BH133" s="2" t="s">
        <v>6387</v>
      </c>
      <c r="BI133" s="2">
        <v>16.0</v>
      </c>
      <c r="BJ133" s="2" t="s">
        <v>4447</v>
      </c>
      <c r="BK133" s="2" t="s">
        <v>3658</v>
      </c>
      <c r="BL133" s="2" t="s">
        <v>3659</v>
      </c>
      <c r="BM133" s="2" t="s">
        <v>6523</v>
      </c>
      <c r="BN133" s="2" t="s">
        <v>3635</v>
      </c>
      <c r="BO133" s="2" t="s">
        <v>3635</v>
      </c>
      <c r="BP133" s="2" t="s">
        <v>3635</v>
      </c>
      <c r="BQ133" s="2" t="s">
        <v>3635</v>
      </c>
      <c r="BR133" s="2" t="s">
        <v>3662</v>
      </c>
      <c r="BS133" s="2" t="s">
        <v>6524</v>
      </c>
      <c r="BT133" s="2" t="str">
        <f>HYPERLINK("https%3A%2F%2Fwww.webofscience.com%2Fwos%2Fwoscc%2Ffull-record%2FWOS:001011520700001","View Full Record in Web of Science")</f>
        <v>View Full Record in Web of Science</v>
      </c>
    </row>
    <row r="134" ht="15.75" customHeight="1">
      <c r="A134" s="2" t="s">
        <v>3633</v>
      </c>
      <c r="B134" s="2" t="s">
        <v>6525</v>
      </c>
      <c r="C134" s="2" t="s">
        <v>3635</v>
      </c>
      <c r="D134" s="2" t="s">
        <v>3635</v>
      </c>
      <c r="E134" s="2" t="s">
        <v>3635</v>
      </c>
      <c r="F134" s="2" t="s">
        <v>6526</v>
      </c>
      <c r="G134" s="2" t="s">
        <v>3635</v>
      </c>
      <c r="H134" s="2" t="s">
        <v>3635</v>
      </c>
      <c r="I134" s="2" t="s">
        <v>6527</v>
      </c>
      <c r="J134" s="2" t="s">
        <v>6528</v>
      </c>
      <c r="K134" s="2" t="s">
        <v>3635</v>
      </c>
      <c r="L134" s="2" t="s">
        <v>3635</v>
      </c>
      <c r="M134" s="2" t="s">
        <v>3638</v>
      </c>
      <c r="N134" s="2" t="s">
        <v>21</v>
      </c>
      <c r="O134" s="2" t="s">
        <v>3635</v>
      </c>
      <c r="P134" s="2" t="s">
        <v>3635</v>
      </c>
      <c r="Q134" s="2" t="s">
        <v>3635</v>
      </c>
      <c r="R134" s="2" t="s">
        <v>3635</v>
      </c>
      <c r="S134" s="2" t="s">
        <v>3635</v>
      </c>
      <c r="T134" s="2" t="s">
        <v>6529</v>
      </c>
      <c r="U134" s="2" t="s">
        <v>6530</v>
      </c>
      <c r="V134" s="2" t="s">
        <v>6531</v>
      </c>
      <c r="W134" s="2" t="s">
        <v>6532</v>
      </c>
      <c r="X134" s="2" t="s">
        <v>6533</v>
      </c>
      <c r="Y134" s="2" t="s">
        <v>6534</v>
      </c>
      <c r="Z134" s="2" t="s">
        <v>6535</v>
      </c>
      <c r="AA134" s="2" t="s">
        <v>6536</v>
      </c>
      <c r="AB134" s="2" t="s">
        <v>6537</v>
      </c>
      <c r="AC134" s="2" t="s">
        <v>3635</v>
      </c>
      <c r="AD134" s="2" t="s">
        <v>3635</v>
      </c>
      <c r="AE134" s="2" t="s">
        <v>3635</v>
      </c>
      <c r="AF134" s="2" t="s">
        <v>3635</v>
      </c>
      <c r="AG134" s="2">
        <v>61.0</v>
      </c>
      <c r="AH134" s="2">
        <v>8.0</v>
      </c>
      <c r="AI134" s="2">
        <v>8.0</v>
      </c>
      <c r="AJ134" s="2">
        <v>0.0</v>
      </c>
      <c r="AK134" s="2">
        <v>5.0</v>
      </c>
      <c r="AL134" s="2" t="s">
        <v>3986</v>
      </c>
      <c r="AM134" s="2" t="s">
        <v>3987</v>
      </c>
      <c r="AN134" s="2" t="s">
        <v>3988</v>
      </c>
      <c r="AO134" s="2" t="s">
        <v>6538</v>
      </c>
      <c r="AP134" s="2" t="s">
        <v>6539</v>
      </c>
      <c r="AQ134" s="2" t="s">
        <v>3635</v>
      </c>
      <c r="AR134" s="2" t="s">
        <v>6540</v>
      </c>
      <c r="AS134" s="2" t="s">
        <v>6541</v>
      </c>
      <c r="AT134" s="2" t="s">
        <v>6542</v>
      </c>
      <c r="AU134" s="2">
        <v>2020.0</v>
      </c>
      <c r="AV134" s="2">
        <v>9.0</v>
      </c>
      <c r="AW134" s="2">
        <v>3.0</v>
      </c>
      <c r="AX134" s="2" t="s">
        <v>3635</v>
      </c>
      <c r="AY134" s="2" t="s">
        <v>3635</v>
      </c>
      <c r="AZ134" s="2" t="s">
        <v>3717</v>
      </c>
      <c r="BA134" s="2" t="s">
        <v>3635</v>
      </c>
      <c r="BB134" s="2">
        <v>357.0</v>
      </c>
      <c r="BC134" s="2">
        <v>372.0</v>
      </c>
      <c r="BD134" s="2" t="s">
        <v>3635</v>
      </c>
      <c r="BE134" s="2" t="s">
        <v>6543</v>
      </c>
      <c r="BF134" s="3" t="str">
        <f>HYPERLINK("http://dx.doi.org/10.1108/SAJBS-07-2019-0135","http://dx.doi.org/10.1108/SAJBS-07-2019-0135")</f>
        <v>http://dx.doi.org/10.1108/SAJBS-07-2019-0135</v>
      </c>
      <c r="BG134" s="2" t="s">
        <v>3635</v>
      </c>
      <c r="BH134" s="2" t="s">
        <v>6544</v>
      </c>
      <c r="BI134" s="2">
        <v>16.0</v>
      </c>
      <c r="BJ134" s="2" t="s">
        <v>6545</v>
      </c>
      <c r="BK134" s="2" t="s">
        <v>3993</v>
      </c>
      <c r="BL134" s="2" t="s">
        <v>3994</v>
      </c>
      <c r="BM134" s="2" t="s">
        <v>6546</v>
      </c>
      <c r="BN134" s="2" t="s">
        <v>3635</v>
      </c>
      <c r="BO134" s="2" t="s">
        <v>3635</v>
      </c>
      <c r="BP134" s="2" t="s">
        <v>3635</v>
      </c>
      <c r="BQ134" s="2" t="s">
        <v>3635</v>
      </c>
      <c r="BR134" s="2" t="s">
        <v>3662</v>
      </c>
      <c r="BS134" s="2" t="s">
        <v>6547</v>
      </c>
      <c r="BT134" s="2" t="str">
        <f>HYPERLINK("https%3A%2F%2Fwww.webofscience.com%2Fwos%2Fwoscc%2Ffull-record%2FWOS:000547971000001","View Full Record in Web of Science")</f>
        <v>View Full Record in Web of Science</v>
      </c>
    </row>
    <row r="135" ht="15.75" customHeight="1">
      <c r="A135" s="2" t="s">
        <v>3633</v>
      </c>
      <c r="B135" s="2" t="s">
        <v>6548</v>
      </c>
      <c r="C135" s="2" t="s">
        <v>3635</v>
      </c>
      <c r="D135" s="2" t="s">
        <v>3635</v>
      </c>
      <c r="E135" s="2" t="s">
        <v>3635</v>
      </c>
      <c r="F135" s="2" t="s">
        <v>6549</v>
      </c>
      <c r="G135" s="2" t="s">
        <v>3635</v>
      </c>
      <c r="H135" s="2" t="s">
        <v>3635</v>
      </c>
      <c r="I135" s="2" t="s">
        <v>6550</v>
      </c>
      <c r="J135" s="2" t="s">
        <v>6551</v>
      </c>
      <c r="K135" s="2" t="s">
        <v>3635</v>
      </c>
      <c r="L135" s="2" t="s">
        <v>3635</v>
      </c>
      <c r="M135" s="2" t="s">
        <v>3638</v>
      </c>
      <c r="N135" s="2" t="s">
        <v>21</v>
      </c>
      <c r="O135" s="2" t="s">
        <v>3635</v>
      </c>
      <c r="P135" s="2" t="s">
        <v>3635</v>
      </c>
      <c r="Q135" s="2" t="s">
        <v>3635</v>
      </c>
      <c r="R135" s="2" t="s">
        <v>3635</v>
      </c>
      <c r="S135" s="2" t="s">
        <v>3635</v>
      </c>
      <c r="T135" s="2" t="s">
        <v>6552</v>
      </c>
      <c r="U135" s="2" t="s">
        <v>6553</v>
      </c>
      <c r="V135" s="2" t="s">
        <v>6554</v>
      </c>
      <c r="W135" s="2" t="s">
        <v>6555</v>
      </c>
      <c r="X135" s="2" t="s">
        <v>6556</v>
      </c>
      <c r="Y135" s="2" t="s">
        <v>6557</v>
      </c>
      <c r="Z135" s="2" t="s">
        <v>6558</v>
      </c>
      <c r="AA135" s="2" t="s">
        <v>6559</v>
      </c>
      <c r="AB135" s="2" t="s">
        <v>6560</v>
      </c>
      <c r="AC135" s="2" t="s">
        <v>6561</v>
      </c>
      <c r="AD135" s="2" t="s">
        <v>6561</v>
      </c>
      <c r="AE135" s="2" t="s">
        <v>6562</v>
      </c>
      <c r="AF135" s="2" t="s">
        <v>3635</v>
      </c>
      <c r="AG135" s="2">
        <v>42.0</v>
      </c>
      <c r="AH135" s="2">
        <v>0.0</v>
      </c>
      <c r="AI135" s="2">
        <v>0.0</v>
      </c>
      <c r="AJ135" s="2">
        <v>1.0</v>
      </c>
      <c r="AK135" s="2">
        <v>1.0</v>
      </c>
      <c r="AL135" s="2" t="s">
        <v>4047</v>
      </c>
      <c r="AM135" s="2" t="s">
        <v>4048</v>
      </c>
      <c r="AN135" s="2" t="s">
        <v>4049</v>
      </c>
      <c r="AO135" s="2" t="s">
        <v>3635</v>
      </c>
      <c r="AP135" s="2" t="s">
        <v>6563</v>
      </c>
      <c r="AQ135" s="2" t="s">
        <v>3635</v>
      </c>
      <c r="AR135" s="2" t="s">
        <v>6564</v>
      </c>
      <c r="AS135" s="2" t="s">
        <v>6565</v>
      </c>
      <c r="AT135" s="2" t="s">
        <v>5411</v>
      </c>
      <c r="AU135" s="2">
        <v>2024.0</v>
      </c>
      <c r="AV135" s="2">
        <v>8.0</v>
      </c>
      <c r="AW135" s="2" t="s">
        <v>3635</v>
      </c>
      <c r="AX135" s="2" t="s">
        <v>3635</v>
      </c>
      <c r="AY135" s="2" t="s">
        <v>3635</v>
      </c>
      <c r="AZ135" s="2" t="s">
        <v>3635</v>
      </c>
      <c r="BA135" s="2" t="s">
        <v>3635</v>
      </c>
      <c r="BB135" s="2" t="s">
        <v>3635</v>
      </c>
      <c r="BC135" s="2" t="s">
        <v>3635</v>
      </c>
      <c r="BD135" s="2" t="s">
        <v>6566</v>
      </c>
      <c r="BE135" s="2" t="s">
        <v>6567</v>
      </c>
      <c r="BF135" s="3" t="str">
        <f>HYPERLINK("http://dx.doi.org/10.1093/tas/txae022","http://dx.doi.org/10.1093/tas/txae022")</f>
        <v>http://dx.doi.org/10.1093/tas/txae022</v>
      </c>
      <c r="BG135" s="2" t="s">
        <v>3635</v>
      </c>
      <c r="BH135" s="2" t="s">
        <v>3635</v>
      </c>
      <c r="BI135" s="2">
        <v>14.0</v>
      </c>
      <c r="BJ135" s="2" t="s">
        <v>6568</v>
      </c>
      <c r="BK135" s="2" t="s">
        <v>3993</v>
      </c>
      <c r="BL135" s="2" t="s">
        <v>6569</v>
      </c>
      <c r="BM135" s="2" t="s">
        <v>6570</v>
      </c>
      <c r="BN135" s="2">
        <v>3.8496706E7</v>
      </c>
      <c r="BO135" s="2" t="s">
        <v>4748</v>
      </c>
      <c r="BP135" s="2" t="s">
        <v>3635</v>
      </c>
      <c r="BQ135" s="2" t="s">
        <v>3635</v>
      </c>
      <c r="BR135" s="2" t="s">
        <v>3662</v>
      </c>
      <c r="BS135" s="2" t="s">
        <v>6571</v>
      </c>
      <c r="BT135" s="2" t="str">
        <f>HYPERLINK("https%3A%2F%2Fwww.webofscience.com%2Fwos%2Fwoscc%2Ffull-record%2FWOS:001185898400001","View Full Record in Web of Science")</f>
        <v>View Full Record in Web of Science</v>
      </c>
    </row>
    <row r="136" ht="15.75" customHeight="1">
      <c r="A136" s="2" t="s">
        <v>3633</v>
      </c>
      <c r="B136" s="2" t="s">
        <v>6572</v>
      </c>
      <c r="C136" s="2" t="s">
        <v>3635</v>
      </c>
      <c r="D136" s="2" t="s">
        <v>3635</v>
      </c>
      <c r="E136" s="2" t="s">
        <v>3635</v>
      </c>
      <c r="F136" s="2" t="s">
        <v>6573</v>
      </c>
      <c r="G136" s="2" t="s">
        <v>3635</v>
      </c>
      <c r="H136" s="2" t="s">
        <v>3635</v>
      </c>
      <c r="I136" s="2" t="s">
        <v>37</v>
      </c>
      <c r="J136" s="2" t="s">
        <v>6574</v>
      </c>
      <c r="K136" s="2" t="s">
        <v>3635</v>
      </c>
      <c r="L136" s="2" t="s">
        <v>3635</v>
      </c>
      <c r="M136" s="2" t="s">
        <v>3638</v>
      </c>
      <c r="N136" s="2" t="s">
        <v>21</v>
      </c>
      <c r="O136" s="2" t="s">
        <v>3635</v>
      </c>
      <c r="P136" s="2" t="s">
        <v>3635</v>
      </c>
      <c r="Q136" s="2" t="s">
        <v>3635</v>
      </c>
      <c r="R136" s="2" t="s">
        <v>3635</v>
      </c>
      <c r="S136" s="2" t="s">
        <v>3635</v>
      </c>
      <c r="T136" s="2" t="s">
        <v>6575</v>
      </c>
      <c r="U136" s="2" t="s">
        <v>6576</v>
      </c>
      <c r="V136" s="2" t="s">
        <v>6577</v>
      </c>
      <c r="W136" s="2" t="s">
        <v>6578</v>
      </c>
      <c r="X136" s="2" t="s">
        <v>6579</v>
      </c>
      <c r="Y136" s="2" t="s">
        <v>6580</v>
      </c>
      <c r="Z136" s="2" t="s">
        <v>6581</v>
      </c>
      <c r="AA136" s="2" t="s">
        <v>6582</v>
      </c>
      <c r="AB136" s="2" t="s">
        <v>6583</v>
      </c>
      <c r="AC136" s="2" t="s">
        <v>6584</v>
      </c>
      <c r="AD136" s="2" t="s">
        <v>6585</v>
      </c>
      <c r="AE136" s="2" t="s">
        <v>6586</v>
      </c>
      <c r="AF136" s="2" t="s">
        <v>3635</v>
      </c>
      <c r="AG136" s="2">
        <v>33.0</v>
      </c>
      <c r="AH136" s="2">
        <v>2.0</v>
      </c>
      <c r="AI136" s="2">
        <v>2.0</v>
      </c>
      <c r="AJ136" s="2">
        <v>0.0</v>
      </c>
      <c r="AK136" s="2">
        <v>0.0</v>
      </c>
      <c r="AL136" s="2" t="s">
        <v>3784</v>
      </c>
      <c r="AM136" s="2" t="s">
        <v>3785</v>
      </c>
      <c r="AN136" s="2" t="s">
        <v>3786</v>
      </c>
      <c r="AO136" s="2" t="s">
        <v>6587</v>
      </c>
      <c r="AP136" s="2" t="s">
        <v>3635</v>
      </c>
      <c r="AQ136" s="2" t="s">
        <v>3635</v>
      </c>
      <c r="AR136" s="2" t="s">
        <v>6588</v>
      </c>
      <c r="AS136" s="2" t="s">
        <v>6589</v>
      </c>
      <c r="AT136" s="2" t="s">
        <v>3716</v>
      </c>
      <c r="AU136" s="2">
        <v>2023.0</v>
      </c>
      <c r="AV136" s="2">
        <v>20.0</v>
      </c>
      <c r="AW136" s="2">
        <v>3.0</v>
      </c>
      <c r="AX136" s="2" t="s">
        <v>3635</v>
      </c>
      <c r="AY136" s="2" t="s">
        <v>3635</v>
      </c>
      <c r="AZ136" s="2" t="s">
        <v>3635</v>
      </c>
      <c r="BA136" s="2" t="s">
        <v>3635</v>
      </c>
      <c r="BB136" s="2">
        <v>2682.0</v>
      </c>
      <c r="BC136" s="2">
        <v>2697.0</v>
      </c>
      <c r="BD136" s="2" t="s">
        <v>3635</v>
      </c>
      <c r="BE136" s="2" t="s">
        <v>40</v>
      </c>
      <c r="BF136" s="3" t="str">
        <f>HYPERLINK("http://dx.doi.org/10.1109/TNSM.2023.3243435","http://dx.doi.org/10.1109/TNSM.2023.3243435")</f>
        <v>http://dx.doi.org/10.1109/TNSM.2023.3243435</v>
      </c>
      <c r="BG136" s="2" t="s">
        <v>3635</v>
      </c>
      <c r="BH136" s="2" t="s">
        <v>3635</v>
      </c>
      <c r="BI136" s="2">
        <v>16.0</v>
      </c>
      <c r="BJ136" s="2" t="s">
        <v>3896</v>
      </c>
      <c r="BK136" s="2" t="s">
        <v>3658</v>
      </c>
      <c r="BL136" s="2" t="s">
        <v>3659</v>
      </c>
      <c r="BM136" s="2" t="s">
        <v>6590</v>
      </c>
      <c r="BN136" s="2" t="s">
        <v>3635</v>
      </c>
      <c r="BO136" s="2" t="s">
        <v>3635</v>
      </c>
      <c r="BP136" s="2" t="s">
        <v>3635</v>
      </c>
      <c r="BQ136" s="2" t="s">
        <v>3635</v>
      </c>
      <c r="BR136" s="2" t="s">
        <v>3662</v>
      </c>
      <c r="BS136" s="2" t="s">
        <v>6591</v>
      </c>
      <c r="BT136" s="2" t="str">
        <f>HYPERLINK("https%3A%2F%2Fwww.webofscience.com%2Fwos%2Fwoscc%2Ffull-record%2FWOS:001119505800042","View Full Record in Web of Science")</f>
        <v>View Full Record in Web of Science</v>
      </c>
    </row>
    <row r="137" ht="15.75" customHeight="1">
      <c r="A137" s="2" t="s">
        <v>3633</v>
      </c>
      <c r="B137" s="2" t="s">
        <v>6592</v>
      </c>
      <c r="C137" s="2" t="s">
        <v>3635</v>
      </c>
      <c r="D137" s="2" t="s">
        <v>3635</v>
      </c>
      <c r="E137" s="2" t="s">
        <v>3635</v>
      </c>
      <c r="F137" s="2" t="s">
        <v>6593</v>
      </c>
      <c r="G137" s="2" t="s">
        <v>3635</v>
      </c>
      <c r="H137" s="2" t="s">
        <v>3635</v>
      </c>
      <c r="I137" s="2" t="s">
        <v>585</v>
      </c>
      <c r="J137" s="2" t="s">
        <v>6416</v>
      </c>
      <c r="K137" s="2" t="s">
        <v>3635</v>
      </c>
      <c r="L137" s="2" t="s">
        <v>3635</v>
      </c>
      <c r="M137" s="2" t="s">
        <v>3638</v>
      </c>
      <c r="N137" s="2" t="s">
        <v>21</v>
      </c>
      <c r="O137" s="2" t="s">
        <v>3635</v>
      </c>
      <c r="P137" s="2" t="s">
        <v>3635</v>
      </c>
      <c r="Q137" s="2" t="s">
        <v>3635</v>
      </c>
      <c r="R137" s="2" t="s">
        <v>3635</v>
      </c>
      <c r="S137" s="2" t="s">
        <v>3635</v>
      </c>
      <c r="T137" s="2" t="s">
        <v>6594</v>
      </c>
      <c r="U137" s="2" t="s">
        <v>6595</v>
      </c>
      <c r="V137" s="2" t="s">
        <v>6596</v>
      </c>
      <c r="W137" s="2" t="s">
        <v>6597</v>
      </c>
      <c r="X137" s="2" t="s">
        <v>6598</v>
      </c>
      <c r="Y137" s="2" t="s">
        <v>6599</v>
      </c>
      <c r="Z137" s="2" t="s">
        <v>6600</v>
      </c>
      <c r="AA137" s="2" t="s">
        <v>6601</v>
      </c>
      <c r="AB137" s="2" t="s">
        <v>6602</v>
      </c>
      <c r="AC137" s="2" t="s">
        <v>6603</v>
      </c>
      <c r="AD137" s="2" t="s">
        <v>6603</v>
      </c>
      <c r="AE137" s="2" t="s">
        <v>6604</v>
      </c>
      <c r="AF137" s="2" t="s">
        <v>3635</v>
      </c>
      <c r="AG137" s="2">
        <v>96.0</v>
      </c>
      <c r="AH137" s="2">
        <v>3.0</v>
      </c>
      <c r="AI137" s="2">
        <v>3.0</v>
      </c>
      <c r="AJ137" s="2">
        <v>0.0</v>
      </c>
      <c r="AK137" s="2">
        <v>1.0</v>
      </c>
      <c r="AL137" s="2" t="s">
        <v>6154</v>
      </c>
      <c r="AM137" s="2" t="s">
        <v>6429</v>
      </c>
      <c r="AN137" s="2" t="s">
        <v>6430</v>
      </c>
      <c r="AO137" s="2" t="s">
        <v>6431</v>
      </c>
      <c r="AP137" s="2" t="s">
        <v>6432</v>
      </c>
      <c r="AQ137" s="2" t="s">
        <v>3635</v>
      </c>
      <c r="AR137" s="2" t="s">
        <v>6433</v>
      </c>
      <c r="AS137" s="2" t="s">
        <v>6434</v>
      </c>
      <c r="AT137" s="2" t="s">
        <v>6605</v>
      </c>
      <c r="AU137" s="2">
        <v>2021.0</v>
      </c>
      <c r="AV137" s="2">
        <v>26.0</v>
      </c>
      <c r="AW137" s="2">
        <v>2.0</v>
      </c>
      <c r="AX137" s="2" t="s">
        <v>3635</v>
      </c>
      <c r="AY137" s="2" t="s">
        <v>3635</v>
      </c>
      <c r="AZ137" s="2" t="s">
        <v>3635</v>
      </c>
      <c r="BA137" s="2" t="s">
        <v>3635</v>
      </c>
      <c r="BB137" s="2" t="s">
        <v>3635</v>
      </c>
      <c r="BC137" s="2" t="s">
        <v>3635</v>
      </c>
      <c r="BD137" s="2">
        <v>24.0</v>
      </c>
      <c r="BE137" s="2" t="s">
        <v>586</v>
      </c>
      <c r="BF137" s="3" t="str">
        <f>HYPERLINK("http://dx.doi.org/10.1007/s10664-020-09892-x","http://dx.doi.org/10.1007/s10664-020-09892-x")</f>
        <v>http://dx.doi.org/10.1007/s10664-020-09892-x</v>
      </c>
      <c r="BG137" s="2" t="s">
        <v>3635</v>
      </c>
      <c r="BH137" s="2" t="s">
        <v>3635</v>
      </c>
      <c r="BI137" s="2">
        <v>47.0</v>
      </c>
      <c r="BJ137" s="2" t="s">
        <v>3657</v>
      </c>
      <c r="BK137" s="2" t="s">
        <v>3658</v>
      </c>
      <c r="BL137" s="2" t="s">
        <v>3659</v>
      </c>
      <c r="BM137" s="2" t="s">
        <v>6606</v>
      </c>
      <c r="BN137" s="2" t="s">
        <v>3635</v>
      </c>
      <c r="BO137" s="2" t="s">
        <v>4519</v>
      </c>
      <c r="BP137" s="2" t="s">
        <v>3635</v>
      </c>
      <c r="BQ137" s="2" t="s">
        <v>3635</v>
      </c>
      <c r="BR137" s="2" t="s">
        <v>3662</v>
      </c>
      <c r="BS137" s="2" t="s">
        <v>6607</v>
      </c>
      <c r="BT137" s="2" t="str">
        <f>HYPERLINK("https%3A%2F%2Fwww.webofscience.com%2Fwos%2Fwoscc%2Ffull-record%2FWOS:000625372100001","View Full Record in Web of Science")</f>
        <v>View Full Record in Web of Science</v>
      </c>
    </row>
    <row r="138" ht="15.75" customHeight="1">
      <c r="A138" s="2" t="s">
        <v>3633</v>
      </c>
      <c r="B138" s="2" t="s">
        <v>6608</v>
      </c>
      <c r="C138" s="2" t="s">
        <v>3635</v>
      </c>
      <c r="D138" s="2" t="s">
        <v>3635</v>
      </c>
      <c r="E138" s="2" t="s">
        <v>3635</v>
      </c>
      <c r="F138" s="2" t="s">
        <v>6609</v>
      </c>
      <c r="G138" s="2" t="s">
        <v>3635</v>
      </c>
      <c r="H138" s="2" t="s">
        <v>3635</v>
      </c>
      <c r="I138" s="2" t="s">
        <v>6610</v>
      </c>
      <c r="J138" s="2" t="s">
        <v>4301</v>
      </c>
      <c r="K138" s="2" t="s">
        <v>3635</v>
      </c>
      <c r="L138" s="2" t="s">
        <v>3635</v>
      </c>
      <c r="M138" s="2" t="s">
        <v>3638</v>
      </c>
      <c r="N138" s="2" t="s">
        <v>21</v>
      </c>
      <c r="O138" s="2" t="s">
        <v>3635</v>
      </c>
      <c r="P138" s="2" t="s">
        <v>3635</v>
      </c>
      <c r="Q138" s="2" t="s">
        <v>3635</v>
      </c>
      <c r="R138" s="2" t="s">
        <v>3635</v>
      </c>
      <c r="S138" s="2" t="s">
        <v>3635</v>
      </c>
      <c r="T138" s="2" t="s">
        <v>3635</v>
      </c>
      <c r="U138" s="2" t="s">
        <v>6611</v>
      </c>
      <c r="V138" s="2" t="s">
        <v>6612</v>
      </c>
      <c r="W138" s="2" t="s">
        <v>6613</v>
      </c>
      <c r="X138" s="2" t="s">
        <v>6614</v>
      </c>
      <c r="Y138" s="2" t="s">
        <v>6615</v>
      </c>
      <c r="Z138" s="2" t="s">
        <v>6616</v>
      </c>
      <c r="AA138" s="2" t="s">
        <v>6617</v>
      </c>
      <c r="AB138" s="2" t="s">
        <v>6618</v>
      </c>
      <c r="AC138" s="2" t="s">
        <v>3635</v>
      </c>
      <c r="AD138" s="2" t="s">
        <v>3635</v>
      </c>
      <c r="AE138" s="2" t="s">
        <v>3635</v>
      </c>
      <c r="AF138" s="2" t="s">
        <v>3635</v>
      </c>
      <c r="AG138" s="2">
        <v>45.0</v>
      </c>
      <c r="AH138" s="2">
        <v>2.0</v>
      </c>
      <c r="AI138" s="2">
        <v>2.0</v>
      </c>
      <c r="AJ138" s="2">
        <v>6.0</v>
      </c>
      <c r="AK138" s="2">
        <v>10.0</v>
      </c>
      <c r="AL138" s="2" t="s">
        <v>4311</v>
      </c>
      <c r="AM138" s="2" t="s">
        <v>4312</v>
      </c>
      <c r="AN138" s="2" t="s">
        <v>4313</v>
      </c>
      <c r="AO138" s="2" t="s">
        <v>4314</v>
      </c>
      <c r="AP138" s="2" t="s">
        <v>3635</v>
      </c>
      <c r="AQ138" s="2" t="s">
        <v>3635</v>
      </c>
      <c r="AR138" s="2" t="s">
        <v>4315</v>
      </c>
      <c r="AS138" s="2" t="s">
        <v>4316</v>
      </c>
      <c r="AT138" s="2" t="s">
        <v>6619</v>
      </c>
      <c r="AU138" s="2">
        <v>2023.0</v>
      </c>
      <c r="AV138" s="2">
        <v>13.0</v>
      </c>
      <c r="AW138" s="2">
        <v>1.0</v>
      </c>
      <c r="AX138" s="2" t="s">
        <v>3635</v>
      </c>
      <c r="AY138" s="2" t="s">
        <v>3635</v>
      </c>
      <c r="AZ138" s="2" t="s">
        <v>3635</v>
      </c>
      <c r="BA138" s="2" t="s">
        <v>3635</v>
      </c>
      <c r="BB138" s="2" t="s">
        <v>3635</v>
      </c>
      <c r="BC138" s="2" t="s">
        <v>3635</v>
      </c>
      <c r="BD138" s="2" t="s">
        <v>3635</v>
      </c>
      <c r="BE138" s="2" t="s">
        <v>6620</v>
      </c>
      <c r="BF138" s="3" t="str">
        <f>HYPERLINK("http://dx.doi.org/10.1038/s41598-023-39934-5","http://dx.doi.org/10.1038/s41598-023-39934-5")</f>
        <v>http://dx.doi.org/10.1038/s41598-023-39934-5</v>
      </c>
      <c r="BG138" s="2" t="s">
        <v>3635</v>
      </c>
      <c r="BH138" s="2" t="s">
        <v>3635</v>
      </c>
      <c r="BI138" s="2">
        <v>14.0</v>
      </c>
      <c r="BJ138" s="2" t="s">
        <v>4319</v>
      </c>
      <c r="BK138" s="2" t="s">
        <v>3658</v>
      </c>
      <c r="BL138" s="2" t="s">
        <v>4320</v>
      </c>
      <c r="BM138" s="2" t="s">
        <v>6621</v>
      </c>
      <c r="BN138" s="2">
        <v>3.7608032E7</v>
      </c>
      <c r="BO138" s="2" t="s">
        <v>4251</v>
      </c>
      <c r="BP138" s="2" t="s">
        <v>3635</v>
      </c>
      <c r="BQ138" s="2" t="s">
        <v>3635</v>
      </c>
      <c r="BR138" s="2" t="s">
        <v>3662</v>
      </c>
      <c r="BS138" s="2" t="s">
        <v>6622</v>
      </c>
      <c r="BT138" s="2" t="str">
        <f>HYPERLINK("https%3A%2F%2Fwww.webofscience.com%2Fwos%2Fwoscc%2Ffull-record%2FWOS:001052937600078","View Full Record in Web of Science")</f>
        <v>View Full Record in Web of Science</v>
      </c>
    </row>
    <row r="139" ht="15.75" customHeight="1">
      <c r="A139" s="2" t="s">
        <v>3633</v>
      </c>
      <c r="B139" s="2" t="s">
        <v>6623</v>
      </c>
      <c r="C139" s="2" t="s">
        <v>3635</v>
      </c>
      <c r="D139" s="2" t="s">
        <v>3635</v>
      </c>
      <c r="E139" s="2" t="s">
        <v>3635</v>
      </c>
      <c r="F139" s="2" t="s">
        <v>6623</v>
      </c>
      <c r="G139" s="2" t="s">
        <v>3635</v>
      </c>
      <c r="H139" s="2" t="s">
        <v>3635</v>
      </c>
      <c r="I139" s="2" t="s">
        <v>6624</v>
      </c>
      <c r="J139" s="2" t="s">
        <v>3902</v>
      </c>
      <c r="K139" s="2" t="s">
        <v>3635</v>
      </c>
      <c r="L139" s="2" t="s">
        <v>3635</v>
      </c>
      <c r="M139" s="2" t="s">
        <v>3638</v>
      </c>
      <c r="N139" s="2" t="s">
        <v>21</v>
      </c>
      <c r="O139" s="2" t="s">
        <v>3635</v>
      </c>
      <c r="P139" s="2" t="s">
        <v>3635</v>
      </c>
      <c r="Q139" s="2" t="s">
        <v>3635</v>
      </c>
      <c r="R139" s="2" t="s">
        <v>3635</v>
      </c>
      <c r="S139" s="2" t="s">
        <v>3635</v>
      </c>
      <c r="T139" s="2" t="s">
        <v>3635</v>
      </c>
      <c r="U139" s="2" t="s">
        <v>6625</v>
      </c>
      <c r="V139" s="2" t="s">
        <v>6626</v>
      </c>
      <c r="W139" s="2" t="s">
        <v>6627</v>
      </c>
      <c r="X139" s="2" t="s">
        <v>6628</v>
      </c>
      <c r="Y139" s="2" t="s">
        <v>6629</v>
      </c>
      <c r="Z139" s="2" t="s">
        <v>3635</v>
      </c>
      <c r="AA139" s="2" t="s">
        <v>3635</v>
      </c>
      <c r="AB139" s="2" t="s">
        <v>6630</v>
      </c>
      <c r="AC139" s="2" t="s">
        <v>3635</v>
      </c>
      <c r="AD139" s="2" t="s">
        <v>3635</v>
      </c>
      <c r="AE139" s="2" t="s">
        <v>3635</v>
      </c>
      <c r="AF139" s="2" t="s">
        <v>3635</v>
      </c>
      <c r="AG139" s="2">
        <v>33.0</v>
      </c>
      <c r="AH139" s="2">
        <v>321.0</v>
      </c>
      <c r="AI139" s="2">
        <v>397.0</v>
      </c>
      <c r="AJ139" s="2">
        <v>0.0</v>
      </c>
      <c r="AK139" s="2">
        <v>21.0</v>
      </c>
      <c r="AL139" s="2" t="s">
        <v>3914</v>
      </c>
      <c r="AM139" s="2" t="s">
        <v>3915</v>
      </c>
      <c r="AN139" s="2" t="s">
        <v>3916</v>
      </c>
      <c r="AO139" s="2" t="s">
        <v>3917</v>
      </c>
      <c r="AP139" s="2" t="s">
        <v>3635</v>
      </c>
      <c r="AQ139" s="2" t="s">
        <v>3635</v>
      </c>
      <c r="AR139" s="2" t="s">
        <v>3902</v>
      </c>
      <c r="AS139" s="2" t="s">
        <v>18</v>
      </c>
      <c r="AT139" s="2" t="s">
        <v>4984</v>
      </c>
      <c r="AU139" s="2">
        <v>2001.0</v>
      </c>
      <c r="AV139" s="2">
        <v>17.0</v>
      </c>
      <c r="AW139" s="2">
        <v>6.0</v>
      </c>
      <c r="AX139" s="2" t="s">
        <v>3635</v>
      </c>
      <c r="AY139" s="2" t="s">
        <v>3635</v>
      </c>
      <c r="AZ139" s="2" t="s">
        <v>3635</v>
      </c>
      <c r="BA139" s="2" t="s">
        <v>3635</v>
      </c>
      <c r="BB139" s="2">
        <v>495.0</v>
      </c>
      <c r="BC139" s="2">
        <v>508.0</v>
      </c>
      <c r="BD139" s="2" t="s">
        <v>3635</v>
      </c>
      <c r="BE139" s="2" t="s">
        <v>6631</v>
      </c>
      <c r="BF139" s="3" t="str">
        <f>HYPERLINK("http://dx.doi.org/10.1093/bioinformatics/17.6.495","http://dx.doi.org/10.1093/bioinformatics/17.6.495")</f>
        <v>http://dx.doi.org/10.1093/bioinformatics/17.6.495</v>
      </c>
      <c r="BG139" s="2" t="s">
        <v>3635</v>
      </c>
      <c r="BH139" s="2" t="s">
        <v>3635</v>
      </c>
      <c r="BI139" s="2">
        <v>14.0</v>
      </c>
      <c r="BJ139" s="2" t="s">
        <v>3920</v>
      </c>
      <c r="BK139" s="2" t="s">
        <v>3658</v>
      </c>
      <c r="BL139" s="2" t="s">
        <v>3921</v>
      </c>
      <c r="BM139" s="2" t="s">
        <v>6632</v>
      </c>
      <c r="BN139" s="2">
        <v>1.1395426E7</v>
      </c>
      <c r="BO139" s="2" t="s">
        <v>4141</v>
      </c>
      <c r="BP139" s="2" t="s">
        <v>3635</v>
      </c>
      <c r="BQ139" s="2" t="s">
        <v>3635</v>
      </c>
      <c r="BR139" s="2" t="s">
        <v>3662</v>
      </c>
      <c r="BS139" s="2" t="s">
        <v>6633</v>
      </c>
      <c r="BT139" s="2" t="str">
        <f>HYPERLINK("https%3A%2F%2Fwww.webofscience.com%2Fwos%2Fwoscc%2Ffull-record%2FWOS:000169404700003","View Full Record in Web of Science")</f>
        <v>View Full Record in Web of Science</v>
      </c>
    </row>
    <row r="140" ht="15.75" customHeight="1">
      <c r="A140" s="2" t="s">
        <v>3633</v>
      </c>
      <c r="B140" s="2" t="s">
        <v>6634</v>
      </c>
      <c r="C140" s="2" t="s">
        <v>3635</v>
      </c>
      <c r="D140" s="2" t="s">
        <v>3635</v>
      </c>
      <c r="E140" s="2" t="s">
        <v>3635</v>
      </c>
      <c r="F140" s="2" t="s">
        <v>6635</v>
      </c>
      <c r="G140" s="2" t="s">
        <v>3635</v>
      </c>
      <c r="H140" s="2" t="s">
        <v>3635</v>
      </c>
      <c r="I140" s="2" t="s">
        <v>6636</v>
      </c>
      <c r="J140" s="2" t="s">
        <v>6637</v>
      </c>
      <c r="K140" s="2" t="s">
        <v>3635</v>
      </c>
      <c r="L140" s="2" t="s">
        <v>3635</v>
      </c>
      <c r="M140" s="2" t="s">
        <v>3638</v>
      </c>
      <c r="N140" s="2" t="s">
        <v>21</v>
      </c>
      <c r="O140" s="2" t="s">
        <v>3635</v>
      </c>
      <c r="P140" s="2" t="s">
        <v>3635</v>
      </c>
      <c r="Q140" s="2" t="s">
        <v>3635</v>
      </c>
      <c r="R140" s="2" t="s">
        <v>3635</v>
      </c>
      <c r="S140" s="2" t="s">
        <v>3635</v>
      </c>
      <c r="T140" s="2" t="s">
        <v>6638</v>
      </c>
      <c r="U140" s="2" t="s">
        <v>3635</v>
      </c>
      <c r="V140" s="2" t="s">
        <v>6639</v>
      </c>
      <c r="W140" s="2" t="s">
        <v>6640</v>
      </c>
      <c r="X140" s="2" t="s">
        <v>6641</v>
      </c>
      <c r="Y140" s="2" t="s">
        <v>6642</v>
      </c>
      <c r="Z140" s="2" t="s">
        <v>6643</v>
      </c>
      <c r="AA140" s="2" t="s">
        <v>3635</v>
      </c>
      <c r="AB140" s="2" t="s">
        <v>3635</v>
      </c>
      <c r="AC140" s="2" t="s">
        <v>6644</v>
      </c>
      <c r="AD140" s="2" t="s">
        <v>6645</v>
      </c>
      <c r="AE140" s="2" t="s">
        <v>6646</v>
      </c>
      <c r="AF140" s="2" t="s">
        <v>3635</v>
      </c>
      <c r="AG140" s="2">
        <v>14.0</v>
      </c>
      <c r="AH140" s="2">
        <v>9.0</v>
      </c>
      <c r="AI140" s="2">
        <v>11.0</v>
      </c>
      <c r="AJ140" s="2">
        <v>0.0</v>
      </c>
      <c r="AK140" s="2">
        <v>26.0</v>
      </c>
      <c r="AL140" s="2" t="s">
        <v>6647</v>
      </c>
      <c r="AM140" s="2" t="s">
        <v>4668</v>
      </c>
      <c r="AN140" s="2" t="s">
        <v>6648</v>
      </c>
      <c r="AO140" s="2" t="s">
        <v>6649</v>
      </c>
      <c r="AP140" s="2" t="s">
        <v>3635</v>
      </c>
      <c r="AQ140" s="2" t="s">
        <v>3635</v>
      </c>
      <c r="AR140" s="2" t="s">
        <v>6637</v>
      </c>
      <c r="AS140" s="2" t="s">
        <v>6650</v>
      </c>
      <c r="AT140" s="2" t="s">
        <v>6651</v>
      </c>
      <c r="AU140" s="2">
        <v>2015.0</v>
      </c>
      <c r="AV140" s="2">
        <v>3.0</v>
      </c>
      <c r="AW140" s="2" t="s">
        <v>3635</v>
      </c>
      <c r="AX140" s="2" t="s">
        <v>3635</v>
      </c>
      <c r="AY140" s="2" t="s">
        <v>3635</v>
      </c>
      <c r="AZ140" s="2" t="s">
        <v>3635</v>
      </c>
      <c r="BA140" s="2" t="s">
        <v>3635</v>
      </c>
      <c r="BB140" s="2" t="s">
        <v>3635</v>
      </c>
      <c r="BC140" s="2" t="s">
        <v>3635</v>
      </c>
      <c r="BD140" s="2" t="s">
        <v>6652</v>
      </c>
      <c r="BE140" s="2" t="s">
        <v>6653</v>
      </c>
      <c r="BF140" s="3" t="str">
        <f>HYPERLINK("http://dx.doi.org/10.7717/peerj.824","http://dx.doi.org/10.7717/peerj.824")</f>
        <v>http://dx.doi.org/10.7717/peerj.824</v>
      </c>
      <c r="BG140" s="2" t="s">
        <v>3635</v>
      </c>
      <c r="BH140" s="2" t="s">
        <v>3635</v>
      </c>
      <c r="BI140" s="2">
        <v>11.0</v>
      </c>
      <c r="BJ140" s="2" t="s">
        <v>4319</v>
      </c>
      <c r="BK140" s="2" t="s">
        <v>3658</v>
      </c>
      <c r="BL140" s="2" t="s">
        <v>4320</v>
      </c>
      <c r="BM140" s="2" t="s">
        <v>6654</v>
      </c>
      <c r="BN140" s="2">
        <v>2.5780776E7</v>
      </c>
      <c r="BO140" s="2" t="s">
        <v>6655</v>
      </c>
      <c r="BP140" s="2" t="s">
        <v>3635</v>
      </c>
      <c r="BQ140" s="2" t="s">
        <v>3635</v>
      </c>
      <c r="BR140" s="2" t="s">
        <v>3662</v>
      </c>
      <c r="BS140" s="2" t="s">
        <v>6656</v>
      </c>
      <c r="BT140" s="2" t="str">
        <f>HYPERLINK("https%3A%2F%2Fwww.webofscience.com%2Fwos%2Fwoscc%2Ffull-record%2FWOS:000350765400008","View Full Record in Web of Science")</f>
        <v>View Full Record in Web of Science</v>
      </c>
    </row>
    <row r="141" ht="15.75" customHeight="1">
      <c r="A141" s="2" t="s">
        <v>3633</v>
      </c>
      <c r="B141" s="2" t="s">
        <v>6657</v>
      </c>
      <c r="C141" s="2" t="s">
        <v>3635</v>
      </c>
      <c r="D141" s="2" t="s">
        <v>3635</v>
      </c>
      <c r="E141" s="2" t="s">
        <v>3635</v>
      </c>
      <c r="F141" s="2" t="s">
        <v>6658</v>
      </c>
      <c r="G141" s="2" t="s">
        <v>3635</v>
      </c>
      <c r="H141" s="2" t="s">
        <v>3635</v>
      </c>
      <c r="I141" s="2" t="s">
        <v>6659</v>
      </c>
      <c r="J141" s="2" t="s">
        <v>4481</v>
      </c>
      <c r="K141" s="2" t="s">
        <v>3635</v>
      </c>
      <c r="L141" s="2" t="s">
        <v>3635</v>
      </c>
      <c r="M141" s="2" t="s">
        <v>3638</v>
      </c>
      <c r="N141" s="2" t="s">
        <v>21</v>
      </c>
      <c r="O141" s="2" t="s">
        <v>3635</v>
      </c>
      <c r="P141" s="2" t="s">
        <v>3635</v>
      </c>
      <c r="Q141" s="2" t="s">
        <v>3635</v>
      </c>
      <c r="R141" s="2" t="s">
        <v>3635</v>
      </c>
      <c r="S141" s="2" t="s">
        <v>3635</v>
      </c>
      <c r="T141" s="2" t="s">
        <v>6660</v>
      </c>
      <c r="U141" s="2" t="s">
        <v>6661</v>
      </c>
      <c r="V141" s="2" t="s">
        <v>6662</v>
      </c>
      <c r="W141" s="2" t="s">
        <v>6663</v>
      </c>
      <c r="X141" s="2" t="s">
        <v>6664</v>
      </c>
      <c r="Y141" s="2" t="s">
        <v>6665</v>
      </c>
      <c r="Z141" s="2" t="s">
        <v>6666</v>
      </c>
      <c r="AA141" s="2" t="s">
        <v>5043</v>
      </c>
      <c r="AB141" s="2" t="s">
        <v>6667</v>
      </c>
      <c r="AC141" s="2" t="s">
        <v>3635</v>
      </c>
      <c r="AD141" s="2" t="s">
        <v>3635</v>
      </c>
      <c r="AE141" s="2" t="s">
        <v>3635</v>
      </c>
      <c r="AF141" s="2" t="s">
        <v>3635</v>
      </c>
      <c r="AG141" s="2">
        <v>20.0</v>
      </c>
      <c r="AH141" s="2">
        <v>47.0</v>
      </c>
      <c r="AI141" s="2">
        <v>59.0</v>
      </c>
      <c r="AJ141" s="2">
        <v>0.0</v>
      </c>
      <c r="AK141" s="2">
        <v>9.0</v>
      </c>
      <c r="AL141" s="2" t="s">
        <v>6668</v>
      </c>
      <c r="AM141" s="2" t="s">
        <v>6669</v>
      </c>
      <c r="AN141" s="2" t="s">
        <v>6670</v>
      </c>
      <c r="AO141" s="2" t="s">
        <v>4496</v>
      </c>
      <c r="AP141" s="2" t="s">
        <v>4497</v>
      </c>
      <c r="AQ141" s="2" t="s">
        <v>3635</v>
      </c>
      <c r="AR141" s="2" t="s">
        <v>4498</v>
      </c>
      <c r="AS141" s="2" t="s">
        <v>4499</v>
      </c>
      <c r="AT141" s="2" t="s">
        <v>3716</v>
      </c>
      <c r="AU141" s="2">
        <v>2015.0</v>
      </c>
      <c r="AV141" s="2">
        <v>110.0</v>
      </c>
      <c r="AW141" s="2">
        <v>511.0</v>
      </c>
      <c r="AX141" s="2" t="s">
        <v>3635</v>
      </c>
      <c r="AY141" s="2" t="s">
        <v>3635</v>
      </c>
      <c r="AZ141" s="2" t="s">
        <v>3635</v>
      </c>
      <c r="BA141" s="2" t="s">
        <v>3635</v>
      </c>
      <c r="BB141" s="2">
        <v>1013.0</v>
      </c>
      <c r="BC141" s="2">
        <v>1023.0</v>
      </c>
      <c r="BD141" s="2" t="s">
        <v>3635</v>
      </c>
      <c r="BE141" s="2" t="s">
        <v>6671</v>
      </c>
      <c r="BF141" s="3" t="str">
        <f>HYPERLINK("http://dx.doi.org/10.1080/01621459.2014.956872","http://dx.doi.org/10.1080/01621459.2014.956872")</f>
        <v>http://dx.doi.org/10.1080/01621459.2014.956872</v>
      </c>
      <c r="BG141" s="2" t="s">
        <v>3635</v>
      </c>
      <c r="BH141" s="2" t="s">
        <v>3635</v>
      </c>
      <c r="BI141" s="2">
        <v>11.0</v>
      </c>
      <c r="BJ141" s="2" t="s">
        <v>4377</v>
      </c>
      <c r="BK141" s="2" t="s">
        <v>4378</v>
      </c>
      <c r="BL141" s="2" t="s">
        <v>4379</v>
      </c>
      <c r="BM141" s="2" t="s">
        <v>6672</v>
      </c>
      <c r="BN141" s="2" t="s">
        <v>3635</v>
      </c>
      <c r="BO141" s="2" t="s">
        <v>3635</v>
      </c>
      <c r="BP141" s="2" t="s">
        <v>3635</v>
      </c>
      <c r="BQ141" s="2" t="s">
        <v>3635</v>
      </c>
      <c r="BR141" s="2" t="s">
        <v>3662</v>
      </c>
      <c r="BS141" s="2" t="s">
        <v>6673</v>
      </c>
      <c r="BT141" s="2" t="str">
        <f>HYPERLINK("https%3A%2F%2Fwww.webofscience.com%2Fwos%2Fwoscc%2Ffull-record%2FWOS:000365144600013","View Full Record in Web of Science")</f>
        <v>View Full Record in Web of Science</v>
      </c>
    </row>
    <row r="142" ht="15.75" customHeight="1">
      <c r="A142" s="2" t="s">
        <v>3633</v>
      </c>
      <c r="B142" s="2" t="s">
        <v>6674</v>
      </c>
      <c r="C142" s="2" t="s">
        <v>3635</v>
      </c>
      <c r="D142" s="2" t="s">
        <v>3635</v>
      </c>
      <c r="E142" s="2" t="s">
        <v>3635</v>
      </c>
      <c r="F142" s="2" t="s">
        <v>6675</v>
      </c>
      <c r="G142" s="2" t="s">
        <v>3635</v>
      </c>
      <c r="H142" s="2" t="s">
        <v>3635</v>
      </c>
      <c r="I142" s="2" t="s">
        <v>1525</v>
      </c>
      <c r="J142" s="2" t="s">
        <v>6676</v>
      </c>
      <c r="K142" s="2" t="s">
        <v>3635</v>
      </c>
      <c r="L142" s="2" t="s">
        <v>3635</v>
      </c>
      <c r="M142" s="2" t="s">
        <v>3638</v>
      </c>
      <c r="N142" s="2" t="s">
        <v>5948</v>
      </c>
      <c r="O142" s="2" t="s">
        <v>6677</v>
      </c>
      <c r="P142" s="2" t="s">
        <v>6678</v>
      </c>
      <c r="Q142" s="2" t="s">
        <v>6679</v>
      </c>
      <c r="R142" s="2" t="s">
        <v>3635</v>
      </c>
      <c r="S142" s="2" t="s">
        <v>3635</v>
      </c>
      <c r="T142" s="2" t="s">
        <v>6680</v>
      </c>
      <c r="U142" s="2" t="s">
        <v>6681</v>
      </c>
      <c r="V142" s="2" t="s">
        <v>6682</v>
      </c>
      <c r="W142" s="2" t="s">
        <v>6683</v>
      </c>
      <c r="X142" s="2" t="s">
        <v>6684</v>
      </c>
      <c r="Y142" s="2" t="s">
        <v>6685</v>
      </c>
      <c r="Z142" s="2" t="s">
        <v>6686</v>
      </c>
      <c r="AA142" s="2" t="s">
        <v>3635</v>
      </c>
      <c r="AB142" s="2" t="s">
        <v>3635</v>
      </c>
      <c r="AC142" s="2" t="s">
        <v>3635</v>
      </c>
      <c r="AD142" s="2" t="s">
        <v>3635</v>
      </c>
      <c r="AE142" s="2" t="s">
        <v>3635</v>
      </c>
      <c r="AF142" s="2" t="s">
        <v>3635</v>
      </c>
      <c r="AG142" s="2">
        <v>30.0</v>
      </c>
      <c r="AH142" s="2">
        <v>20.0</v>
      </c>
      <c r="AI142" s="2">
        <v>23.0</v>
      </c>
      <c r="AJ142" s="2">
        <v>0.0</v>
      </c>
      <c r="AK142" s="2">
        <v>1.0</v>
      </c>
      <c r="AL142" s="2" t="s">
        <v>6687</v>
      </c>
      <c r="AM142" s="2" t="s">
        <v>3651</v>
      </c>
      <c r="AN142" s="2" t="s">
        <v>6688</v>
      </c>
      <c r="AO142" s="2" t="s">
        <v>6689</v>
      </c>
      <c r="AP142" s="2" t="s">
        <v>6690</v>
      </c>
      <c r="AQ142" s="2" t="s">
        <v>3635</v>
      </c>
      <c r="AR142" s="2" t="s">
        <v>6691</v>
      </c>
      <c r="AS142" s="2" t="s">
        <v>6692</v>
      </c>
      <c r="AT142" s="2" t="s">
        <v>6693</v>
      </c>
      <c r="AU142" s="2">
        <v>2007.0</v>
      </c>
      <c r="AV142" s="2">
        <v>80.0</v>
      </c>
      <c r="AW142" s="2">
        <v>4.0</v>
      </c>
      <c r="AX142" s="2" t="s">
        <v>3635</v>
      </c>
      <c r="AY142" s="2" t="s">
        <v>3635</v>
      </c>
      <c r="AZ142" s="2" t="s">
        <v>3717</v>
      </c>
      <c r="BA142" s="2" t="s">
        <v>3635</v>
      </c>
      <c r="BB142" s="2">
        <v>474.0</v>
      </c>
      <c r="BC142" s="2">
        <v>492.0</v>
      </c>
      <c r="BD142" s="2" t="s">
        <v>3635</v>
      </c>
      <c r="BE142" s="2" t="s">
        <v>1527</v>
      </c>
      <c r="BF142" s="3" t="str">
        <f>HYPERLINK("http://dx.doi.org/10.1016/j.jss.2006.07.019","http://dx.doi.org/10.1016/j.jss.2006.07.019")</f>
        <v>http://dx.doi.org/10.1016/j.jss.2006.07.019</v>
      </c>
      <c r="BG142" s="2" t="s">
        <v>3635</v>
      </c>
      <c r="BH142" s="2" t="s">
        <v>3635</v>
      </c>
      <c r="BI142" s="2">
        <v>19.0</v>
      </c>
      <c r="BJ142" s="2" t="s">
        <v>3691</v>
      </c>
      <c r="BK142" s="2" t="s">
        <v>6694</v>
      </c>
      <c r="BL142" s="2" t="s">
        <v>3659</v>
      </c>
      <c r="BM142" s="2" t="s">
        <v>6695</v>
      </c>
      <c r="BN142" s="2" t="s">
        <v>3635</v>
      </c>
      <c r="BO142" s="2" t="s">
        <v>3635</v>
      </c>
      <c r="BP142" s="2" t="s">
        <v>3635</v>
      </c>
      <c r="BQ142" s="2" t="s">
        <v>3635</v>
      </c>
      <c r="BR142" s="2" t="s">
        <v>3662</v>
      </c>
      <c r="BS142" s="2" t="s">
        <v>6696</v>
      </c>
      <c r="BT142" s="2" t="str">
        <f>HYPERLINK("https%3A%2F%2Fwww.webofscience.com%2Fwos%2Fwoscc%2Ffull-record%2FWOS:000245771700004","View Full Record in Web of Science")</f>
        <v>View Full Record in Web of Science</v>
      </c>
    </row>
    <row r="143" ht="15.75" customHeight="1">
      <c r="A143" s="2" t="s">
        <v>3633</v>
      </c>
      <c r="B143" s="2" t="s">
        <v>6657</v>
      </c>
      <c r="C143" s="2" t="s">
        <v>3635</v>
      </c>
      <c r="D143" s="2" t="s">
        <v>3635</v>
      </c>
      <c r="E143" s="2" t="s">
        <v>3635</v>
      </c>
      <c r="F143" s="2" t="s">
        <v>6658</v>
      </c>
      <c r="G143" s="2" t="s">
        <v>3635</v>
      </c>
      <c r="H143" s="2" t="s">
        <v>3635</v>
      </c>
      <c r="I143" s="2" t="s">
        <v>6697</v>
      </c>
      <c r="J143" s="2" t="s">
        <v>6698</v>
      </c>
      <c r="K143" s="2" t="s">
        <v>3635</v>
      </c>
      <c r="L143" s="2" t="s">
        <v>3635</v>
      </c>
      <c r="M143" s="2" t="s">
        <v>3638</v>
      </c>
      <c r="N143" s="2" t="s">
        <v>21</v>
      </c>
      <c r="O143" s="2" t="s">
        <v>3635</v>
      </c>
      <c r="P143" s="2" t="s">
        <v>3635</v>
      </c>
      <c r="Q143" s="2" t="s">
        <v>3635</v>
      </c>
      <c r="R143" s="2" t="s">
        <v>3635</v>
      </c>
      <c r="S143" s="2" t="s">
        <v>3635</v>
      </c>
      <c r="T143" s="2" t="s">
        <v>6699</v>
      </c>
      <c r="U143" s="2" t="s">
        <v>6700</v>
      </c>
      <c r="V143" s="2" t="s">
        <v>6701</v>
      </c>
      <c r="W143" s="2" t="s">
        <v>6702</v>
      </c>
      <c r="X143" s="2" t="s">
        <v>6664</v>
      </c>
      <c r="Y143" s="2" t="s">
        <v>6665</v>
      </c>
      <c r="Z143" s="2" t="s">
        <v>6703</v>
      </c>
      <c r="AA143" s="2" t="s">
        <v>5043</v>
      </c>
      <c r="AB143" s="2" t="s">
        <v>6667</v>
      </c>
      <c r="AC143" s="2" t="s">
        <v>6704</v>
      </c>
      <c r="AD143" s="2" t="s">
        <v>3760</v>
      </c>
      <c r="AE143" s="2" t="s">
        <v>6705</v>
      </c>
      <c r="AF143" s="2" t="s">
        <v>3635</v>
      </c>
      <c r="AG143" s="2">
        <v>58.0</v>
      </c>
      <c r="AH143" s="2">
        <v>677.0</v>
      </c>
      <c r="AI143" s="2">
        <v>819.0</v>
      </c>
      <c r="AJ143" s="2">
        <v>24.0</v>
      </c>
      <c r="AK143" s="2">
        <v>184.0</v>
      </c>
      <c r="AL143" s="2" t="s">
        <v>3709</v>
      </c>
      <c r="AM143" s="2" t="s">
        <v>3710</v>
      </c>
      <c r="AN143" s="2" t="s">
        <v>3711</v>
      </c>
      <c r="AO143" s="2" t="s">
        <v>6706</v>
      </c>
      <c r="AP143" s="2" t="s">
        <v>6707</v>
      </c>
      <c r="AQ143" s="2" t="s">
        <v>3635</v>
      </c>
      <c r="AR143" s="2" t="s">
        <v>6708</v>
      </c>
      <c r="AS143" s="2" t="s">
        <v>6709</v>
      </c>
      <c r="AT143" s="2" t="s">
        <v>3656</v>
      </c>
      <c r="AU143" s="2">
        <v>2014.0</v>
      </c>
      <c r="AV143" s="2">
        <v>76.0</v>
      </c>
      <c r="AW143" s="2">
        <v>1.0</v>
      </c>
      <c r="AX143" s="2" t="s">
        <v>3635</v>
      </c>
      <c r="AY143" s="2" t="s">
        <v>3635</v>
      </c>
      <c r="AZ143" s="2" t="s">
        <v>3635</v>
      </c>
      <c r="BA143" s="2" t="s">
        <v>3635</v>
      </c>
      <c r="BB143" s="2">
        <v>243.0</v>
      </c>
      <c r="BC143" s="2">
        <v>263.0</v>
      </c>
      <c r="BD143" s="2" t="s">
        <v>3635</v>
      </c>
      <c r="BE143" s="2" t="s">
        <v>6710</v>
      </c>
      <c r="BF143" s="3" t="str">
        <f>HYPERLINK("http://dx.doi.org/10.1111/rssb.12027","http://dx.doi.org/10.1111/rssb.12027")</f>
        <v>http://dx.doi.org/10.1111/rssb.12027</v>
      </c>
      <c r="BG143" s="2" t="s">
        <v>3635</v>
      </c>
      <c r="BH143" s="2" t="s">
        <v>3635</v>
      </c>
      <c r="BI143" s="2">
        <v>21.0</v>
      </c>
      <c r="BJ143" s="2" t="s">
        <v>4377</v>
      </c>
      <c r="BK143" s="2" t="s">
        <v>4378</v>
      </c>
      <c r="BL143" s="2" t="s">
        <v>4379</v>
      </c>
      <c r="BM143" s="2" t="s">
        <v>6711</v>
      </c>
      <c r="BN143" s="2" t="s">
        <v>3635</v>
      </c>
      <c r="BO143" s="2" t="s">
        <v>3694</v>
      </c>
      <c r="BP143" s="2" t="s">
        <v>3635</v>
      </c>
      <c r="BQ143" s="2" t="s">
        <v>3635</v>
      </c>
      <c r="BR143" s="2" t="s">
        <v>3662</v>
      </c>
      <c r="BS143" s="2" t="s">
        <v>6712</v>
      </c>
      <c r="BT143" s="2" t="str">
        <f>HYPERLINK("https%3A%2F%2Fwww.webofscience.com%2Fwos%2Fwoscc%2Ffull-record%2FWOS:000329296900012","View Full Record in Web of Science")</f>
        <v>View Full Record in Web of Science</v>
      </c>
    </row>
    <row r="144" ht="15.75" customHeight="1">
      <c r="A144" s="2" t="s">
        <v>3633</v>
      </c>
      <c r="B144" s="2" t="s">
        <v>6713</v>
      </c>
      <c r="C144" s="2" t="s">
        <v>3635</v>
      </c>
      <c r="D144" s="2" t="s">
        <v>3635</v>
      </c>
      <c r="E144" s="2" t="s">
        <v>3635</v>
      </c>
      <c r="F144" s="2" t="s">
        <v>6714</v>
      </c>
      <c r="G144" s="2" t="s">
        <v>3635</v>
      </c>
      <c r="H144" s="2" t="s">
        <v>3635</v>
      </c>
      <c r="I144" s="2" t="s">
        <v>6715</v>
      </c>
      <c r="J144" s="2" t="s">
        <v>6716</v>
      </c>
      <c r="K144" s="2" t="s">
        <v>3635</v>
      </c>
      <c r="L144" s="2" t="s">
        <v>3635</v>
      </c>
      <c r="M144" s="2" t="s">
        <v>3638</v>
      </c>
      <c r="N144" s="2" t="s">
        <v>5948</v>
      </c>
      <c r="O144" s="2" t="s">
        <v>6717</v>
      </c>
      <c r="P144" s="2" t="s">
        <v>6718</v>
      </c>
      <c r="Q144" s="2" t="s">
        <v>6719</v>
      </c>
      <c r="R144" s="2" t="s">
        <v>3635</v>
      </c>
      <c r="S144" s="2" t="s">
        <v>3635</v>
      </c>
      <c r="T144" s="2" t="s">
        <v>3635</v>
      </c>
      <c r="U144" s="2" t="s">
        <v>6720</v>
      </c>
      <c r="V144" s="2" t="s">
        <v>6721</v>
      </c>
      <c r="W144" s="2" t="s">
        <v>6722</v>
      </c>
      <c r="X144" s="2" t="s">
        <v>6723</v>
      </c>
      <c r="Y144" s="2" t="s">
        <v>6724</v>
      </c>
      <c r="Z144" s="2" t="s">
        <v>6725</v>
      </c>
      <c r="AA144" s="2" t="s">
        <v>6726</v>
      </c>
      <c r="AB144" s="2" t="s">
        <v>3635</v>
      </c>
      <c r="AC144" s="2" t="s">
        <v>3635</v>
      </c>
      <c r="AD144" s="2" t="s">
        <v>3635</v>
      </c>
      <c r="AE144" s="2" t="s">
        <v>3635</v>
      </c>
      <c r="AF144" s="2" t="s">
        <v>3635</v>
      </c>
      <c r="AG144" s="2">
        <v>6.0</v>
      </c>
      <c r="AH144" s="2">
        <v>1.0</v>
      </c>
      <c r="AI144" s="2">
        <v>1.0</v>
      </c>
      <c r="AJ144" s="2">
        <v>0.0</v>
      </c>
      <c r="AK144" s="2">
        <v>3.0</v>
      </c>
      <c r="AL144" s="2" t="s">
        <v>6687</v>
      </c>
      <c r="AM144" s="2" t="s">
        <v>3651</v>
      </c>
      <c r="AN144" s="2" t="s">
        <v>6688</v>
      </c>
      <c r="AO144" s="2" t="s">
        <v>6727</v>
      </c>
      <c r="AP144" s="2" t="s">
        <v>3635</v>
      </c>
      <c r="AQ144" s="2" t="s">
        <v>3635</v>
      </c>
      <c r="AR144" s="2" t="s">
        <v>6728</v>
      </c>
      <c r="AS144" s="2" t="s">
        <v>6729</v>
      </c>
      <c r="AT144" s="2" t="s">
        <v>6693</v>
      </c>
      <c r="AU144" s="2">
        <v>2009.0</v>
      </c>
      <c r="AV144" s="2">
        <v>41.0</v>
      </c>
      <c r="AW144" s="2">
        <v>3.0</v>
      </c>
      <c r="AX144" s="2" t="s">
        <v>3635</v>
      </c>
      <c r="AY144" s="2" t="s">
        <v>3635</v>
      </c>
      <c r="AZ144" s="2" t="s">
        <v>3635</v>
      </c>
      <c r="BA144" s="2" t="s">
        <v>3635</v>
      </c>
      <c r="BB144" s="2">
        <v>852.0</v>
      </c>
      <c r="BC144" s="2">
        <v>854.0</v>
      </c>
      <c r="BD144" s="2" t="s">
        <v>3635</v>
      </c>
      <c r="BE144" s="2" t="s">
        <v>6730</v>
      </c>
      <c r="BF144" s="3" t="str">
        <f>HYPERLINK("http://dx.doi.org/10.1016/j.transproceed.2009.01.058","http://dx.doi.org/10.1016/j.transproceed.2009.01.058")</f>
        <v>http://dx.doi.org/10.1016/j.transproceed.2009.01.058</v>
      </c>
      <c r="BG144" s="2" t="s">
        <v>3635</v>
      </c>
      <c r="BH144" s="2" t="s">
        <v>3635</v>
      </c>
      <c r="BI144" s="2">
        <v>3.0</v>
      </c>
      <c r="BJ144" s="2" t="s">
        <v>6731</v>
      </c>
      <c r="BK144" s="2" t="s">
        <v>6694</v>
      </c>
      <c r="BL144" s="2" t="s">
        <v>6731</v>
      </c>
      <c r="BM144" s="2" t="s">
        <v>6732</v>
      </c>
      <c r="BN144" s="2">
        <v>1.937637E7</v>
      </c>
      <c r="BO144" s="2" t="s">
        <v>3635</v>
      </c>
      <c r="BP144" s="2" t="s">
        <v>3635</v>
      </c>
      <c r="BQ144" s="2" t="s">
        <v>3635</v>
      </c>
      <c r="BR144" s="2" t="s">
        <v>3662</v>
      </c>
      <c r="BS144" s="2" t="s">
        <v>6733</v>
      </c>
      <c r="BT144" s="2" t="str">
        <f>HYPERLINK("https%3A%2F%2Fwww.webofscience.com%2Fwos%2Fwoscc%2Ffull-record%2FWOS:000265504300019","View Full Record in Web of Science")</f>
        <v>View Full Record in Web of Science</v>
      </c>
    </row>
    <row r="145" ht="15.75" customHeight="1">
      <c r="A145" s="2" t="s">
        <v>3633</v>
      </c>
      <c r="B145" s="2" t="s">
        <v>6734</v>
      </c>
      <c r="C145" s="2" t="s">
        <v>3635</v>
      </c>
      <c r="D145" s="2" t="s">
        <v>3635</v>
      </c>
      <c r="E145" s="2" t="s">
        <v>3635</v>
      </c>
      <c r="F145" s="2" t="s">
        <v>6735</v>
      </c>
      <c r="G145" s="2" t="s">
        <v>3635</v>
      </c>
      <c r="H145" s="2" t="s">
        <v>3635</v>
      </c>
      <c r="I145" s="2" t="s">
        <v>6736</v>
      </c>
      <c r="J145" s="2" t="s">
        <v>6737</v>
      </c>
      <c r="K145" s="2" t="s">
        <v>3635</v>
      </c>
      <c r="L145" s="2" t="s">
        <v>3635</v>
      </c>
      <c r="M145" s="2" t="s">
        <v>3638</v>
      </c>
      <c r="N145" s="2" t="s">
        <v>21</v>
      </c>
      <c r="O145" s="2" t="s">
        <v>3635</v>
      </c>
      <c r="P145" s="2" t="s">
        <v>3635</v>
      </c>
      <c r="Q145" s="2" t="s">
        <v>3635</v>
      </c>
      <c r="R145" s="2" t="s">
        <v>3635</v>
      </c>
      <c r="S145" s="2" t="s">
        <v>3635</v>
      </c>
      <c r="T145" s="2" t="s">
        <v>6738</v>
      </c>
      <c r="U145" s="2" t="s">
        <v>6739</v>
      </c>
      <c r="V145" s="2" t="s">
        <v>6740</v>
      </c>
      <c r="W145" s="2" t="s">
        <v>6741</v>
      </c>
      <c r="X145" s="2" t="s">
        <v>3703</v>
      </c>
      <c r="Y145" s="2" t="s">
        <v>6742</v>
      </c>
      <c r="Z145" s="2" t="s">
        <v>6743</v>
      </c>
      <c r="AA145" s="2" t="s">
        <v>6744</v>
      </c>
      <c r="AB145" s="2" t="s">
        <v>6745</v>
      </c>
      <c r="AC145" s="2" t="s">
        <v>6746</v>
      </c>
      <c r="AD145" s="2" t="s">
        <v>6747</v>
      </c>
      <c r="AE145" s="2" t="s">
        <v>6748</v>
      </c>
      <c r="AF145" s="2" t="s">
        <v>3635</v>
      </c>
      <c r="AG145" s="2">
        <v>67.0</v>
      </c>
      <c r="AH145" s="2">
        <v>0.0</v>
      </c>
      <c r="AI145" s="2">
        <v>0.0</v>
      </c>
      <c r="AJ145" s="2">
        <v>4.0</v>
      </c>
      <c r="AK145" s="2">
        <v>4.0</v>
      </c>
      <c r="AL145" s="2" t="s">
        <v>3709</v>
      </c>
      <c r="AM145" s="2" t="s">
        <v>3710</v>
      </c>
      <c r="AN145" s="2" t="s">
        <v>3711</v>
      </c>
      <c r="AO145" s="2" t="s">
        <v>6749</v>
      </c>
      <c r="AP145" s="2" t="s">
        <v>6750</v>
      </c>
      <c r="AQ145" s="2" t="s">
        <v>3635</v>
      </c>
      <c r="AR145" s="2" t="s">
        <v>6751</v>
      </c>
      <c r="AS145" s="2" t="s">
        <v>6752</v>
      </c>
      <c r="AT145" s="2" t="s">
        <v>4517</v>
      </c>
      <c r="AU145" s="2">
        <v>2024.0</v>
      </c>
      <c r="AV145" s="2">
        <v>48.0</v>
      </c>
      <c r="AW145" s="2">
        <v>2.0</v>
      </c>
      <c r="AX145" s="2" t="s">
        <v>3635</v>
      </c>
      <c r="AY145" s="2" t="s">
        <v>3635</v>
      </c>
      <c r="AZ145" s="2" t="s">
        <v>3635</v>
      </c>
      <c r="BA145" s="2" t="s">
        <v>3635</v>
      </c>
      <c r="BB145" s="2">
        <v>59.0</v>
      </c>
      <c r="BC145" s="2">
        <v>73.0</v>
      </c>
      <c r="BD145" s="2" t="s">
        <v>3635</v>
      </c>
      <c r="BE145" s="2" t="s">
        <v>6753</v>
      </c>
      <c r="BF145" s="3" t="str">
        <f>HYPERLINK("http://dx.doi.org/10.1002/gepi.22544","http://dx.doi.org/10.1002/gepi.22544")</f>
        <v>http://dx.doi.org/10.1002/gepi.22544</v>
      </c>
      <c r="BG145" s="2" t="s">
        <v>3635</v>
      </c>
      <c r="BH145" s="2" t="s">
        <v>6754</v>
      </c>
      <c r="BI145" s="2">
        <v>15.0</v>
      </c>
      <c r="BJ145" s="2" t="s">
        <v>6755</v>
      </c>
      <c r="BK145" s="2" t="s">
        <v>3658</v>
      </c>
      <c r="BL145" s="2" t="s">
        <v>6755</v>
      </c>
      <c r="BM145" s="2" t="s">
        <v>6756</v>
      </c>
      <c r="BN145" s="2">
        <v>3.8263619E7</v>
      </c>
      <c r="BO145" s="2" t="s">
        <v>4519</v>
      </c>
      <c r="BP145" s="2" t="s">
        <v>3635</v>
      </c>
      <c r="BQ145" s="2" t="s">
        <v>3635</v>
      </c>
      <c r="BR145" s="2" t="s">
        <v>3662</v>
      </c>
      <c r="BS145" s="2" t="s">
        <v>6757</v>
      </c>
      <c r="BT145" s="2" t="str">
        <f>HYPERLINK("https%3A%2F%2Fwww.webofscience.com%2Fwos%2Fwoscc%2Ffull-record%2FWOS:001147536600001","View Full Record in Web of Science")</f>
        <v>View Full Record in Web of Science</v>
      </c>
    </row>
    <row r="146" ht="15.75" customHeight="1">
      <c r="A146" s="2" t="s">
        <v>3633</v>
      </c>
      <c r="B146" s="2" t="s">
        <v>6758</v>
      </c>
      <c r="C146" s="2" t="s">
        <v>3635</v>
      </c>
      <c r="D146" s="2" t="s">
        <v>3635</v>
      </c>
      <c r="E146" s="2" t="s">
        <v>3635</v>
      </c>
      <c r="F146" s="2" t="s">
        <v>6759</v>
      </c>
      <c r="G146" s="2" t="s">
        <v>3635</v>
      </c>
      <c r="H146" s="2" t="s">
        <v>3635</v>
      </c>
      <c r="I146" s="2" t="s">
        <v>829</v>
      </c>
      <c r="J146" s="2" t="s">
        <v>6760</v>
      </c>
      <c r="K146" s="2" t="s">
        <v>3635</v>
      </c>
      <c r="L146" s="2" t="s">
        <v>3635</v>
      </c>
      <c r="M146" s="2" t="s">
        <v>3638</v>
      </c>
      <c r="N146" s="2" t="s">
        <v>21</v>
      </c>
      <c r="O146" s="2" t="s">
        <v>3635</v>
      </c>
      <c r="P146" s="2" t="s">
        <v>3635</v>
      </c>
      <c r="Q146" s="2" t="s">
        <v>3635</v>
      </c>
      <c r="R146" s="2" t="s">
        <v>3635</v>
      </c>
      <c r="S146" s="2" t="s">
        <v>3635</v>
      </c>
      <c r="T146" s="2" t="s">
        <v>6761</v>
      </c>
      <c r="U146" s="2" t="s">
        <v>6762</v>
      </c>
      <c r="V146" s="2" t="s">
        <v>6763</v>
      </c>
      <c r="W146" s="2" t="s">
        <v>6764</v>
      </c>
      <c r="X146" s="2" t="s">
        <v>6765</v>
      </c>
      <c r="Y146" s="2" t="s">
        <v>6766</v>
      </c>
      <c r="Z146" s="2" t="s">
        <v>6767</v>
      </c>
      <c r="AA146" s="2" t="s">
        <v>6768</v>
      </c>
      <c r="AB146" s="2" t="s">
        <v>6769</v>
      </c>
      <c r="AC146" s="2" t="s">
        <v>6770</v>
      </c>
      <c r="AD146" s="2" t="s">
        <v>6771</v>
      </c>
      <c r="AE146" s="2" t="s">
        <v>6772</v>
      </c>
      <c r="AF146" s="2" t="s">
        <v>3635</v>
      </c>
      <c r="AG146" s="2">
        <v>50.0</v>
      </c>
      <c r="AH146" s="2">
        <v>18.0</v>
      </c>
      <c r="AI146" s="2">
        <v>18.0</v>
      </c>
      <c r="AJ146" s="2">
        <v>0.0</v>
      </c>
      <c r="AK146" s="2">
        <v>3.0</v>
      </c>
      <c r="AL146" s="2" t="s">
        <v>6154</v>
      </c>
      <c r="AM146" s="2" t="s">
        <v>3651</v>
      </c>
      <c r="AN146" s="2" t="s">
        <v>6773</v>
      </c>
      <c r="AO146" s="2" t="s">
        <v>6774</v>
      </c>
      <c r="AP146" s="2" t="s">
        <v>6775</v>
      </c>
      <c r="AQ146" s="2" t="s">
        <v>3635</v>
      </c>
      <c r="AR146" s="2" t="s">
        <v>6776</v>
      </c>
      <c r="AS146" s="2" t="s">
        <v>6777</v>
      </c>
      <c r="AT146" s="2" t="s">
        <v>5143</v>
      </c>
      <c r="AU146" s="2">
        <v>2018.0</v>
      </c>
      <c r="AV146" s="2">
        <v>31.0</v>
      </c>
      <c r="AW146" s="2">
        <v>5.0</v>
      </c>
      <c r="AX146" s="2" t="s">
        <v>3635</v>
      </c>
      <c r="AY146" s="2" t="s">
        <v>3635</v>
      </c>
      <c r="AZ146" s="2" t="s">
        <v>3635</v>
      </c>
      <c r="BA146" s="2" t="s">
        <v>3635</v>
      </c>
      <c r="BB146" s="2">
        <v>327.0</v>
      </c>
      <c r="BC146" s="2">
        <v>342.0</v>
      </c>
      <c r="BD146" s="2" t="s">
        <v>3635</v>
      </c>
      <c r="BE146" s="2" t="s">
        <v>832</v>
      </c>
      <c r="BF146" s="3" t="str">
        <f>HYPERLINK("http://dx.doi.org/10.1007/s00446-017-0308-0","http://dx.doi.org/10.1007/s00446-017-0308-0")</f>
        <v>http://dx.doi.org/10.1007/s00446-017-0308-0</v>
      </c>
      <c r="BG146" s="2" t="s">
        <v>3635</v>
      </c>
      <c r="BH146" s="2" t="s">
        <v>3635</v>
      </c>
      <c r="BI146" s="2">
        <v>16.0</v>
      </c>
      <c r="BJ146" s="2" t="s">
        <v>4447</v>
      </c>
      <c r="BK146" s="2" t="s">
        <v>3658</v>
      </c>
      <c r="BL146" s="2" t="s">
        <v>3659</v>
      </c>
      <c r="BM146" s="2" t="s">
        <v>6778</v>
      </c>
      <c r="BN146" s="2" t="s">
        <v>3635</v>
      </c>
      <c r="BO146" s="2" t="s">
        <v>5415</v>
      </c>
      <c r="BP146" s="2" t="s">
        <v>3635</v>
      </c>
      <c r="BQ146" s="2" t="s">
        <v>3635</v>
      </c>
      <c r="BR146" s="2" t="s">
        <v>3662</v>
      </c>
      <c r="BS146" s="2" t="s">
        <v>6779</v>
      </c>
      <c r="BT146" s="2" t="str">
        <f>HYPERLINK("https%3A%2F%2Fwww.webofscience.com%2Fwos%2Fwoscc%2Ffull-record%2FWOS:000439920400001","View Full Record in Web of Science")</f>
        <v>View Full Record in Web of Science</v>
      </c>
    </row>
    <row r="147" ht="15.75" customHeight="1">
      <c r="A147" s="2" t="s">
        <v>3633</v>
      </c>
      <c r="B147" s="2" t="s">
        <v>6780</v>
      </c>
      <c r="C147" s="2" t="s">
        <v>3635</v>
      </c>
      <c r="D147" s="2" t="s">
        <v>3635</v>
      </c>
      <c r="E147" s="2" t="s">
        <v>3635</v>
      </c>
      <c r="F147" s="2" t="s">
        <v>6781</v>
      </c>
      <c r="G147" s="2" t="s">
        <v>3635</v>
      </c>
      <c r="H147" s="2" t="s">
        <v>3635</v>
      </c>
      <c r="I147" s="2" t="s">
        <v>219</v>
      </c>
      <c r="J147" s="2" t="s">
        <v>6782</v>
      </c>
      <c r="K147" s="2" t="s">
        <v>3635</v>
      </c>
      <c r="L147" s="2" t="s">
        <v>3635</v>
      </c>
      <c r="M147" s="2" t="s">
        <v>3638</v>
      </c>
      <c r="N147" s="2" t="s">
        <v>21</v>
      </c>
      <c r="O147" s="2" t="s">
        <v>3635</v>
      </c>
      <c r="P147" s="2" t="s">
        <v>3635</v>
      </c>
      <c r="Q147" s="2" t="s">
        <v>3635</v>
      </c>
      <c r="R147" s="2" t="s">
        <v>3635</v>
      </c>
      <c r="S147" s="2" t="s">
        <v>3635</v>
      </c>
      <c r="T147" s="2" t="s">
        <v>6783</v>
      </c>
      <c r="U147" s="2" t="s">
        <v>6784</v>
      </c>
      <c r="V147" s="2" t="s">
        <v>6785</v>
      </c>
      <c r="W147" s="2" t="s">
        <v>6786</v>
      </c>
      <c r="X147" s="2" t="s">
        <v>6787</v>
      </c>
      <c r="Y147" s="2" t="s">
        <v>6788</v>
      </c>
      <c r="Z147" s="2" t="s">
        <v>6789</v>
      </c>
      <c r="AA147" s="2" t="s">
        <v>6790</v>
      </c>
      <c r="AB147" s="2" t="s">
        <v>6791</v>
      </c>
      <c r="AC147" s="2" t="s">
        <v>6792</v>
      </c>
      <c r="AD147" s="2" t="s">
        <v>6793</v>
      </c>
      <c r="AE147" s="2" t="s">
        <v>6794</v>
      </c>
      <c r="AF147" s="2" t="s">
        <v>3635</v>
      </c>
      <c r="AG147" s="2">
        <v>71.0</v>
      </c>
      <c r="AH147" s="2">
        <v>25.0</v>
      </c>
      <c r="AI147" s="2">
        <v>26.0</v>
      </c>
      <c r="AJ147" s="2">
        <v>11.0</v>
      </c>
      <c r="AK147" s="2">
        <v>45.0</v>
      </c>
      <c r="AL147" s="2" t="s">
        <v>3807</v>
      </c>
      <c r="AM147" s="2" t="s">
        <v>3808</v>
      </c>
      <c r="AN147" s="2" t="s">
        <v>3809</v>
      </c>
      <c r="AO147" s="2" t="s">
        <v>6795</v>
      </c>
      <c r="AP147" s="2" t="s">
        <v>6796</v>
      </c>
      <c r="AQ147" s="2" t="s">
        <v>3635</v>
      </c>
      <c r="AR147" s="2" t="s">
        <v>6797</v>
      </c>
      <c r="AS147" s="2" t="s">
        <v>6798</v>
      </c>
      <c r="AT147" s="2" t="s">
        <v>4517</v>
      </c>
      <c r="AU147" s="2">
        <v>2022.0</v>
      </c>
      <c r="AV147" s="2">
        <v>135.0</v>
      </c>
      <c r="AW147" s="2" t="s">
        <v>3635</v>
      </c>
      <c r="AX147" s="2" t="s">
        <v>3635</v>
      </c>
      <c r="AY147" s="2" t="s">
        <v>3635</v>
      </c>
      <c r="AZ147" s="2" t="s">
        <v>3635</v>
      </c>
      <c r="BA147" s="2" t="s">
        <v>3635</v>
      </c>
      <c r="BB147" s="2" t="s">
        <v>3635</v>
      </c>
      <c r="BC147" s="2" t="s">
        <v>3635</v>
      </c>
      <c r="BD147" s="2">
        <v>104117.0</v>
      </c>
      <c r="BE147" s="2" t="s">
        <v>222</v>
      </c>
      <c r="BF147" s="3" t="str">
        <f>HYPERLINK("http://dx.doi.org/10.1016/j.autcon.2021.104117","http://dx.doi.org/10.1016/j.autcon.2021.104117")</f>
        <v>http://dx.doi.org/10.1016/j.autcon.2021.104117</v>
      </c>
      <c r="BG147" s="2" t="s">
        <v>3635</v>
      </c>
      <c r="BH147" s="2" t="s">
        <v>3635</v>
      </c>
      <c r="BI147" s="2">
        <v>15.0</v>
      </c>
      <c r="BJ147" s="2" t="s">
        <v>4813</v>
      </c>
      <c r="BK147" s="2" t="s">
        <v>3658</v>
      </c>
      <c r="BL147" s="2" t="s">
        <v>4814</v>
      </c>
      <c r="BM147" s="2" t="s">
        <v>6799</v>
      </c>
      <c r="BN147" s="2" t="s">
        <v>3635</v>
      </c>
      <c r="BO147" s="2" t="s">
        <v>6800</v>
      </c>
      <c r="BP147" s="2" t="s">
        <v>3635</v>
      </c>
      <c r="BQ147" s="2" t="s">
        <v>3635</v>
      </c>
      <c r="BR147" s="2" t="s">
        <v>3662</v>
      </c>
      <c r="BS147" s="2" t="s">
        <v>6801</v>
      </c>
      <c r="BT147" s="2" t="str">
        <f>HYPERLINK("https%3A%2F%2Fwww.webofscience.com%2Fwos%2Fwoscc%2Ffull-record%2FWOS:000781037600002","View Full Record in Web of Science")</f>
        <v>View Full Record in Web of Science</v>
      </c>
    </row>
    <row r="148" ht="15.75" customHeight="1">
      <c r="A148" s="2" t="s">
        <v>3633</v>
      </c>
      <c r="B148" s="2" t="s">
        <v>6802</v>
      </c>
      <c r="C148" s="2" t="s">
        <v>3635</v>
      </c>
      <c r="D148" s="2" t="s">
        <v>3635</v>
      </c>
      <c r="E148" s="2" t="s">
        <v>3635</v>
      </c>
      <c r="F148" s="2" t="s">
        <v>6802</v>
      </c>
      <c r="G148" s="2" t="s">
        <v>3635</v>
      </c>
      <c r="H148" s="2" t="s">
        <v>3635</v>
      </c>
      <c r="I148" s="2" t="s">
        <v>6803</v>
      </c>
      <c r="J148" s="2" t="s">
        <v>6804</v>
      </c>
      <c r="K148" s="2" t="s">
        <v>3635</v>
      </c>
      <c r="L148" s="2" t="s">
        <v>3635</v>
      </c>
      <c r="M148" s="2" t="s">
        <v>3638</v>
      </c>
      <c r="N148" s="2" t="s">
        <v>21</v>
      </c>
      <c r="O148" s="2" t="s">
        <v>3635</v>
      </c>
      <c r="P148" s="2" t="s">
        <v>3635</v>
      </c>
      <c r="Q148" s="2" t="s">
        <v>3635</v>
      </c>
      <c r="R148" s="2" t="s">
        <v>3635</v>
      </c>
      <c r="S148" s="2" t="s">
        <v>3635</v>
      </c>
      <c r="T148" s="2" t="s">
        <v>3635</v>
      </c>
      <c r="U148" s="2" t="s">
        <v>6805</v>
      </c>
      <c r="V148" s="2" t="s">
        <v>6806</v>
      </c>
      <c r="W148" s="2" t="s">
        <v>6807</v>
      </c>
      <c r="X148" s="2" t="s">
        <v>6808</v>
      </c>
      <c r="Y148" s="2" t="s">
        <v>6809</v>
      </c>
      <c r="Z148" s="2" t="s">
        <v>3635</v>
      </c>
      <c r="AA148" s="2" t="s">
        <v>6810</v>
      </c>
      <c r="AB148" s="2" t="s">
        <v>6811</v>
      </c>
      <c r="AC148" s="2" t="s">
        <v>3635</v>
      </c>
      <c r="AD148" s="2" t="s">
        <v>3635</v>
      </c>
      <c r="AE148" s="2" t="s">
        <v>3635</v>
      </c>
      <c r="AF148" s="2" t="s">
        <v>3635</v>
      </c>
      <c r="AG148" s="2">
        <v>35.0</v>
      </c>
      <c r="AH148" s="2">
        <v>126.0</v>
      </c>
      <c r="AI148" s="2">
        <v>167.0</v>
      </c>
      <c r="AJ148" s="2">
        <v>1.0</v>
      </c>
      <c r="AK148" s="2">
        <v>22.0</v>
      </c>
      <c r="AL148" s="2" t="s">
        <v>3709</v>
      </c>
      <c r="AM148" s="2" t="s">
        <v>3710</v>
      </c>
      <c r="AN148" s="2" t="s">
        <v>3711</v>
      </c>
      <c r="AO148" s="2" t="s">
        <v>6812</v>
      </c>
      <c r="AP148" s="2" t="s">
        <v>6813</v>
      </c>
      <c r="AQ148" s="2" t="s">
        <v>3635</v>
      </c>
      <c r="AR148" s="2" t="s">
        <v>6814</v>
      </c>
      <c r="AS148" s="2" t="s">
        <v>6815</v>
      </c>
      <c r="AT148" s="2" t="s">
        <v>3953</v>
      </c>
      <c r="AU148" s="2">
        <v>2003.0</v>
      </c>
      <c r="AV148" s="2">
        <v>40.0</v>
      </c>
      <c r="AW148" s="2">
        <v>9.0</v>
      </c>
      <c r="AX148" s="2" t="s">
        <v>3635</v>
      </c>
      <c r="AY148" s="2" t="s">
        <v>3635</v>
      </c>
      <c r="AZ148" s="2" t="s">
        <v>3635</v>
      </c>
      <c r="BA148" s="2" t="s">
        <v>3635</v>
      </c>
      <c r="BB148" s="2">
        <v>898.0</v>
      </c>
      <c r="BC148" s="2">
        <v>921.0</v>
      </c>
      <c r="BD148" s="2" t="s">
        <v>3635</v>
      </c>
      <c r="BE148" s="2" t="s">
        <v>6816</v>
      </c>
      <c r="BF148" s="3" t="str">
        <f>HYPERLINK("http://dx.doi.org/10.1002/tea.10115","http://dx.doi.org/10.1002/tea.10115")</f>
        <v>http://dx.doi.org/10.1002/tea.10115</v>
      </c>
      <c r="BG148" s="2" t="s">
        <v>3635</v>
      </c>
      <c r="BH148" s="2" t="s">
        <v>3635</v>
      </c>
      <c r="BI148" s="2">
        <v>24.0</v>
      </c>
      <c r="BJ148" s="2" t="s">
        <v>5165</v>
      </c>
      <c r="BK148" s="2" t="s">
        <v>5726</v>
      </c>
      <c r="BL148" s="2" t="s">
        <v>5165</v>
      </c>
      <c r="BM148" s="2" t="s">
        <v>6817</v>
      </c>
      <c r="BN148" s="2" t="s">
        <v>3635</v>
      </c>
      <c r="BO148" s="2" t="s">
        <v>3635</v>
      </c>
      <c r="BP148" s="2" t="s">
        <v>3635</v>
      </c>
      <c r="BQ148" s="2" t="s">
        <v>3635</v>
      </c>
      <c r="BR148" s="2" t="s">
        <v>3662</v>
      </c>
      <c r="BS148" s="2" t="s">
        <v>6818</v>
      </c>
      <c r="BT148" s="2" t="str">
        <f>HYPERLINK("https%3A%2F%2Fwww.webofscience.com%2Fwos%2Fwoscc%2Ffull-record%2FWOS:000186440800003","View Full Record in Web of Science")</f>
        <v>View Full Record in Web of Science</v>
      </c>
    </row>
    <row r="149" ht="15.75" customHeight="1">
      <c r="A149" s="2" t="s">
        <v>3633</v>
      </c>
      <c r="B149" s="2" t="s">
        <v>6819</v>
      </c>
      <c r="C149" s="2" t="s">
        <v>3635</v>
      </c>
      <c r="D149" s="2" t="s">
        <v>3635</v>
      </c>
      <c r="E149" s="2" t="s">
        <v>3635</v>
      </c>
      <c r="F149" s="2" t="s">
        <v>6820</v>
      </c>
      <c r="G149" s="2" t="s">
        <v>3635</v>
      </c>
      <c r="H149" s="2" t="s">
        <v>3635</v>
      </c>
      <c r="I149" s="2" t="s">
        <v>6821</v>
      </c>
      <c r="J149" s="2" t="s">
        <v>6822</v>
      </c>
      <c r="K149" s="2" t="s">
        <v>3635</v>
      </c>
      <c r="L149" s="2" t="s">
        <v>3635</v>
      </c>
      <c r="M149" s="2" t="s">
        <v>3638</v>
      </c>
      <c r="N149" s="2" t="s">
        <v>21</v>
      </c>
      <c r="O149" s="2" t="s">
        <v>3635</v>
      </c>
      <c r="P149" s="2" t="s">
        <v>3635</v>
      </c>
      <c r="Q149" s="2" t="s">
        <v>3635</v>
      </c>
      <c r="R149" s="2" t="s">
        <v>3635</v>
      </c>
      <c r="S149" s="2" t="s">
        <v>3635</v>
      </c>
      <c r="T149" s="2" t="s">
        <v>6823</v>
      </c>
      <c r="U149" s="2" t="s">
        <v>6824</v>
      </c>
      <c r="V149" s="2" t="s">
        <v>6825</v>
      </c>
      <c r="W149" s="2" t="s">
        <v>6826</v>
      </c>
      <c r="X149" s="2" t="s">
        <v>6827</v>
      </c>
      <c r="Y149" s="2" t="s">
        <v>6828</v>
      </c>
      <c r="Z149" s="2" t="s">
        <v>6829</v>
      </c>
      <c r="AA149" s="2" t="s">
        <v>6830</v>
      </c>
      <c r="AB149" s="2" t="s">
        <v>6831</v>
      </c>
      <c r="AC149" s="2" t="s">
        <v>6832</v>
      </c>
      <c r="AD149" s="2" t="s">
        <v>6832</v>
      </c>
      <c r="AE149" s="2" t="s">
        <v>6833</v>
      </c>
      <c r="AF149" s="2" t="s">
        <v>3635</v>
      </c>
      <c r="AG149" s="2">
        <v>22.0</v>
      </c>
      <c r="AH149" s="2">
        <v>47.0</v>
      </c>
      <c r="AI149" s="2">
        <v>47.0</v>
      </c>
      <c r="AJ149" s="2">
        <v>0.0</v>
      </c>
      <c r="AK149" s="2">
        <v>2.0</v>
      </c>
      <c r="AL149" s="2" t="s">
        <v>3709</v>
      </c>
      <c r="AM149" s="2" t="s">
        <v>3710</v>
      </c>
      <c r="AN149" s="2" t="s">
        <v>3711</v>
      </c>
      <c r="AO149" s="2" t="s">
        <v>6834</v>
      </c>
      <c r="AP149" s="2" t="s">
        <v>3635</v>
      </c>
      <c r="AQ149" s="2" t="s">
        <v>3635</v>
      </c>
      <c r="AR149" s="2" t="s">
        <v>6835</v>
      </c>
      <c r="AS149" s="2" t="s">
        <v>6836</v>
      </c>
      <c r="AT149" s="2" t="s">
        <v>3656</v>
      </c>
      <c r="AU149" s="2">
        <v>2017.0</v>
      </c>
      <c r="AV149" s="2">
        <v>5.0</v>
      </c>
      <c r="AW149" s="2">
        <v>1.0</v>
      </c>
      <c r="AX149" s="2" t="s">
        <v>3635</v>
      </c>
      <c r="AY149" s="2" t="s">
        <v>3635</v>
      </c>
      <c r="AZ149" s="2" t="s">
        <v>3635</v>
      </c>
      <c r="BA149" s="2" t="s">
        <v>3635</v>
      </c>
      <c r="BB149" s="2">
        <v>66.0</v>
      </c>
      <c r="BC149" s="2">
        <v>75.0</v>
      </c>
      <c r="BD149" s="2" t="s">
        <v>3635</v>
      </c>
      <c r="BE149" s="2" t="s">
        <v>6837</v>
      </c>
      <c r="BF149" s="3" t="str">
        <f>HYPERLINK("http://dx.doi.org/10.1002/mgg3.262","http://dx.doi.org/10.1002/mgg3.262")</f>
        <v>http://dx.doi.org/10.1002/mgg3.262</v>
      </c>
      <c r="BG149" s="2" t="s">
        <v>3635</v>
      </c>
      <c r="BH149" s="2" t="s">
        <v>3635</v>
      </c>
      <c r="BI149" s="2">
        <v>10.0</v>
      </c>
      <c r="BJ149" s="2" t="s">
        <v>6838</v>
      </c>
      <c r="BK149" s="2" t="s">
        <v>3658</v>
      </c>
      <c r="BL149" s="2" t="s">
        <v>6838</v>
      </c>
      <c r="BM149" s="2" t="s">
        <v>6839</v>
      </c>
      <c r="BN149" s="2">
        <v>2.8116331E7</v>
      </c>
      <c r="BO149" s="2" t="s">
        <v>4748</v>
      </c>
      <c r="BP149" s="2" t="s">
        <v>3635</v>
      </c>
      <c r="BQ149" s="2" t="s">
        <v>3635</v>
      </c>
      <c r="BR149" s="2" t="s">
        <v>3662</v>
      </c>
      <c r="BS149" s="2" t="s">
        <v>6840</v>
      </c>
      <c r="BT149" s="2" t="str">
        <f>HYPERLINK("https%3A%2F%2Fwww.webofscience.com%2Fwos%2Fwoscc%2Ffull-record%2FWOS:000394451900008","View Full Record in Web of Science")</f>
        <v>View Full Record in Web of Science</v>
      </c>
    </row>
    <row r="150" ht="15.75" customHeight="1">
      <c r="A150" s="2" t="s">
        <v>3664</v>
      </c>
      <c r="B150" s="2" t="s">
        <v>6841</v>
      </c>
      <c r="C150" s="2" t="s">
        <v>3635</v>
      </c>
      <c r="D150" s="2" t="s">
        <v>3635</v>
      </c>
      <c r="E150" s="2" t="s">
        <v>1974</v>
      </c>
      <c r="F150" s="2" t="s">
        <v>6842</v>
      </c>
      <c r="G150" s="2" t="s">
        <v>3635</v>
      </c>
      <c r="H150" s="2" t="s">
        <v>3635</v>
      </c>
      <c r="I150" s="2" t="s">
        <v>6843</v>
      </c>
      <c r="J150" s="2" t="s">
        <v>6844</v>
      </c>
      <c r="K150" s="2" t="s">
        <v>6845</v>
      </c>
      <c r="L150" s="2" t="s">
        <v>3635</v>
      </c>
      <c r="M150" s="2" t="s">
        <v>3638</v>
      </c>
      <c r="N150" s="2" t="s">
        <v>3669</v>
      </c>
      <c r="O150" s="2" t="s">
        <v>6846</v>
      </c>
      <c r="P150" s="2" t="s">
        <v>6847</v>
      </c>
      <c r="Q150" s="2" t="s">
        <v>6848</v>
      </c>
      <c r="R150" s="2" t="s">
        <v>6849</v>
      </c>
      <c r="S150" s="2" t="s">
        <v>3635</v>
      </c>
      <c r="T150" s="2" t="s">
        <v>6850</v>
      </c>
      <c r="U150" s="2" t="s">
        <v>3635</v>
      </c>
      <c r="V150" s="2" t="s">
        <v>6851</v>
      </c>
      <c r="W150" s="2" t="s">
        <v>6852</v>
      </c>
      <c r="X150" s="2" t="s">
        <v>6853</v>
      </c>
      <c r="Y150" s="2" t="s">
        <v>6854</v>
      </c>
      <c r="Z150" s="2" t="s">
        <v>6855</v>
      </c>
      <c r="AA150" s="2" t="s">
        <v>6856</v>
      </c>
      <c r="AB150" s="2" t="s">
        <v>6857</v>
      </c>
      <c r="AC150" s="2" t="s">
        <v>3635</v>
      </c>
      <c r="AD150" s="2" t="s">
        <v>3635</v>
      </c>
      <c r="AE150" s="2" t="s">
        <v>3635</v>
      </c>
      <c r="AF150" s="2" t="s">
        <v>3635</v>
      </c>
      <c r="AG150" s="2">
        <v>22.0</v>
      </c>
      <c r="AH150" s="2">
        <v>10.0</v>
      </c>
      <c r="AI150" s="2">
        <v>10.0</v>
      </c>
      <c r="AJ150" s="2">
        <v>0.0</v>
      </c>
      <c r="AK150" s="2">
        <v>2.0</v>
      </c>
      <c r="AL150" s="2" t="s">
        <v>1974</v>
      </c>
      <c r="AM150" s="2" t="s">
        <v>3651</v>
      </c>
      <c r="AN150" s="2" t="s">
        <v>3762</v>
      </c>
      <c r="AO150" s="2" t="s">
        <v>6858</v>
      </c>
      <c r="AP150" s="2" t="s">
        <v>3635</v>
      </c>
      <c r="AQ150" s="2" t="s">
        <v>6859</v>
      </c>
      <c r="AR150" s="2" t="s">
        <v>6860</v>
      </c>
      <c r="AS150" s="2" t="s">
        <v>3635</v>
      </c>
      <c r="AT150" s="2" t="s">
        <v>3635</v>
      </c>
      <c r="AU150" s="2">
        <v>2015.0</v>
      </c>
      <c r="AV150" s="2" t="s">
        <v>3635</v>
      </c>
      <c r="AW150" s="2" t="s">
        <v>3635</v>
      </c>
      <c r="AX150" s="2" t="s">
        <v>3635</v>
      </c>
      <c r="AY150" s="2" t="s">
        <v>3635</v>
      </c>
      <c r="AZ150" s="2" t="s">
        <v>3635</v>
      </c>
      <c r="BA150" s="2" t="s">
        <v>3635</v>
      </c>
      <c r="BB150" s="2">
        <v>1970.0</v>
      </c>
      <c r="BC150" s="2">
        <v>1975.0</v>
      </c>
      <c r="BD150" s="2" t="s">
        <v>3635</v>
      </c>
      <c r="BE150" s="2" t="s">
        <v>3635</v>
      </c>
      <c r="BF150" s="2" t="s">
        <v>3635</v>
      </c>
      <c r="BG150" s="2" t="s">
        <v>3635</v>
      </c>
      <c r="BH150" s="2" t="s">
        <v>3635</v>
      </c>
      <c r="BI150" s="2">
        <v>6.0</v>
      </c>
      <c r="BJ150" s="2" t="s">
        <v>6861</v>
      </c>
      <c r="BK150" s="2" t="s">
        <v>3692</v>
      </c>
      <c r="BL150" s="2" t="s">
        <v>6065</v>
      </c>
      <c r="BM150" s="2" t="s">
        <v>6862</v>
      </c>
      <c r="BN150" s="2" t="s">
        <v>3635</v>
      </c>
      <c r="BO150" s="2" t="s">
        <v>3635</v>
      </c>
      <c r="BP150" s="2" t="s">
        <v>3635</v>
      </c>
      <c r="BQ150" s="2" t="s">
        <v>3635</v>
      </c>
      <c r="BR150" s="2" t="s">
        <v>3662</v>
      </c>
      <c r="BS150" s="2" t="s">
        <v>6863</v>
      </c>
      <c r="BT150" s="2" t="str">
        <f>HYPERLINK("https%3A%2F%2Fwww.webofscience.com%2Fwos%2Fwoscc%2Ffull-record%2FWOS:000382950702009","View Full Record in Web of Science")</f>
        <v>View Full Record in Web of Science</v>
      </c>
    </row>
    <row r="151" ht="15.75" customHeight="1">
      <c r="A151" s="2" t="s">
        <v>5438</v>
      </c>
      <c r="B151" s="2" t="s">
        <v>6864</v>
      </c>
      <c r="C151" s="2" t="s">
        <v>3635</v>
      </c>
      <c r="D151" s="2" t="s">
        <v>6865</v>
      </c>
      <c r="E151" s="2" t="s">
        <v>3635</v>
      </c>
      <c r="F151" s="2" t="s">
        <v>6864</v>
      </c>
      <c r="G151" s="2" t="s">
        <v>3635</v>
      </c>
      <c r="H151" s="2" t="s">
        <v>3635</v>
      </c>
      <c r="I151" s="2" t="s">
        <v>6866</v>
      </c>
      <c r="J151" s="2" t="s">
        <v>6867</v>
      </c>
      <c r="K151" s="2" t="s">
        <v>4258</v>
      </c>
      <c r="L151" s="2" t="s">
        <v>3635</v>
      </c>
      <c r="M151" s="2" t="s">
        <v>3638</v>
      </c>
      <c r="N151" s="2" t="s">
        <v>5948</v>
      </c>
      <c r="O151" s="2" t="s">
        <v>6868</v>
      </c>
      <c r="P151" s="2" t="s">
        <v>6869</v>
      </c>
      <c r="Q151" s="2" t="s">
        <v>6870</v>
      </c>
      <c r="R151" s="2" t="s">
        <v>3635</v>
      </c>
      <c r="S151" s="2" t="s">
        <v>3635</v>
      </c>
      <c r="T151" s="2" t="s">
        <v>6871</v>
      </c>
      <c r="U151" s="2" t="s">
        <v>3635</v>
      </c>
      <c r="V151" s="2" t="s">
        <v>6872</v>
      </c>
      <c r="W151" s="2" t="s">
        <v>6873</v>
      </c>
      <c r="X151" s="2" t="s">
        <v>6874</v>
      </c>
      <c r="Y151" s="2" t="s">
        <v>6875</v>
      </c>
      <c r="Z151" s="2" t="s">
        <v>3635</v>
      </c>
      <c r="AA151" s="2" t="s">
        <v>6876</v>
      </c>
      <c r="AB151" s="2" t="s">
        <v>6877</v>
      </c>
      <c r="AC151" s="2" t="s">
        <v>3635</v>
      </c>
      <c r="AD151" s="2" t="s">
        <v>3635</v>
      </c>
      <c r="AE151" s="2" t="s">
        <v>3635</v>
      </c>
      <c r="AF151" s="2" t="s">
        <v>3635</v>
      </c>
      <c r="AG151" s="2">
        <v>17.0</v>
      </c>
      <c r="AH151" s="2">
        <v>8.0</v>
      </c>
      <c r="AI151" s="2">
        <v>8.0</v>
      </c>
      <c r="AJ151" s="2">
        <v>0.0</v>
      </c>
      <c r="AK151" s="2">
        <v>0.0</v>
      </c>
      <c r="AL151" s="2" t="s">
        <v>5958</v>
      </c>
      <c r="AM151" s="2" t="s">
        <v>4312</v>
      </c>
      <c r="AN151" s="2" t="s">
        <v>5959</v>
      </c>
      <c r="AO151" s="2" t="s">
        <v>4274</v>
      </c>
      <c r="AP151" s="2" t="s">
        <v>4275</v>
      </c>
      <c r="AQ151" s="2" t="s">
        <v>6878</v>
      </c>
      <c r="AR151" s="2" t="s">
        <v>4277</v>
      </c>
      <c r="AS151" s="2" t="s">
        <v>3635</v>
      </c>
      <c r="AT151" s="2" t="s">
        <v>3635</v>
      </c>
      <c r="AU151" s="2">
        <v>2005.0</v>
      </c>
      <c r="AV151" s="2">
        <v>3415.0</v>
      </c>
      <c r="AW151" s="2" t="s">
        <v>3635</v>
      </c>
      <c r="AX151" s="2" t="s">
        <v>3635</v>
      </c>
      <c r="AY151" s="2" t="s">
        <v>3635</v>
      </c>
      <c r="AZ151" s="2" t="s">
        <v>3635</v>
      </c>
      <c r="BA151" s="2" t="s">
        <v>3635</v>
      </c>
      <c r="BB151" s="2">
        <v>11.0</v>
      </c>
      <c r="BC151" s="2">
        <v>24.0</v>
      </c>
      <c r="BD151" s="2" t="s">
        <v>3635</v>
      </c>
      <c r="BE151" s="2" t="s">
        <v>3635</v>
      </c>
      <c r="BF151" s="2" t="s">
        <v>3635</v>
      </c>
      <c r="BG151" s="2" t="s">
        <v>3635</v>
      </c>
      <c r="BH151" s="2" t="s">
        <v>3635</v>
      </c>
      <c r="BI151" s="2">
        <v>14.0</v>
      </c>
      <c r="BJ151" s="2" t="s">
        <v>4177</v>
      </c>
      <c r="BK151" s="2" t="s">
        <v>5961</v>
      </c>
      <c r="BL151" s="2" t="s">
        <v>3659</v>
      </c>
      <c r="BM151" s="2" t="s">
        <v>6879</v>
      </c>
      <c r="BN151" s="2" t="s">
        <v>3635</v>
      </c>
      <c r="BO151" s="2" t="s">
        <v>3635</v>
      </c>
      <c r="BP151" s="2" t="s">
        <v>3635</v>
      </c>
      <c r="BQ151" s="2" t="s">
        <v>3635</v>
      </c>
      <c r="BR151" s="2" t="s">
        <v>3662</v>
      </c>
      <c r="BS151" s="2" t="s">
        <v>6880</v>
      </c>
      <c r="BT151" s="2" t="str">
        <f>HYPERLINK("https%3A%2F%2Fwww.webofscience.com%2Fwos%2Fwoscc%2Ffull-record%2FWOS:000229000500002","View Full Record in Web of Science")</f>
        <v>View Full Record in Web of Science</v>
      </c>
    </row>
    <row r="152" ht="15.75" customHeight="1">
      <c r="A152" s="2" t="s">
        <v>3633</v>
      </c>
      <c r="B152" s="2" t="s">
        <v>6881</v>
      </c>
      <c r="C152" s="2" t="s">
        <v>3635</v>
      </c>
      <c r="D152" s="2" t="s">
        <v>3635</v>
      </c>
      <c r="E152" s="2" t="s">
        <v>3635</v>
      </c>
      <c r="F152" s="2" t="s">
        <v>6882</v>
      </c>
      <c r="G152" s="2" t="s">
        <v>3635</v>
      </c>
      <c r="H152" s="2" t="s">
        <v>3635</v>
      </c>
      <c r="I152" s="2" t="s">
        <v>6883</v>
      </c>
      <c r="J152" s="2" t="s">
        <v>6884</v>
      </c>
      <c r="K152" s="2" t="s">
        <v>3635</v>
      </c>
      <c r="L152" s="2" t="s">
        <v>3635</v>
      </c>
      <c r="M152" s="2" t="s">
        <v>3638</v>
      </c>
      <c r="N152" s="2" t="s">
        <v>4207</v>
      </c>
      <c r="O152" s="2" t="s">
        <v>3635</v>
      </c>
      <c r="P152" s="2" t="s">
        <v>3635</v>
      </c>
      <c r="Q152" s="2" t="s">
        <v>3635</v>
      </c>
      <c r="R152" s="2" t="s">
        <v>3635</v>
      </c>
      <c r="S152" s="2" t="s">
        <v>3635</v>
      </c>
      <c r="T152" s="2" t="s">
        <v>6885</v>
      </c>
      <c r="U152" s="2" t="s">
        <v>6886</v>
      </c>
      <c r="V152" s="2" t="s">
        <v>6887</v>
      </c>
      <c r="W152" s="2" t="s">
        <v>6888</v>
      </c>
      <c r="X152" s="2" t="s">
        <v>6889</v>
      </c>
      <c r="Y152" s="2" t="s">
        <v>6890</v>
      </c>
      <c r="Z152" s="2" t="s">
        <v>6891</v>
      </c>
      <c r="AA152" s="2" t="s">
        <v>6892</v>
      </c>
      <c r="AB152" s="2" t="s">
        <v>6893</v>
      </c>
      <c r="AC152" s="2" t="s">
        <v>6894</v>
      </c>
      <c r="AD152" s="2" t="s">
        <v>6895</v>
      </c>
      <c r="AE152" s="2" t="s">
        <v>6896</v>
      </c>
      <c r="AF152" s="2" t="s">
        <v>3635</v>
      </c>
      <c r="AG152" s="2">
        <v>220.0</v>
      </c>
      <c r="AH152" s="2">
        <v>1.0</v>
      </c>
      <c r="AI152" s="2">
        <v>1.0</v>
      </c>
      <c r="AJ152" s="2">
        <v>5.0</v>
      </c>
      <c r="AK152" s="2">
        <v>5.0</v>
      </c>
      <c r="AL152" s="2" t="s">
        <v>6687</v>
      </c>
      <c r="AM152" s="2" t="s">
        <v>3651</v>
      </c>
      <c r="AN152" s="2" t="s">
        <v>6897</v>
      </c>
      <c r="AO152" s="2" t="s">
        <v>6898</v>
      </c>
      <c r="AP152" s="2" t="s">
        <v>6899</v>
      </c>
      <c r="AQ152" s="2" t="s">
        <v>3635</v>
      </c>
      <c r="AR152" s="2" t="s">
        <v>6900</v>
      </c>
      <c r="AS152" s="2" t="s">
        <v>6901</v>
      </c>
      <c r="AT152" s="2" t="s">
        <v>5143</v>
      </c>
      <c r="AU152" s="2">
        <v>2023.0</v>
      </c>
      <c r="AV152" s="2">
        <v>86.0</v>
      </c>
      <c r="AW152" s="2" t="s">
        <v>3635</v>
      </c>
      <c r="AX152" s="2" t="s">
        <v>3635</v>
      </c>
      <c r="AY152" s="2" t="s">
        <v>3635</v>
      </c>
      <c r="AZ152" s="2" t="s">
        <v>3635</v>
      </c>
      <c r="BA152" s="2" t="s">
        <v>3635</v>
      </c>
      <c r="BB152" s="2" t="s">
        <v>3635</v>
      </c>
      <c r="BC152" s="2" t="s">
        <v>3635</v>
      </c>
      <c r="BD152" s="2" t="s">
        <v>3635</v>
      </c>
      <c r="BE152" s="2" t="s">
        <v>6902</v>
      </c>
      <c r="BF152" s="3" t="str">
        <f>HYPERLINK("http://dx.doi.org/10.1016/j.annepidem.2023.06.004","http://dx.doi.org/10.1016/j.annepidem.2023.06.004")</f>
        <v>http://dx.doi.org/10.1016/j.annepidem.2023.06.004</v>
      </c>
      <c r="BG152" s="2" t="s">
        <v>3635</v>
      </c>
      <c r="BH152" s="2" t="s">
        <v>6903</v>
      </c>
      <c r="BI152" s="2">
        <v>43.0</v>
      </c>
      <c r="BJ152" s="2" t="s">
        <v>4056</v>
      </c>
      <c r="BK152" s="2" t="s">
        <v>3658</v>
      </c>
      <c r="BL152" s="2" t="s">
        <v>4056</v>
      </c>
      <c r="BM152" s="2" t="s">
        <v>6904</v>
      </c>
      <c r="BN152" s="2">
        <v>3.7343734E7</v>
      </c>
      <c r="BO152" s="2" t="s">
        <v>6905</v>
      </c>
      <c r="BP152" s="2" t="s">
        <v>3635</v>
      </c>
      <c r="BQ152" s="2" t="s">
        <v>3635</v>
      </c>
      <c r="BR152" s="2" t="s">
        <v>3662</v>
      </c>
      <c r="BS152" s="2" t="s">
        <v>6906</v>
      </c>
      <c r="BT152" s="2" t="str">
        <f>HYPERLINK("https%3A%2F%2Fwww.webofscience.com%2Fwos%2Fwoscc%2Ffull-record%2FWOS:001122736600001","View Full Record in Web of Science")</f>
        <v>View Full Record in Web of Science</v>
      </c>
    </row>
    <row r="153" ht="15.75" customHeight="1">
      <c r="A153" s="2" t="s">
        <v>3633</v>
      </c>
      <c r="B153" s="2" t="s">
        <v>6907</v>
      </c>
      <c r="C153" s="2" t="s">
        <v>3635</v>
      </c>
      <c r="D153" s="2" t="s">
        <v>3635</v>
      </c>
      <c r="E153" s="2" t="s">
        <v>3635</v>
      </c>
      <c r="F153" s="2" t="s">
        <v>6908</v>
      </c>
      <c r="G153" s="2" t="s">
        <v>3635</v>
      </c>
      <c r="H153" s="2" t="s">
        <v>3635</v>
      </c>
      <c r="I153" s="2" t="s">
        <v>6909</v>
      </c>
      <c r="J153" s="2" t="s">
        <v>6910</v>
      </c>
      <c r="K153" s="2" t="s">
        <v>3635</v>
      </c>
      <c r="L153" s="2" t="s">
        <v>3635</v>
      </c>
      <c r="M153" s="2" t="s">
        <v>6911</v>
      </c>
      <c r="N153" s="2" t="s">
        <v>21</v>
      </c>
      <c r="O153" s="2" t="s">
        <v>3635</v>
      </c>
      <c r="P153" s="2" t="s">
        <v>3635</v>
      </c>
      <c r="Q153" s="2" t="s">
        <v>3635</v>
      </c>
      <c r="R153" s="2" t="s">
        <v>3635</v>
      </c>
      <c r="S153" s="2" t="s">
        <v>3635</v>
      </c>
      <c r="T153" s="2" t="s">
        <v>6912</v>
      </c>
      <c r="U153" s="2" t="s">
        <v>6913</v>
      </c>
      <c r="V153" s="2" t="s">
        <v>6914</v>
      </c>
      <c r="W153" s="2" t="s">
        <v>6915</v>
      </c>
      <c r="X153" s="2" t="s">
        <v>3635</v>
      </c>
      <c r="Y153" s="2" t="s">
        <v>6916</v>
      </c>
      <c r="Z153" s="2" t="s">
        <v>6917</v>
      </c>
      <c r="AA153" s="2" t="s">
        <v>3635</v>
      </c>
      <c r="AB153" s="2" t="s">
        <v>3635</v>
      </c>
      <c r="AC153" s="2" t="s">
        <v>3635</v>
      </c>
      <c r="AD153" s="2" t="s">
        <v>3635</v>
      </c>
      <c r="AE153" s="2" t="s">
        <v>3635</v>
      </c>
      <c r="AF153" s="2" t="s">
        <v>3635</v>
      </c>
      <c r="AG153" s="2">
        <v>12.0</v>
      </c>
      <c r="AH153" s="2">
        <v>3.0</v>
      </c>
      <c r="AI153" s="2">
        <v>5.0</v>
      </c>
      <c r="AJ153" s="2">
        <v>0.0</v>
      </c>
      <c r="AK153" s="2">
        <v>1.0</v>
      </c>
      <c r="AL153" s="2" t="s">
        <v>6918</v>
      </c>
      <c r="AM153" s="2" t="s">
        <v>6919</v>
      </c>
      <c r="AN153" s="2" t="s">
        <v>6920</v>
      </c>
      <c r="AO153" s="2" t="s">
        <v>6921</v>
      </c>
      <c r="AP153" s="2" t="s">
        <v>3635</v>
      </c>
      <c r="AQ153" s="2" t="s">
        <v>3635</v>
      </c>
      <c r="AR153" s="2" t="s">
        <v>6922</v>
      </c>
      <c r="AS153" s="2" t="s">
        <v>6923</v>
      </c>
      <c r="AT153" s="2" t="s">
        <v>3635</v>
      </c>
      <c r="AU153" s="2">
        <v>2016.0</v>
      </c>
      <c r="AV153" s="2">
        <v>18.0</v>
      </c>
      <c r="AW153" s="2">
        <v>2.0</v>
      </c>
      <c r="AX153" s="2" t="s">
        <v>3635</v>
      </c>
      <c r="AY153" s="2" t="s">
        <v>3635</v>
      </c>
      <c r="AZ153" s="2" t="s">
        <v>3635</v>
      </c>
      <c r="BA153" s="2" t="s">
        <v>3635</v>
      </c>
      <c r="BB153" s="2">
        <v>55.0</v>
      </c>
      <c r="BC153" s="2">
        <v>66.0</v>
      </c>
      <c r="BD153" s="2" t="s">
        <v>3635</v>
      </c>
      <c r="BE153" s="2" t="s">
        <v>3635</v>
      </c>
      <c r="BF153" s="2" t="s">
        <v>3635</v>
      </c>
      <c r="BG153" s="2" t="s">
        <v>3635</v>
      </c>
      <c r="BH153" s="2" t="s">
        <v>3635</v>
      </c>
      <c r="BI153" s="2">
        <v>12.0</v>
      </c>
      <c r="BJ153" s="2" t="s">
        <v>5390</v>
      </c>
      <c r="BK153" s="2" t="s">
        <v>3993</v>
      </c>
      <c r="BL153" s="2" t="s">
        <v>5390</v>
      </c>
      <c r="BM153" s="2" t="s">
        <v>6924</v>
      </c>
      <c r="BN153" s="2" t="s">
        <v>3635</v>
      </c>
      <c r="BO153" s="2" t="s">
        <v>3635</v>
      </c>
      <c r="BP153" s="2" t="s">
        <v>3635</v>
      </c>
      <c r="BQ153" s="2" t="s">
        <v>3635</v>
      </c>
      <c r="BR153" s="2" t="s">
        <v>3662</v>
      </c>
      <c r="BS153" s="2" t="s">
        <v>6925</v>
      </c>
      <c r="BT153" s="2" t="str">
        <f>HYPERLINK("https%3A%2F%2Fwww.webofscience.com%2Fwos%2Fwoscc%2Ffull-record%2FWOS:000382704900002","View Full Record in Web of Science")</f>
        <v>View Full Record in Web of Science</v>
      </c>
    </row>
    <row r="154" ht="15.75" customHeight="1">
      <c r="A154" s="2" t="s">
        <v>3664</v>
      </c>
      <c r="B154" s="2" t="s">
        <v>6926</v>
      </c>
      <c r="C154" s="2" t="s">
        <v>3635</v>
      </c>
      <c r="D154" s="2" t="s">
        <v>3635</v>
      </c>
      <c r="E154" s="2" t="s">
        <v>1974</v>
      </c>
      <c r="F154" s="2" t="s">
        <v>6927</v>
      </c>
      <c r="G154" s="2" t="s">
        <v>3635</v>
      </c>
      <c r="H154" s="2" t="s">
        <v>3635</v>
      </c>
      <c r="I154" s="2" t="s">
        <v>867</v>
      </c>
      <c r="J154" s="2" t="s">
        <v>6928</v>
      </c>
      <c r="K154" s="2" t="s">
        <v>3635</v>
      </c>
      <c r="L154" s="2" t="s">
        <v>3635</v>
      </c>
      <c r="M154" s="2" t="s">
        <v>3638</v>
      </c>
      <c r="N154" s="2" t="s">
        <v>3669</v>
      </c>
      <c r="O154" s="2" t="s">
        <v>6929</v>
      </c>
      <c r="P154" s="2" t="s">
        <v>6930</v>
      </c>
      <c r="Q154" s="2" t="s">
        <v>6931</v>
      </c>
      <c r="R154" s="2" t="s">
        <v>1974</v>
      </c>
      <c r="S154" s="2" t="s">
        <v>3635</v>
      </c>
      <c r="T154" s="2" t="s">
        <v>6932</v>
      </c>
      <c r="U154" s="2" t="s">
        <v>6933</v>
      </c>
      <c r="V154" s="2" t="s">
        <v>6934</v>
      </c>
      <c r="W154" s="2" t="s">
        <v>6935</v>
      </c>
      <c r="X154" s="2" t="s">
        <v>6936</v>
      </c>
      <c r="Y154" s="2" t="s">
        <v>6937</v>
      </c>
      <c r="Z154" s="2" t="s">
        <v>6938</v>
      </c>
      <c r="AA154" s="2" t="s">
        <v>6939</v>
      </c>
      <c r="AB154" s="2" t="s">
        <v>6940</v>
      </c>
      <c r="AC154" s="2" t="s">
        <v>3635</v>
      </c>
      <c r="AD154" s="2" t="s">
        <v>3635</v>
      </c>
      <c r="AE154" s="2" t="s">
        <v>3635</v>
      </c>
      <c r="AF154" s="2" t="s">
        <v>3635</v>
      </c>
      <c r="AG154" s="2">
        <v>28.0</v>
      </c>
      <c r="AH154" s="2">
        <v>2.0</v>
      </c>
      <c r="AI154" s="2">
        <v>2.0</v>
      </c>
      <c r="AJ154" s="2">
        <v>1.0</v>
      </c>
      <c r="AK154" s="2">
        <v>8.0</v>
      </c>
      <c r="AL154" s="2" t="s">
        <v>1974</v>
      </c>
      <c r="AM154" s="2" t="s">
        <v>3651</v>
      </c>
      <c r="AN154" s="2" t="s">
        <v>3762</v>
      </c>
      <c r="AO154" s="2" t="s">
        <v>3635</v>
      </c>
      <c r="AP154" s="2" t="s">
        <v>3635</v>
      </c>
      <c r="AQ154" s="2" t="s">
        <v>6941</v>
      </c>
      <c r="AR154" s="2" t="s">
        <v>3635</v>
      </c>
      <c r="AS154" s="2" t="s">
        <v>3635</v>
      </c>
      <c r="AT154" s="2" t="s">
        <v>3635</v>
      </c>
      <c r="AU154" s="2">
        <v>2019.0</v>
      </c>
      <c r="AV154" s="2" t="s">
        <v>3635</v>
      </c>
      <c r="AW154" s="2" t="s">
        <v>3635</v>
      </c>
      <c r="AX154" s="2" t="s">
        <v>3635</v>
      </c>
      <c r="AY154" s="2" t="s">
        <v>3635</v>
      </c>
      <c r="AZ154" s="2" t="s">
        <v>3635</v>
      </c>
      <c r="BA154" s="2" t="s">
        <v>3635</v>
      </c>
      <c r="BB154" s="2">
        <v>504.0</v>
      </c>
      <c r="BC154" s="2">
        <v>508.0</v>
      </c>
      <c r="BD154" s="2" t="s">
        <v>3635</v>
      </c>
      <c r="BE154" s="2" t="s">
        <v>6942</v>
      </c>
      <c r="BF154" s="3" t="str">
        <f>HYPERLINK("http://dx.doi.org/10.1109/icsrs48664.2019.8987725","http://dx.doi.org/10.1109/icsrs48664.2019.8987725")</f>
        <v>http://dx.doi.org/10.1109/icsrs48664.2019.8987725</v>
      </c>
      <c r="BG154" s="2" t="s">
        <v>3635</v>
      </c>
      <c r="BH154" s="2" t="s">
        <v>3635</v>
      </c>
      <c r="BI154" s="2">
        <v>5.0</v>
      </c>
      <c r="BJ154" s="2" t="s">
        <v>5241</v>
      </c>
      <c r="BK154" s="2" t="s">
        <v>3692</v>
      </c>
      <c r="BL154" s="2" t="s">
        <v>3944</v>
      </c>
      <c r="BM154" s="2" t="s">
        <v>6943</v>
      </c>
      <c r="BN154" s="2" t="s">
        <v>3635</v>
      </c>
      <c r="BO154" s="2" t="s">
        <v>3635</v>
      </c>
      <c r="BP154" s="2" t="s">
        <v>3635</v>
      </c>
      <c r="BQ154" s="2" t="s">
        <v>3635</v>
      </c>
      <c r="BR154" s="2" t="s">
        <v>3662</v>
      </c>
      <c r="BS154" s="2" t="s">
        <v>6944</v>
      </c>
      <c r="BT154" s="2" t="str">
        <f>HYPERLINK("https%3A%2F%2Fwww.webofscience.com%2Fwos%2Fwoscc%2Ffull-record%2FWOS:000545634000078","View Full Record in Web of Science")</f>
        <v>View Full Record in Web of Science</v>
      </c>
    </row>
    <row r="155" ht="15.75" customHeight="1">
      <c r="A155" s="2" t="s">
        <v>3633</v>
      </c>
      <c r="B155" s="2" t="s">
        <v>6945</v>
      </c>
      <c r="C155" s="2" t="s">
        <v>3635</v>
      </c>
      <c r="D155" s="2" t="s">
        <v>3635</v>
      </c>
      <c r="E155" s="2" t="s">
        <v>3635</v>
      </c>
      <c r="F155" s="2" t="s">
        <v>6946</v>
      </c>
      <c r="G155" s="2" t="s">
        <v>3635</v>
      </c>
      <c r="H155" s="2" t="s">
        <v>3635</v>
      </c>
      <c r="I155" s="2" t="s">
        <v>6947</v>
      </c>
      <c r="J155" s="2" t="s">
        <v>6948</v>
      </c>
      <c r="K155" s="2" t="s">
        <v>3635</v>
      </c>
      <c r="L155" s="2" t="s">
        <v>3635</v>
      </c>
      <c r="M155" s="2" t="s">
        <v>3638</v>
      </c>
      <c r="N155" s="2" t="s">
        <v>21</v>
      </c>
      <c r="O155" s="2" t="s">
        <v>3635</v>
      </c>
      <c r="P155" s="2" t="s">
        <v>3635</v>
      </c>
      <c r="Q155" s="2" t="s">
        <v>3635</v>
      </c>
      <c r="R155" s="2" t="s">
        <v>3635</v>
      </c>
      <c r="S155" s="2" t="s">
        <v>3635</v>
      </c>
      <c r="T155" s="2" t="s">
        <v>6949</v>
      </c>
      <c r="U155" s="2" t="s">
        <v>6950</v>
      </c>
      <c r="V155" s="2" t="s">
        <v>6951</v>
      </c>
      <c r="W155" s="2" t="s">
        <v>6952</v>
      </c>
      <c r="X155" s="2" t="s">
        <v>6953</v>
      </c>
      <c r="Y155" s="2" t="s">
        <v>6954</v>
      </c>
      <c r="Z155" s="2" t="s">
        <v>6955</v>
      </c>
      <c r="AA155" s="2" t="s">
        <v>6956</v>
      </c>
      <c r="AB155" s="2" t="s">
        <v>6957</v>
      </c>
      <c r="AC155" s="2" t="s">
        <v>6958</v>
      </c>
      <c r="AD155" s="2" t="s">
        <v>6959</v>
      </c>
      <c r="AE155" s="2" t="s">
        <v>6960</v>
      </c>
      <c r="AF155" s="2" t="s">
        <v>3635</v>
      </c>
      <c r="AG155" s="2">
        <v>45.0</v>
      </c>
      <c r="AH155" s="2">
        <v>18.0</v>
      </c>
      <c r="AI155" s="2">
        <v>18.0</v>
      </c>
      <c r="AJ155" s="2">
        <v>4.0</v>
      </c>
      <c r="AK155" s="2">
        <v>11.0</v>
      </c>
      <c r="AL155" s="2" t="s">
        <v>4740</v>
      </c>
      <c r="AM155" s="2" t="s">
        <v>4668</v>
      </c>
      <c r="AN155" s="2" t="s">
        <v>4741</v>
      </c>
      <c r="AO155" s="2" t="s">
        <v>3635</v>
      </c>
      <c r="AP155" s="2" t="s">
        <v>6961</v>
      </c>
      <c r="AQ155" s="2" t="s">
        <v>3635</v>
      </c>
      <c r="AR155" s="2" t="s">
        <v>6948</v>
      </c>
      <c r="AS155" s="2" t="s">
        <v>6962</v>
      </c>
      <c r="AT155" s="2" t="s">
        <v>6963</v>
      </c>
      <c r="AU155" s="2">
        <v>2021.0</v>
      </c>
      <c r="AV155" s="2">
        <v>22.0</v>
      </c>
      <c r="AW155" s="2">
        <v>1.0</v>
      </c>
      <c r="AX155" s="2" t="s">
        <v>3635</v>
      </c>
      <c r="AY155" s="2" t="s">
        <v>3635</v>
      </c>
      <c r="AZ155" s="2" t="s">
        <v>3635</v>
      </c>
      <c r="BA155" s="2" t="s">
        <v>3635</v>
      </c>
      <c r="BB155" s="2" t="s">
        <v>3635</v>
      </c>
      <c r="BC155" s="2" t="s">
        <v>3635</v>
      </c>
      <c r="BD155" s="2">
        <v>366.0</v>
      </c>
      <c r="BE155" s="2" t="s">
        <v>6964</v>
      </c>
      <c r="BF155" s="3" t="str">
        <f>HYPERLINK("http://dx.doi.org/10.1186/s13063-021-05301-w","http://dx.doi.org/10.1186/s13063-021-05301-w")</f>
        <v>http://dx.doi.org/10.1186/s13063-021-05301-w</v>
      </c>
      <c r="BG155" s="2" t="s">
        <v>3635</v>
      </c>
      <c r="BH155" s="2" t="s">
        <v>3635</v>
      </c>
      <c r="BI155" s="2">
        <v>17.0</v>
      </c>
      <c r="BJ155" s="2" t="s">
        <v>6111</v>
      </c>
      <c r="BK155" s="2" t="s">
        <v>4378</v>
      </c>
      <c r="BL155" s="2" t="s">
        <v>6112</v>
      </c>
      <c r="BM155" s="2" t="s">
        <v>6965</v>
      </c>
      <c r="BN155" s="2">
        <v>3.4034792E7</v>
      </c>
      <c r="BO155" s="2" t="s">
        <v>4251</v>
      </c>
      <c r="BP155" s="2" t="s">
        <v>3635</v>
      </c>
      <c r="BQ155" s="2" t="s">
        <v>3635</v>
      </c>
      <c r="BR155" s="2" t="s">
        <v>3662</v>
      </c>
      <c r="BS155" s="2" t="s">
        <v>6966</v>
      </c>
      <c r="BT155" s="2" t="str">
        <f>HYPERLINK("https%3A%2F%2Fwww.webofscience.com%2Fwos%2Fwoscc%2Ffull-record%2FWOS:000656594500004","View Full Record in Web of Science")</f>
        <v>View Full Record in Web of Science</v>
      </c>
    </row>
    <row r="156" ht="15.75" customHeight="1">
      <c r="A156" s="2" t="s">
        <v>3664</v>
      </c>
      <c r="B156" s="2" t="s">
        <v>6967</v>
      </c>
      <c r="C156" s="2" t="s">
        <v>3635</v>
      </c>
      <c r="D156" s="2" t="s">
        <v>6968</v>
      </c>
      <c r="E156" s="2" t="s">
        <v>3635</v>
      </c>
      <c r="F156" s="2" t="s">
        <v>6969</v>
      </c>
      <c r="G156" s="2" t="s">
        <v>3635</v>
      </c>
      <c r="H156" s="2" t="s">
        <v>3635</v>
      </c>
      <c r="I156" s="2" t="s">
        <v>6970</v>
      </c>
      <c r="J156" s="2" t="s">
        <v>6971</v>
      </c>
      <c r="K156" s="2" t="s">
        <v>3635</v>
      </c>
      <c r="L156" s="2" t="s">
        <v>3635</v>
      </c>
      <c r="M156" s="2" t="s">
        <v>3638</v>
      </c>
      <c r="N156" s="2" t="s">
        <v>3669</v>
      </c>
      <c r="O156" s="2" t="s">
        <v>6972</v>
      </c>
      <c r="P156" s="2" t="s">
        <v>6973</v>
      </c>
      <c r="Q156" s="2" t="s">
        <v>6974</v>
      </c>
      <c r="R156" s="2" t="s">
        <v>6975</v>
      </c>
      <c r="S156" s="2" t="s">
        <v>3635</v>
      </c>
      <c r="T156" s="2" t="s">
        <v>6976</v>
      </c>
      <c r="U156" s="2" t="s">
        <v>6977</v>
      </c>
      <c r="V156" s="2" t="s">
        <v>6978</v>
      </c>
      <c r="W156" s="2" t="s">
        <v>6979</v>
      </c>
      <c r="X156" s="2" t="s">
        <v>6980</v>
      </c>
      <c r="Y156" s="2" t="s">
        <v>6981</v>
      </c>
      <c r="Z156" s="2" t="s">
        <v>6982</v>
      </c>
      <c r="AA156" s="2" t="s">
        <v>6983</v>
      </c>
      <c r="AB156" s="2" t="s">
        <v>6984</v>
      </c>
      <c r="AC156" s="2" t="s">
        <v>3635</v>
      </c>
      <c r="AD156" s="2" t="s">
        <v>3635</v>
      </c>
      <c r="AE156" s="2" t="s">
        <v>3635</v>
      </c>
      <c r="AF156" s="2" t="s">
        <v>3635</v>
      </c>
      <c r="AG156" s="2">
        <v>22.0</v>
      </c>
      <c r="AH156" s="2">
        <v>3.0</v>
      </c>
      <c r="AI156" s="2">
        <v>3.0</v>
      </c>
      <c r="AJ156" s="2">
        <v>0.0</v>
      </c>
      <c r="AK156" s="2">
        <v>2.0</v>
      </c>
      <c r="AL156" s="2" t="s">
        <v>6985</v>
      </c>
      <c r="AM156" s="2" t="s">
        <v>6986</v>
      </c>
      <c r="AN156" s="2" t="s">
        <v>6987</v>
      </c>
      <c r="AO156" s="2" t="s">
        <v>3635</v>
      </c>
      <c r="AP156" s="2" t="s">
        <v>3635</v>
      </c>
      <c r="AQ156" s="2" t="s">
        <v>6988</v>
      </c>
      <c r="AR156" s="2" t="s">
        <v>3635</v>
      </c>
      <c r="AS156" s="2" t="s">
        <v>3635</v>
      </c>
      <c r="AT156" s="2" t="s">
        <v>3635</v>
      </c>
      <c r="AU156" s="2">
        <v>2009.0</v>
      </c>
      <c r="AV156" s="2" t="s">
        <v>3635</v>
      </c>
      <c r="AW156" s="2" t="s">
        <v>3635</v>
      </c>
      <c r="AX156" s="2" t="s">
        <v>3635</v>
      </c>
      <c r="AY156" s="2" t="s">
        <v>3635</v>
      </c>
      <c r="AZ156" s="2" t="s">
        <v>3635</v>
      </c>
      <c r="BA156" s="2" t="s">
        <v>3635</v>
      </c>
      <c r="BB156" s="2">
        <v>2465.0</v>
      </c>
      <c r="BC156" s="2">
        <v>2471.0</v>
      </c>
      <c r="BD156" s="2" t="s">
        <v>3635</v>
      </c>
      <c r="BE156" s="2" t="s">
        <v>3635</v>
      </c>
      <c r="BF156" s="2" t="s">
        <v>3635</v>
      </c>
      <c r="BG156" s="2" t="s">
        <v>3635</v>
      </c>
      <c r="BH156" s="2" t="s">
        <v>3635</v>
      </c>
      <c r="BI156" s="2">
        <v>7.0</v>
      </c>
      <c r="BJ156" s="2" t="s">
        <v>6989</v>
      </c>
      <c r="BK156" s="2" t="s">
        <v>3692</v>
      </c>
      <c r="BL156" s="2" t="s">
        <v>6990</v>
      </c>
      <c r="BM156" s="2" t="s">
        <v>6991</v>
      </c>
      <c r="BN156" s="2" t="s">
        <v>3635</v>
      </c>
      <c r="BO156" s="2" t="s">
        <v>3635</v>
      </c>
      <c r="BP156" s="2" t="s">
        <v>3635</v>
      </c>
      <c r="BQ156" s="2" t="s">
        <v>3635</v>
      </c>
      <c r="BR156" s="2" t="s">
        <v>3662</v>
      </c>
      <c r="BS156" s="2" t="s">
        <v>6992</v>
      </c>
      <c r="BT156" s="2" t="str">
        <f>HYPERLINK("https%3A%2F%2Fwww.webofscience.com%2Fwos%2Fwoscc%2Ffull-record%2FWOS:000290045002078","View Full Record in Web of Science")</f>
        <v>View Full Record in Web of Science</v>
      </c>
    </row>
    <row r="157" ht="15.75" customHeight="1">
      <c r="A157" s="2" t="s">
        <v>3633</v>
      </c>
      <c r="B157" s="2" t="s">
        <v>6993</v>
      </c>
      <c r="C157" s="2" t="s">
        <v>3635</v>
      </c>
      <c r="D157" s="2" t="s">
        <v>3635</v>
      </c>
      <c r="E157" s="2" t="s">
        <v>3635</v>
      </c>
      <c r="F157" s="2" t="s">
        <v>6994</v>
      </c>
      <c r="G157" s="2" t="s">
        <v>3635</v>
      </c>
      <c r="H157" s="2" t="s">
        <v>3635</v>
      </c>
      <c r="I157" s="2" t="s">
        <v>6995</v>
      </c>
      <c r="J157" s="2" t="s">
        <v>6996</v>
      </c>
      <c r="K157" s="2" t="s">
        <v>3635</v>
      </c>
      <c r="L157" s="2" t="s">
        <v>3635</v>
      </c>
      <c r="M157" s="2" t="s">
        <v>3638</v>
      </c>
      <c r="N157" s="2" t="s">
        <v>21</v>
      </c>
      <c r="O157" s="2" t="s">
        <v>3635</v>
      </c>
      <c r="P157" s="2" t="s">
        <v>3635</v>
      </c>
      <c r="Q157" s="2" t="s">
        <v>3635</v>
      </c>
      <c r="R157" s="2" t="s">
        <v>3635</v>
      </c>
      <c r="S157" s="2" t="s">
        <v>3635</v>
      </c>
      <c r="T157" s="2" t="s">
        <v>6997</v>
      </c>
      <c r="U157" s="2" t="s">
        <v>6998</v>
      </c>
      <c r="V157" s="2" t="s">
        <v>6999</v>
      </c>
      <c r="W157" s="2" t="s">
        <v>7000</v>
      </c>
      <c r="X157" s="2" t="s">
        <v>7001</v>
      </c>
      <c r="Y157" s="2" t="s">
        <v>7002</v>
      </c>
      <c r="Z157" s="2" t="s">
        <v>7003</v>
      </c>
      <c r="AA157" s="2" t="s">
        <v>7004</v>
      </c>
      <c r="AB157" s="2" t="s">
        <v>7005</v>
      </c>
      <c r="AC157" s="2" t="s">
        <v>7006</v>
      </c>
      <c r="AD157" s="2" t="s">
        <v>7007</v>
      </c>
      <c r="AE157" s="2" t="s">
        <v>7008</v>
      </c>
      <c r="AF157" s="2" t="s">
        <v>3635</v>
      </c>
      <c r="AG157" s="2">
        <v>37.0</v>
      </c>
      <c r="AH157" s="2">
        <v>4.0</v>
      </c>
      <c r="AI157" s="2">
        <v>4.0</v>
      </c>
      <c r="AJ157" s="2">
        <v>1.0</v>
      </c>
      <c r="AK157" s="2">
        <v>4.0</v>
      </c>
      <c r="AL157" s="2" t="s">
        <v>4667</v>
      </c>
      <c r="AM157" s="2" t="s">
        <v>4668</v>
      </c>
      <c r="AN157" s="2" t="s">
        <v>4669</v>
      </c>
      <c r="AO157" s="2" t="s">
        <v>7009</v>
      </c>
      <c r="AP157" s="2" t="s">
        <v>7010</v>
      </c>
      <c r="AQ157" s="2" t="s">
        <v>3635</v>
      </c>
      <c r="AR157" s="2" t="s">
        <v>7011</v>
      </c>
      <c r="AS157" s="2" t="s">
        <v>7012</v>
      </c>
      <c r="AT157" s="2" t="s">
        <v>6693</v>
      </c>
      <c r="AU157" s="2">
        <v>2019.0</v>
      </c>
      <c r="AV157" s="2">
        <v>28.0</v>
      </c>
      <c r="AW157" s="2">
        <v>4.0</v>
      </c>
      <c r="AX157" s="2" t="s">
        <v>3635</v>
      </c>
      <c r="AY157" s="2" t="s">
        <v>3635</v>
      </c>
      <c r="AZ157" s="2" t="s">
        <v>3635</v>
      </c>
      <c r="BA157" s="2" t="s">
        <v>3635</v>
      </c>
      <c r="BB157" s="2">
        <v>1105.0</v>
      </c>
      <c r="BC157" s="2">
        <v>1125.0</v>
      </c>
      <c r="BD157" s="2" t="s">
        <v>3635</v>
      </c>
      <c r="BE157" s="2" t="s">
        <v>7013</v>
      </c>
      <c r="BF157" s="3" t="str">
        <f>HYPERLINK("http://dx.doi.org/10.1177/0962280217747309","http://dx.doi.org/10.1177/0962280217747309")</f>
        <v>http://dx.doi.org/10.1177/0962280217747309</v>
      </c>
      <c r="BG157" s="2" t="s">
        <v>3635</v>
      </c>
      <c r="BH157" s="2" t="s">
        <v>3635</v>
      </c>
      <c r="BI157" s="2">
        <v>21.0</v>
      </c>
      <c r="BJ157" s="2" t="s">
        <v>7014</v>
      </c>
      <c r="BK157" s="2" t="s">
        <v>4378</v>
      </c>
      <c r="BL157" s="2" t="s">
        <v>7015</v>
      </c>
      <c r="BM157" s="2" t="s">
        <v>7016</v>
      </c>
      <c r="BN157" s="2">
        <v>2.9278142E7</v>
      </c>
      <c r="BO157" s="2" t="s">
        <v>3635</v>
      </c>
      <c r="BP157" s="2" t="s">
        <v>3635</v>
      </c>
      <c r="BQ157" s="2" t="s">
        <v>3635</v>
      </c>
      <c r="BR157" s="2" t="s">
        <v>3662</v>
      </c>
      <c r="BS157" s="2" t="s">
        <v>7017</v>
      </c>
      <c r="BT157" s="2" t="str">
        <f>HYPERLINK("https%3A%2F%2Fwww.webofscience.com%2Fwos%2Fwoscc%2Ffull-record%2FWOS:000463234000009","View Full Record in Web of Science")</f>
        <v>View Full Record in Web of Science</v>
      </c>
    </row>
    <row r="158" ht="15.75" customHeight="1">
      <c r="A158" s="2" t="s">
        <v>3664</v>
      </c>
      <c r="B158" s="2" t="s">
        <v>7018</v>
      </c>
      <c r="C158" s="2" t="s">
        <v>3635</v>
      </c>
      <c r="D158" s="2" t="s">
        <v>7019</v>
      </c>
      <c r="E158" s="2" t="s">
        <v>3635</v>
      </c>
      <c r="F158" s="2" t="s">
        <v>7020</v>
      </c>
      <c r="G158" s="2" t="s">
        <v>3635</v>
      </c>
      <c r="H158" s="2" t="s">
        <v>3635</v>
      </c>
      <c r="I158" s="2" t="s">
        <v>7021</v>
      </c>
      <c r="J158" s="2" t="s">
        <v>7022</v>
      </c>
      <c r="K158" s="2" t="s">
        <v>4258</v>
      </c>
      <c r="L158" s="2" t="s">
        <v>3635</v>
      </c>
      <c r="M158" s="2" t="s">
        <v>3638</v>
      </c>
      <c r="N158" s="2" t="s">
        <v>3669</v>
      </c>
      <c r="O158" s="2" t="s">
        <v>7023</v>
      </c>
      <c r="P158" s="2" t="s">
        <v>7024</v>
      </c>
      <c r="Q158" s="2" t="s">
        <v>7025</v>
      </c>
      <c r="R158" s="2" t="s">
        <v>3635</v>
      </c>
      <c r="S158" s="2" t="s">
        <v>7026</v>
      </c>
      <c r="T158" s="2" t="s">
        <v>3635</v>
      </c>
      <c r="U158" s="2" t="s">
        <v>3635</v>
      </c>
      <c r="V158" s="2" t="s">
        <v>7027</v>
      </c>
      <c r="W158" s="2" t="s">
        <v>7028</v>
      </c>
      <c r="X158" s="2" t="s">
        <v>6936</v>
      </c>
      <c r="Y158" s="2" t="s">
        <v>7029</v>
      </c>
      <c r="Z158" s="2" t="s">
        <v>7030</v>
      </c>
      <c r="AA158" s="2" t="s">
        <v>7031</v>
      </c>
      <c r="AB158" s="2" t="s">
        <v>7032</v>
      </c>
      <c r="AC158" s="2" t="s">
        <v>3635</v>
      </c>
      <c r="AD158" s="2" t="s">
        <v>3635</v>
      </c>
      <c r="AE158" s="2" t="s">
        <v>3635</v>
      </c>
      <c r="AF158" s="2" t="s">
        <v>3635</v>
      </c>
      <c r="AG158" s="2">
        <v>21.0</v>
      </c>
      <c r="AH158" s="2">
        <v>3.0</v>
      </c>
      <c r="AI158" s="2">
        <v>3.0</v>
      </c>
      <c r="AJ158" s="2">
        <v>0.0</v>
      </c>
      <c r="AK158" s="2">
        <v>1.0</v>
      </c>
      <c r="AL158" s="2" t="s">
        <v>4170</v>
      </c>
      <c r="AM158" s="2" t="s">
        <v>4171</v>
      </c>
      <c r="AN158" s="2" t="s">
        <v>4172</v>
      </c>
      <c r="AO158" s="2" t="s">
        <v>4274</v>
      </c>
      <c r="AP158" s="2" t="s">
        <v>4275</v>
      </c>
      <c r="AQ158" s="2" t="s">
        <v>7033</v>
      </c>
      <c r="AR158" s="2" t="s">
        <v>4277</v>
      </c>
      <c r="AS158" s="2" t="s">
        <v>3635</v>
      </c>
      <c r="AT158" s="2" t="s">
        <v>3635</v>
      </c>
      <c r="AU158" s="2">
        <v>2016.0</v>
      </c>
      <c r="AV158" s="2">
        <v>9720.0</v>
      </c>
      <c r="AW158" s="2" t="s">
        <v>3635</v>
      </c>
      <c r="AX158" s="2" t="s">
        <v>3635</v>
      </c>
      <c r="AY158" s="2" t="s">
        <v>3635</v>
      </c>
      <c r="AZ158" s="2" t="s">
        <v>3635</v>
      </c>
      <c r="BA158" s="2" t="s">
        <v>3635</v>
      </c>
      <c r="BB158" s="2">
        <v>137.0</v>
      </c>
      <c r="BC158" s="2">
        <v>152.0</v>
      </c>
      <c r="BD158" s="2" t="s">
        <v>3635</v>
      </c>
      <c r="BE158" s="2" t="s">
        <v>1060</v>
      </c>
      <c r="BF158" s="3" t="str">
        <f>HYPERLINK("http://dx.doi.org/10.1007/978-3-319-40578-0_9","http://dx.doi.org/10.1007/978-3-319-40578-0_9")</f>
        <v>http://dx.doi.org/10.1007/978-3-319-40578-0_9</v>
      </c>
      <c r="BG158" s="2" t="s">
        <v>3635</v>
      </c>
      <c r="BH158" s="2" t="s">
        <v>3635</v>
      </c>
      <c r="BI158" s="2">
        <v>16.0</v>
      </c>
      <c r="BJ158" s="2" t="s">
        <v>3691</v>
      </c>
      <c r="BK158" s="2" t="s">
        <v>3692</v>
      </c>
      <c r="BL158" s="2" t="s">
        <v>3659</v>
      </c>
      <c r="BM158" s="2" t="s">
        <v>7034</v>
      </c>
      <c r="BN158" s="2" t="s">
        <v>3635</v>
      </c>
      <c r="BO158" s="2" t="s">
        <v>3694</v>
      </c>
      <c r="BP158" s="2" t="s">
        <v>3635</v>
      </c>
      <c r="BQ158" s="2" t="s">
        <v>3635</v>
      </c>
      <c r="BR158" s="2" t="s">
        <v>3662</v>
      </c>
      <c r="BS158" s="2" t="s">
        <v>7035</v>
      </c>
      <c r="BT158" s="2" t="str">
        <f>HYPERLINK("https%3A%2F%2Fwww.webofscience.com%2Fwos%2Fwoscc%2Ffull-record%2FWOS:000387765200009","View Full Record in Web of Science")</f>
        <v>View Full Record in Web of Science</v>
      </c>
    </row>
    <row r="159" ht="15.75" customHeight="1">
      <c r="A159" s="2" t="s">
        <v>3633</v>
      </c>
      <c r="B159" s="2" t="s">
        <v>7036</v>
      </c>
      <c r="C159" s="2" t="s">
        <v>3635</v>
      </c>
      <c r="D159" s="2" t="s">
        <v>3635</v>
      </c>
      <c r="E159" s="2" t="s">
        <v>3635</v>
      </c>
      <c r="F159" s="2" t="s">
        <v>7037</v>
      </c>
      <c r="G159" s="2" t="s">
        <v>3635</v>
      </c>
      <c r="H159" s="2" t="s">
        <v>3635</v>
      </c>
      <c r="I159" s="2" t="s">
        <v>7038</v>
      </c>
      <c r="J159" s="2" t="s">
        <v>7039</v>
      </c>
      <c r="K159" s="2" t="s">
        <v>3635</v>
      </c>
      <c r="L159" s="2" t="s">
        <v>3635</v>
      </c>
      <c r="M159" s="2" t="s">
        <v>3638</v>
      </c>
      <c r="N159" s="2" t="s">
        <v>21</v>
      </c>
      <c r="O159" s="2" t="s">
        <v>3635</v>
      </c>
      <c r="P159" s="2" t="s">
        <v>3635</v>
      </c>
      <c r="Q159" s="2" t="s">
        <v>3635</v>
      </c>
      <c r="R159" s="2" t="s">
        <v>3635</v>
      </c>
      <c r="S159" s="2" t="s">
        <v>3635</v>
      </c>
      <c r="T159" s="2" t="s">
        <v>7040</v>
      </c>
      <c r="U159" s="2" t="s">
        <v>7041</v>
      </c>
      <c r="V159" s="2" t="s">
        <v>7042</v>
      </c>
      <c r="W159" s="2" t="s">
        <v>7043</v>
      </c>
      <c r="X159" s="2" t="s">
        <v>7044</v>
      </c>
      <c r="Y159" s="2" t="s">
        <v>7045</v>
      </c>
      <c r="Z159" s="2" t="s">
        <v>7046</v>
      </c>
      <c r="AA159" s="2" t="s">
        <v>7047</v>
      </c>
      <c r="AB159" s="2" t="s">
        <v>7048</v>
      </c>
      <c r="AC159" s="2" t="s">
        <v>3635</v>
      </c>
      <c r="AD159" s="2" t="s">
        <v>3635</v>
      </c>
      <c r="AE159" s="2" t="s">
        <v>3635</v>
      </c>
      <c r="AF159" s="2" t="s">
        <v>3635</v>
      </c>
      <c r="AG159" s="2">
        <v>50.0</v>
      </c>
      <c r="AH159" s="2">
        <v>4.0</v>
      </c>
      <c r="AI159" s="2">
        <v>6.0</v>
      </c>
      <c r="AJ159" s="2">
        <v>4.0</v>
      </c>
      <c r="AK159" s="2">
        <v>38.0</v>
      </c>
      <c r="AL159" s="2" t="s">
        <v>7049</v>
      </c>
      <c r="AM159" s="2" t="s">
        <v>7050</v>
      </c>
      <c r="AN159" s="2" t="s">
        <v>7051</v>
      </c>
      <c r="AO159" s="2" t="s">
        <v>7052</v>
      </c>
      <c r="AP159" s="2" t="s">
        <v>7053</v>
      </c>
      <c r="AQ159" s="2" t="s">
        <v>3635</v>
      </c>
      <c r="AR159" s="2" t="s">
        <v>7054</v>
      </c>
      <c r="AS159" s="2" t="s">
        <v>7055</v>
      </c>
      <c r="AT159" s="2" t="s">
        <v>5367</v>
      </c>
      <c r="AU159" s="2">
        <v>2020.0</v>
      </c>
      <c r="AV159" s="2">
        <v>66.0</v>
      </c>
      <c r="AW159" s="2">
        <v>12.0</v>
      </c>
      <c r="AX159" s="2" t="s">
        <v>3635</v>
      </c>
      <c r="AY159" s="2" t="s">
        <v>3635</v>
      </c>
      <c r="AZ159" s="2" t="s">
        <v>3635</v>
      </c>
      <c r="BA159" s="2" t="s">
        <v>3635</v>
      </c>
      <c r="BB159" s="2" t="s">
        <v>3635</v>
      </c>
      <c r="BC159" s="2" t="s">
        <v>3635</v>
      </c>
      <c r="BD159" s="2" t="s">
        <v>3635</v>
      </c>
      <c r="BE159" s="2" t="s">
        <v>7056</v>
      </c>
      <c r="BF159" s="3" t="str">
        <f>HYPERLINK("http://dx.doi.org/10.1287/mnsc.2019.3537","http://dx.doi.org/10.1287/mnsc.2019.3537")</f>
        <v>http://dx.doi.org/10.1287/mnsc.2019.3537</v>
      </c>
      <c r="BG159" s="2" t="s">
        <v>3635</v>
      </c>
      <c r="BH159" s="2" t="s">
        <v>3635</v>
      </c>
      <c r="BI159" s="2">
        <v>24.0</v>
      </c>
      <c r="BJ159" s="2" t="s">
        <v>7057</v>
      </c>
      <c r="BK159" s="2" t="s">
        <v>4378</v>
      </c>
      <c r="BL159" s="2" t="s">
        <v>6248</v>
      </c>
      <c r="BM159" s="2" t="s">
        <v>7058</v>
      </c>
      <c r="BN159" s="2" t="s">
        <v>3635</v>
      </c>
      <c r="BO159" s="2" t="s">
        <v>3635</v>
      </c>
      <c r="BP159" s="2" t="s">
        <v>3635</v>
      </c>
      <c r="BQ159" s="2" t="s">
        <v>3635</v>
      </c>
      <c r="BR159" s="2" t="s">
        <v>3662</v>
      </c>
      <c r="BS159" s="2" t="s">
        <v>7059</v>
      </c>
      <c r="BT159" s="2" t="str">
        <f>HYPERLINK("https%3A%2F%2Fwww.webofscience.com%2Fwos%2Fwoscc%2Ffull-record%2FWOS:000597955700005","View Full Record in Web of Science")</f>
        <v>View Full Record in Web of Science</v>
      </c>
    </row>
    <row r="160" ht="15.75" customHeight="1">
      <c r="A160" s="2" t="s">
        <v>3633</v>
      </c>
      <c r="B160" s="2" t="s">
        <v>7060</v>
      </c>
      <c r="C160" s="2" t="s">
        <v>3635</v>
      </c>
      <c r="D160" s="2" t="s">
        <v>3635</v>
      </c>
      <c r="E160" s="2" t="s">
        <v>3635</v>
      </c>
      <c r="F160" s="2" t="s">
        <v>7061</v>
      </c>
      <c r="G160" s="2" t="s">
        <v>3635</v>
      </c>
      <c r="H160" s="2" t="s">
        <v>3635</v>
      </c>
      <c r="I160" s="2" t="s">
        <v>7062</v>
      </c>
      <c r="J160" s="2" t="s">
        <v>7063</v>
      </c>
      <c r="K160" s="2" t="s">
        <v>3635</v>
      </c>
      <c r="L160" s="2" t="s">
        <v>3635</v>
      </c>
      <c r="M160" s="2" t="s">
        <v>3638</v>
      </c>
      <c r="N160" s="2" t="s">
        <v>7064</v>
      </c>
      <c r="O160" s="2" t="s">
        <v>3635</v>
      </c>
      <c r="P160" s="2" t="s">
        <v>3635</v>
      </c>
      <c r="Q160" s="2" t="s">
        <v>3635</v>
      </c>
      <c r="R160" s="2" t="s">
        <v>3635</v>
      </c>
      <c r="S160" s="2" t="s">
        <v>3635</v>
      </c>
      <c r="T160" s="2" t="s">
        <v>7065</v>
      </c>
      <c r="U160" s="2" t="s">
        <v>3635</v>
      </c>
      <c r="V160" s="2" t="s">
        <v>7066</v>
      </c>
      <c r="W160" s="2" t="s">
        <v>7067</v>
      </c>
      <c r="X160" s="2" t="s">
        <v>3635</v>
      </c>
      <c r="Y160" s="2" t="s">
        <v>7068</v>
      </c>
      <c r="Z160" s="2" t="s">
        <v>7069</v>
      </c>
      <c r="AA160" s="2" t="s">
        <v>7070</v>
      </c>
      <c r="AB160" s="2" t="s">
        <v>7071</v>
      </c>
      <c r="AC160" s="2" t="s">
        <v>3635</v>
      </c>
      <c r="AD160" s="2" t="s">
        <v>3635</v>
      </c>
      <c r="AE160" s="2" t="s">
        <v>3635</v>
      </c>
      <c r="AF160" s="2" t="s">
        <v>3635</v>
      </c>
      <c r="AG160" s="2">
        <v>1.0</v>
      </c>
      <c r="AH160" s="2">
        <v>2.0</v>
      </c>
      <c r="AI160" s="2">
        <v>2.0</v>
      </c>
      <c r="AJ160" s="2">
        <v>0.0</v>
      </c>
      <c r="AK160" s="2">
        <v>2.0</v>
      </c>
      <c r="AL160" s="2" t="s">
        <v>7072</v>
      </c>
      <c r="AM160" s="2" t="s">
        <v>7073</v>
      </c>
      <c r="AN160" s="2" t="s">
        <v>7074</v>
      </c>
      <c r="AO160" s="2" t="s">
        <v>7075</v>
      </c>
      <c r="AP160" s="2" t="s">
        <v>3635</v>
      </c>
      <c r="AQ160" s="2" t="s">
        <v>3635</v>
      </c>
      <c r="AR160" s="2" t="s">
        <v>7076</v>
      </c>
      <c r="AS160" s="2" t="s">
        <v>7077</v>
      </c>
      <c r="AT160" s="2" t="s">
        <v>5367</v>
      </c>
      <c r="AU160" s="2">
        <v>2021.0</v>
      </c>
      <c r="AV160" s="2">
        <v>16.0</v>
      </c>
      <c r="AW160" s="2">
        <v>6.0</v>
      </c>
      <c r="AX160" s="2" t="s">
        <v>3635</v>
      </c>
      <c r="AY160" s="2" t="s">
        <v>3635</v>
      </c>
      <c r="AZ160" s="2" t="s">
        <v>3635</v>
      </c>
      <c r="BA160" s="2" t="s">
        <v>3635</v>
      </c>
      <c r="BB160" s="2">
        <v>1590.0</v>
      </c>
      <c r="BC160" s="2">
        <v>1594.0</v>
      </c>
      <c r="BD160" s="2" t="s">
        <v>3635</v>
      </c>
      <c r="BE160" s="2" t="s">
        <v>7078</v>
      </c>
      <c r="BF160" s="3" t="str">
        <f>HYPERLINK("http://dx.doi.org/10.26603/001c.29858","http://dx.doi.org/10.26603/001c.29858")</f>
        <v>http://dx.doi.org/10.26603/001c.29858</v>
      </c>
      <c r="BG160" s="2" t="s">
        <v>3635</v>
      </c>
      <c r="BH160" s="2" t="s">
        <v>3635</v>
      </c>
      <c r="BI160" s="2">
        <v>5.0</v>
      </c>
      <c r="BJ160" s="2" t="s">
        <v>7079</v>
      </c>
      <c r="BK160" s="2" t="s">
        <v>3993</v>
      </c>
      <c r="BL160" s="2" t="s">
        <v>7079</v>
      </c>
      <c r="BM160" s="2" t="s">
        <v>7080</v>
      </c>
      <c r="BN160" s="2">
        <v>3.4909264E7</v>
      </c>
      <c r="BO160" s="2" t="s">
        <v>4251</v>
      </c>
      <c r="BP160" s="2" t="s">
        <v>3635</v>
      </c>
      <c r="BQ160" s="2" t="s">
        <v>3635</v>
      </c>
      <c r="BR160" s="2" t="s">
        <v>3662</v>
      </c>
      <c r="BS160" s="2" t="s">
        <v>7081</v>
      </c>
      <c r="BT160" s="2" t="str">
        <f>HYPERLINK("https%3A%2F%2Fwww.webofscience.com%2Fwos%2Fwoscc%2Ffull-record%2FWOS:000753208200025","View Full Record in Web of Science")</f>
        <v>View Full Record in Web of Science</v>
      </c>
    </row>
    <row r="161" ht="15.75" customHeight="1">
      <c r="A161" s="2" t="s">
        <v>3633</v>
      </c>
      <c r="B161" s="2" t="s">
        <v>7082</v>
      </c>
      <c r="C161" s="2" t="s">
        <v>3635</v>
      </c>
      <c r="D161" s="2" t="s">
        <v>3635</v>
      </c>
      <c r="E161" s="2" t="s">
        <v>3635</v>
      </c>
      <c r="F161" s="2" t="s">
        <v>7083</v>
      </c>
      <c r="G161" s="2" t="s">
        <v>3635</v>
      </c>
      <c r="H161" s="2" t="s">
        <v>3635</v>
      </c>
      <c r="I161" s="2" t="s">
        <v>332</v>
      </c>
      <c r="J161" s="2" t="s">
        <v>7084</v>
      </c>
      <c r="K161" s="2" t="s">
        <v>3635</v>
      </c>
      <c r="L161" s="2" t="s">
        <v>3635</v>
      </c>
      <c r="M161" s="2" t="s">
        <v>3638</v>
      </c>
      <c r="N161" s="2" t="s">
        <v>21</v>
      </c>
      <c r="O161" s="2" t="s">
        <v>3635</v>
      </c>
      <c r="P161" s="2" t="s">
        <v>3635</v>
      </c>
      <c r="Q161" s="2" t="s">
        <v>3635</v>
      </c>
      <c r="R161" s="2" t="s">
        <v>3635</v>
      </c>
      <c r="S161" s="2" t="s">
        <v>3635</v>
      </c>
      <c r="T161" s="2" t="s">
        <v>7085</v>
      </c>
      <c r="U161" s="2" t="s">
        <v>3635</v>
      </c>
      <c r="V161" s="2" t="s">
        <v>7086</v>
      </c>
      <c r="W161" s="2" t="s">
        <v>7087</v>
      </c>
      <c r="X161" s="2" t="s">
        <v>7088</v>
      </c>
      <c r="Y161" s="2" t="s">
        <v>7089</v>
      </c>
      <c r="Z161" s="2" t="s">
        <v>7090</v>
      </c>
      <c r="AA161" s="2" t="s">
        <v>7091</v>
      </c>
      <c r="AB161" s="2" t="s">
        <v>7092</v>
      </c>
      <c r="AC161" s="2" t="s">
        <v>3635</v>
      </c>
      <c r="AD161" s="2" t="s">
        <v>3635</v>
      </c>
      <c r="AE161" s="2" t="s">
        <v>3635</v>
      </c>
      <c r="AF161" s="2" t="s">
        <v>3635</v>
      </c>
      <c r="AG161" s="2">
        <v>32.0</v>
      </c>
      <c r="AH161" s="2">
        <v>16.0</v>
      </c>
      <c r="AI161" s="2">
        <v>17.0</v>
      </c>
      <c r="AJ161" s="2">
        <v>12.0</v>
      </c>
      <c r="AK161" s="2">
        <v>53.0</v>
      </c>
      <c r="AL161" s="2" t="s">
        <v>5480</v>
      </c>
      <c r="AM161" s="2" t="s">
        <v>3915</v>
      </c>
      <c r="AN161" s="2" t="s">
        <v>5481</v>
      </c>
      <c r="AO161" s="2" t="s">
        <v>7093</v>
      </c>
      <c r="AP161" s="2" t="s">
        <v>7094</v>
      </c>
      <c r="AQ161" s="2" t="s">
        <v>3635</v>
      </c>
      <c r="AR161" s="2" t="s">
        <v>7095</v>
      </c>
      <c r="AS161" s="2" t="s">
        <v>7096</v>
      </c>
      <c r="AT161" s="2" t="s">
        <v>7097</v>
      </c>
      <c r="AU161" s="2">
        <v>2021.0</v>
      </c>
      <c r="AV161" s="2">
        <v>186.0</v>
      </c>
      <c r="AW161" s="2" t="s">
        <v>3635</v>
      </c>
      <c r="AX161" s="2" t="s">
        <v>3635</v>
      </c>
      <c r="AY161" s="2" t="s">
        <v>3635</v>
      </c>
      <c r="AZ161" s="2" t="s">
        <v>3635</v>
      </c>
      <c r="BA161" s="2" t="s">
        <v>3635</v>
      </c>
      <c r="BB161" s="2" t="s">
        <v>3635</v>
      </c>
      <c r="BC161" s="2" t="s">
        <v>3635</v>
      </c>
      <c r="BD161" s="2">
        <v>115694.0</v>
      </c>
      <c r="BE161" s="2" t="s">
        <v>335</v>
      </c>
      <c r="BF161" s="3" t="str">
        <f>HYPERLINK("http://dx.doi.org/10.1016/j.eswa.2021.115694","http://dx.doi.org/10.1016/j.eswa.2021.115694")</f>
        <v>http://dx.doi.org/10.1016/j.eswa.2021.115694</v>
      </c>
      <c r="BG161" s="2" t="s">
        <v>3635</v>
      </c>
      <c r="BH161" s="2" t="s">
        <v>7098</v>
      </c>
      <c r="BI161" s="2">
        <v>7.0</v>
      </c>
      <c r="BJ161" s="2" t="s">
        <v>7099</v>
      </c>
      <c r="BK161" s="2" t="s">
        <v>3658</v>
      </c>
      <c r="BL161" s="2" t="s">
        <v>7100</v>
      </c>
      <c r="BM161" s="2" t="s">
        <v>7101</v>
      </c>
      <c r="BN161" s="2" t="s">
        <v>3635</v>
      </c>
      <c r="BO161" s="2" t="s">
        <v>3635</v>
      </c>
      <c r="BP161" s="2" t="s">
        <v>3635</v>
      </c>
      <c r="BQ161" s="2" t="s">
        <v>3635</v>
      </c>
      <c r="BR161" s="2" t="s">
        <v>3662</v>
      </c>
      <c r="BS161" s="2" t="s">
        <v>7102</v>
      </c>
      <c r="BT161" s="2" t="str">
        <f>HYPERLINK("https%3A%2F%2Fwww.webofscience.com%2Fwos%2Fwoscc%2Ffull-record%2FWOS:000703901600001","View Full Record in Web of Science")</f>
        <v>View Full Record in Web of Science</v>
      </c>
    </row>
    <row r="162" ht="15.75" customHeight="1">
      <c r="A162" s="2" t="s">
        <v>3664</v>
      </c>
      <c r="B162" s="2" t="s">
        <v>7103</v>
      </c>
      <c r="C162" s="2" t="s">
        <v>3635</v>
      </c>
      <c r="D162" s="2" t="s">
        <v>3635</v>
      </c>
      <c r="E162" s="2" t="s">
        <v>1974</v>
      </c>
      <c r="F162" s="2" t="s">
        <v>7104</v>
      </c>
      <c r="G162" s="2" t="s">
        <v>3635</v>
      </c>
      <c r="H162" s="2" t="s">
        <v>3635</v>
      </c>
      <c r="I162" s="2" t="s">
        <v>3377</v>
      </c>
      <c r="J162" s="2" t="s">
        <v>7105</v>
      </c>
      <c r="K162" s="2" t="s">
        <v>7106</v>
      </c>
      <c r="L162" s="2" t="s">
        <v>3635</v>
      </c>
      <c r="M162" s="2" t="s">
        <v>3638</v>
      </c>
      <c r="N162" s="2" t="s">
        <v>3669</v>
      </c>
      <c r="O162" s="2" t="s">
        <v>7107</v>
      </c>
      <c r="P162" s="2" t="s">
        <v>7108</v>
      </c>
      <c r="Q162" s="2" t="s">
        <v>7109</v>
      </c>
      <c r="R162" s="2" t="s">
        <v>3866</v>
      </c>
      <c r="S162" s="2" t="s">
        <v>3635</v>
      </c>
      <c r="T162" s="2" t="s">
        <v>7110</v>
      </c>
      <c r="U162" s="2" t="s">
        <v>3635</v>
      </c>
      <c r="V162" s="2" t="s">
        <v>7111</v>
      </c>
      <c r="W162" s="2" t="s">
        <v>7112</v>
      </c>
      <c r="X162" s="2" t="s">
        <v>7113</v>
      </c>
      <c r="Y162" s="2" t="s">
        <v>7114</v>
      </c>
      <c r="Z162" s="2" t="s">
        <v>7115</v>
      </c>
      <c r="AA162" s="2" t="s">
        <v>3635</v>
      </c>
      <c r="AB162" s="2" t="s">
        <v>7116</v>
      </c>
      <c r="AC162" s="2" t="s">
        <v>7117</v>
      </c>
      <c r="AD162" s="2" t="s">
        <v>7118</v>
      </c>
      <c r="AE162" s="2" t="s">
        <v>7119</v>
      </c>
      <c r="AF162" s="2" t="s">
        <v>3635</v>
      </c>
      <c r="AG162" s="2">
        <v>36.0</v>
      </c>
      <c r="AH162" s="2">
        <v>6.0</v>
      </c>
      <c r="AI162" s="2">
        <v>7.0</v>
      </c>
      <c r="AJ162" s="2">
        <v>0.0</v>
      </c>
      <c r="AK162" s="2">
        <v>1.0</v>
      </c>
      <c r="AL162" s="2" t="s">
        <v>1974</v>
      </c>
      <c r="AM162" s="2" t="s">
        <v>3651</v>
      </c>
      <c r="AN162" s="2" t="s">
        <v>3762</v>
      </c>
      <c r="AO162" s="2" t="s">
        <v>7120</v>
      </c>
      <c r="AP162" s="2" t="s">
        <v>3635</v>
      </c>
      <c r="AQ162" s="2" t="s">
        <v>7121</v>
      </c>
      <c r="AR162" s="2" t="s">
        <v>7122</v>
      </c>
      <c r="AS162" s="2" t="s">
        <v>3635</v>
      </c>
      <c r="AT162" s="2" t="s">
        <v>3635</v>
      </c>
      <c r="AU162" s="2">
        <v>2019.0</v>
      </c>
      <c r="AV162" s="2" t="s">
        <v>3635</v>
      </c>
      <c r="AW162" s="2" t="s">
        <v>3635</v>
      </c>
      <c r="AX162" s="2" t="s">
        <v>3635</v>
      </c>
      <c r="AY162" s="2" t="s">
        <v>3635</v>
      </c>
      <c r="AZ162" s="2" t="s">
        <v>3635</v>
      </c>
      <c r="BA162" s="2" t="s">
        <v>3635</v>
      </c>
      <c r="BB162" s="2">
        <v>80.0</v>
      </c>
      <c r="BC162" s="2">
        <v>92.0</v>
      </c>
      <c r="BD162" s="2" t="s">
        <v>3635</v>
      </c>
      <c r="BE162" s="2" t="s">
        <v>763</v>
      </c>
      <c r="BF162" s="3" t="str">
        <f>HYPERLINK("http://dx.doi.org/10.1109/RTSS46320.2019.00018","http://dx.doi.org/10.1109/RTSS46320.2019.00018")</f>
        <v>http://dx.doi.org/10.1109/RTSS46320.2019.00018</v>
      </c>
      <c r="BG162" s="2" t="s">
        <v>3635</v>
      </c>
      <c r="BH162" s="2" t="s">
        <v>3635</v>
      </c>
      <c r="BI162" s="2">
        <v>13.0</v>
      </c>
      <c r="BJ162" s="2" t="s">
        <v>3896</v>
      </c>
      <c r="BK162" s="2" t="s">
        <v>3692</v>
      </c>
      <c r="BL162" s="2" t="s">
        <v>3659</v>
      </c>
      <c r="BM162" s="2" t="s">
        <v>7123</v>
      </c>
      <c r="BN162" s="2" t="s">
        <v>3635</v>
      </c>
      <c r="BO162" s="2" t="s">
        <v>3635</v>
      </c>
      <c r="BP162" s="2" t="s">
        <v>3635</v>
      </c>
      <c r="BQ162" s="2" t="s">
        <v>3635</v>
      </c>
      <c r="BR162" s="2" t="s">
        <v>3662</v>
      </c>
      <c r="BS162" s="2" t="s">
        <v>7124</v>
      </c>
      <c r="BT162" s="2" t="str">
        <f>HYPERLINK("https%3A%2F%2Fwww.webofscience.com%2Fwos%2Fwoscc%2Ffull-record%2FWOS:000568160700008","View Full Record in Web of Science")</f>
        <v>View Full Record in Web of Science</v>
      </c>
    </row>
    <row r="163" ht="15.75" customHeight="1">
      <c r="A163" s="2" t="s">
        <v>3633</v>
      </c>
      <c r="B163" s="2" t="s">
        <v>7125</v>
      </c>
      <c r="C163" s="2" t="s">
        <v>3635</v>
      </c>
      <c r="D163" s="2" t="s">
        <v>3635</v>
      </c>
      <c r="E163" s="2" t="s">
        <v>3635</v>
      </c>
      <c r="F163" s="2" t="s">
        <v>7126</v>
      </c>
      <c r="G163" s="2" t="s">
        <v>3635</v>
      </c>
      <c r="H163" s="2" t="s">
        <v>3635</v>
      </c>
      <c r="I163" s="2" t="s">
        <v>7127</v>
      </c>
      <c r="J163" s="2" t="s">
        <v>7128</v>
      </c>
      <c r="K163" s="2" t="s">
        <v>3635</v>
      </c>
      <c r="L163" s="2" t="s">
        <v>3635</v>
      </c>
      <c r="M163" s="2" t="s">
        <v>3638</v>
      </c>
      <c r="N163" s="2" t="s">
        <v>21</v>
      </c>
      <c r="O163" s="2" t="s">
        <v>3635</v>
      </c>
      <c r="P163" s="2" t="s">
        <v>3635</v>
      </c>
      <c r="Q163" s="2" t="s">
        <v>3635</v>
      </c>
      <c r="R163" s="2" t="s">
        <v>3635</v>
      </c>
      <c r="S163" s="2" t="s">
        <v>3635</v>
      </c>
      <c r="T163" s="2" t="s">
        <v>7129</v>
      </c>
      <c r="U163" s="2" t="s">
        <v>7130</v>
      </c>
      <c r="V163" s="2" t="s">
        <v>7131</v>
      </c>
      <c r="W163" s="2" t="s">
        <v>7132</v>
      </c>
      <c r="X163" s="2" t="s">
        <v>3635</v>
      </c>
      <c r="Y163" s="2" t="s">
        <v>7133</v>
      </c>
      <c r="Z163" s="2" t="s">
        <v>7134</v>
      </c>
      <c r="AA163" s="2" t="s">
        <v>3635</v>
      </c>
      <c r="AB163" s="2" t="s">
        <v>3635</v>
      </c>
      <c r="AC163" s="2" t="s">
        <v>3635</v>
      </c>
      <c r="AD163" s="2" t="s">
        <v>3635</v>
      </c>
      <c r="AE163" s="2" t="s">
        <v>3635</v>
      </c>
      <c r="AF163" s="2" t="s">
        <v>3635</v>
      </c>
      <c r="AG163" s="2">
        <v>17.0</v>
      </c>
      <c r="AH163" s="2">
        <v>0.0</v>
      </c>
      <c r="AI163" s="2">
        <v>0.0</v>
      </c>
      <c r="AJ163" s="2">
        <v>1.0</v>
      </c>
      <c r="AK163" s="2">
        <v>1.0</v>
      </c>
      <c r="AL163" s="2" t="s">
        <v>5887</v>
      </c>
      <c r="AM163" s="2" t="s">
        <v>4668</v>
      </c>
      <c r="AN163" s="2" t="s">
        <v>5888</v>
      </c>
      <c r="AO163" s="2" t="s">
        <v>3635</v>
      </c>
      <c r="AP163" s="2" t="s">
        <v>7135</v>
      </c>
      <c r="AQ163" s="2" t="s">
        <v>3635</v>
      </c>
      <c r="AR163" s="2" t="s">
        <v>7136</v>
      </c>
      <c r="AS163" s="2" t="s">
        <v>7137</v>
      </c>
      <c r="AT163" s="2" t="s">
        <v>7138</v>
      </c>
      <c r="AU163" s="2">
        <v>2023.0</v>
      </c>
      <c r="AV163" s="2">
        <v>15.0</v>
      </c>
      <c r="AW163" s="2">
        <v>12.0</v>
      </c>
      <c r="AX163" s="2" t="s">
        <v>3635</v>
      </c>
      <c r="AY163" s="2" t="s">
        <v>3635</v>
      </c>
      <c r="AZ163" s="2" t="s">
        <v>3635</v>
      </c>
      <c r="BA163" s="2" t="s">
        <v>3635</v>
      </c>
      <c r="BB163" s="2" t="s">
        <v>3635</v>
      </c>
      <c r="BC163" s="2" t="s">
        <v>3635</v>
      </c>
      <c r="BD163" s="2" t="s">
        <v>7139</v>
      </c>
      <c r="BE163" s="2" t="s">
        <v>7140</v>
      </c>
      <c r="BF163" s="3" t="str">
        <f>HYPERLINK("http://dx.doi.org/10.7759/cureus.49911","http://dx.doi.org/10.7759/cureus.49911")</f>
        <v>http://dx.doi.org/10.7759/cureus.49911</v>
      </c>
      <c r="BG163" s="2" t="s">
        <v>3635</v>
      </c>
      <c r="BH163" s="2" t="s">
        <v>3635</v>
      </c>
      <c r="BI163" s="2">
        <v>6.0</v>
      </c>
      <c r="BJ163" s="2" t="s">
        <v>5940</v>
      </c>
      <c r="BK163" s="2" t="s">
        <v>3993</v>
      </c>
      <c r="BL163" s="2" t="s">
        <v>5941</v>
      </c>
      <c r="BM163" s="2" t="s">
        <v>7141</v>
      </c>
      <c r="BN163" s="2">
        <v>3.8174193E7</v>
      </c>
      <c r="BO163" s="2" t="s">
        <v>4748</v>
      </c>
      <c r="BP163" s="2" t="s">
        <v>3635</v>
      </c>
      <c r="BQ163" s="2" t="s">
        <v>3635</v>
      </c>
      <c r="BR163" s="2" t="s">
        <v>3662</v>
      </c>
      <c r="BS163" s="2" t="s">
        <v>7142</v>
      </c>
      <c r="BT163" s="2" t="str">
        <f>HYPERLINK("https%3A%2F%2Fwww.webofscience.com%2Fwos%2Fwoscc%2Ffull-record%2FWOS:001122699000025","View Full Record in Web of Science")</f>
        <v>View Full Record in Web of Science</v>
      </c>
    </row>
    <row r="164" ht="15.75" customHeight="1">
      <c r="A164" s="2" t="s">
        <v>3633</v>
      </c>
      <c r="B164" s="2" t="s">
        <v>7143</v>
      </c>
      <c r="C164" s="2" t="s">
        <v>3635</v>
      </c>
      <c r="D164" s="2" t="s">
        <v>3635</v>
      </c>
      <c r="E164" s="2" t="s">
        <v>3635</v>
      </c>
      <c r="F164" s="2" t="s">
        <v>7144</v>
      </c>
      <c r="G164" s="2" t="s">
        <v>3635</v>
      </c>
      <c r="H164" s="2" t="s">
        <v>3635</v>
      </c>
      <c r="I164" s="2" t="s">
        <v>7145</v>
      </c>
      <c r="J164" s="2" t="s">
        <v>7146</v>
      </c>
      <c r="K164" s="2" t="s">
        <v>3635</v>
      </c>
      <c r="L164" s="2" t="s">
        <v>3635</v>
      </c>
      <c r="M164" s="2" t="s">
        <v>3638</v>
      </c>
      <c r="N164" s="2" t="s">
        <v>21</v>
      </c>
      <c r="O164" s="2" t="s">
        <v>3635</v>
      </c>
      <c r="P164" s="2" t="s">
        <v>3635</v>
      </c>
      <c r="Q164" s="2" t="s">
        <v>3635</v>
      </c>
      <c r="R164" s="2" t="s">
        <v>3635</v>
      </c>
      <c r="S164" s="2" t="s">
        <v>3635</v>
      </c>
      <c r="T164" s="2" t="s">
        <v>7147</v>
      </c>
      <c r="U164" s="2" t="s">
        <v>7148</v>
      </c>
      <c r="V164" s="2" t="s">
        <v>7149</v>
      </c>
      <c r="W164" s="2" t="s">
        <v>7150</v>
      </c>
      <c r="X164" s="2" t="s">
        <v>7151</v>
      </c>
      <c r="Y164" s="2" t="s">
        <v>7152</v>
      </c>
      <c r="Z164" s="2" t="s">
        <v>7153</v>
      </c>
      <c r="AA164" s="2" t="s">
        <v>3635</v>
      </c>
      <c r="AB164" s="2" t="s">
        <v>7154</v>
      </c>
      <c r="AC164" s="2" t="s">
        <v>3635</v>
      </c>
      <c r="AD164" s="2" t="s">
        <v>3635</v>
      </c>
      <c r="AE164" s="2" t="s">
        <v>3635</v>
      </c>
      <c r="AF164" s="2" t="s">
        <v>3635</v>
      </c>
      <c r="AG164" s="2">
        <v>47.0</v>
      </c>
      <c r="AH164" s="2">
        <v>14.0</v>
      </c>
      <c r="AI164" s="2">
        <v>18.0</v>
      </c>
      <c r="AJ164" s="2">
        <v>3.0</v>
      </c>
      <c r="AK164" s="2">
        <v>30.0</v>
      </c>
      <c r="AL164" s="2" t="s">
        <v>4104</v>
      </c>
      <c r="AM164" s="2" t="s">
        <v>4105</v>
      </c>
      <c r="AN164" s="2" t="s">
        <v>4106</v>
      </c>
      <c r="AO164" s="2" t="s">
        <v>3635</v>
      </c>
      <c r="AP164" s="2" t="s">
        <v>7155</v>
      </c>
      <c r="AQ164" s="2" t="s">
        <v>3635</v>
      </c>
      <c r="AR164" s="2" t="s">
        <v>7156</v>
      </c>
      <c r="AS164" s="2" t="s">
        <v>7157</v>
      </c>
      <c r="AT164" s="2" t="s">
        <v>7158</v>
      </c>
      <c r="AU164" s="2">
        <v>2021.0</v>
      </c>
      <c r="AV164" s="2">
        <v>12.0</v>
      </c>
      <c r="AW164" s="2" t="s">
        <v>3635</v>
      </c>
      <c r="AX164" s="2" t="s">
        <v>3635</v>
      </c>
      <c r="AY164" s="2" t="s">
        <v>3635</v>
      </c>
      <c r="AZ164" s="2" t="s">
        <v>3635</v>
      </c>
      <c r="BA164" s="2" t="s">
        <v>3635</v>
      </c>
      <c r="BB164" s="2" t="s">
        <v>3635</v>
      </c>
      <c r="BC164" s="2" t="s">
        <v>3635</v>
      </c>
      <c r="BD164" s="2">
        <v>731757.0</v>
      </c>
      <c r="BE164" s="2" t="s">
        <v>7159</v>
      </c>
      <c r="BF164" s="3" t="str">
        <f>HYPERLINK("http://dx.doi.org/10.3389/fphar.2021.731757","http://dx.doi.org/10.3389/fphar.2021.731757")</f>
        <v>http://dx.doi.org/10.3389/fphar.2021.731757</v>
      </c>
      <c r="BG164" s="2" t="s">
        <v>3635</v>
      </c>
      <c r="BH164" s="2" t="s">
        <v>3635</v>
      </c>
      <c r="BI164" s="2">
        <v>12.0</v>
      </c>
      <c r="BJ164" s="2" t="s">
        <v>5390</v>
      </c>
      <c r="BK164" s="2" t="s">
        <v>3658</v>
      </c>
      <c r="BL164" s="2" t="s">
        <v>5390</v>
      </c>
      <c r="BM164" s="2" t="s">
        <v>7160</v>
      </c>
      <c r="BN164" s="2">
        <v>3.4671257E7</v>
      </c>
      <c r="BO164" s="2" t="s">
        <v>4251</v>
      </c>
      <c r="BP164" s="2" t="s">
        <v>3635</v>
      </c>
      <c r="BQ164" s="2" t="s">
        <v>3635</v>
      </c>
      <c r="BR164" s="2" t="s">
        <v>3662</v>
      </c>
      <c r="BS164" s="2" t="s">
        <v>7161</v>
      </c>
      <c r="BT164" s="2" t="str">
        <f>HYPERLINK("https%3A%2F%2Fwww.webofscience.com%2Fwos%2Fwoscc%2Ffull-record%2FWOS:000717220200001","View Full Record in Web of Science")</f>
        <v>View Full Record in Web of Science</v>
      </c>
    </row>
    <row r="165" ht="15.75" customHeight="1">
      <c r="A165" s="2" t="s">
        <v>3664</v>
      </c>
      <c r="B165" s="2" t="s">
        <v>7162</v>
      </c>
      <c r="C165" s="2" t="s">
        <v>3635</v>
      </c>
      <c r="D165" s="2" t="s">
        <v>7163</v>
      </c>
      <c r="E165" s="2" t="s">
        <v>3635</v>
      </c>
      <c r="F165" s="2" t="s">
        <v>7164</v>
      </c>
      <c r="G165" s="2" t="s">
        <v>3635</v>
      </c>
      <c r="H165" s="2" t="s">
        <v>3635</v>
      </c>
      <c r="I165" s="2" t="s">
        <v>7165</v>
      </c>
      <c r="J165" s="2" t="s">
        <v>7166</v>
      </c>
      <c r="K165" s="2" t="s">
        <v>7167</v>
      </c>
      <c r="L165" s="2" t="s">
        <v>3635</v>
      </c>
      <c r="M165" s="2" t="s">
        <v>3638</v>
      </c>
      <c r="N165" s="2" t="s">
        <v>3669</v>
      </c>
      <c r="O165" s="2" t="s">
        <v>7168</v>
      </c>
      <c r="P165" s="2" t="s">
        <v>7169</v>
      </c>
      <c r="Q165" s="2" t="s">
        <v>7170</v>
      </c>
      <c r="R165" s="2" t="s">
        <v>7171</v>
      </c>
      <c r="S165" s="2" t="s">
        <v>3635</v>
      </c>
      <c r="T165" s="2" t="s">
        <v>7172</v>
      </c>
      <c r="U165" s="2" t="s">
        <v>3635</v>
      </c>
      <c r="V165" s="2" t="s">
        <v>7173</v>
      </c>
      <c r="W165" s="2" t="s">
        <v>7174</v>
      </c>
      <c r="X165" s="2" t="s">
        <v>3635</v>
      </c>
      <c r="Y165" s="2" t="s">
        <v>7175</v>
      </c>
      <c r="Z165" s="2" t="s">
        <v>3635</v>
      </c>
      <c r="AA165" s="2" t="s">
        <v>7176</v>
      </c>
      <c r="AB165" s="2" t="s">
        <v>7177</v>
      </c>
      <c r="AC165" s="2" t="s">
        <v>3635</v>
      </c>
      <c r="AD165" s="2" t="s">
        <v>3635</v>
      </c>
      <c r="AE165" s="2" t="s">
        <v>3635</v>
      </c>
      <c r="AF165" s="2" t="s">
        <v>3635</v>
      </c>
      <c r="AG165" s="2">
        <v>7.0</v>
      </c>
      <c r="AH165" s="2">
        <v>7.0</v>
      </c>
      <c r="AI165" s="2">
        <v>10.0</v>
      </c>
      <c r="AJ165" s="2">
        <v>1.0</v>
      </c>
      <c r="AK165" s="2">
        <v>7.0</v>
      </c>
      <c r="AL165" s="2" t="s">
        <v>5840</v>
      </c>
      <c r="AM165" s="2" t="s">
        <v>3808</v>
      </c>
      <c r="AN165" s="2" t="s">
        <v>7178</v>
      </c>
      <c r="AO165" s="2" t="s">
        <v>7179</v>
      </c>
      <c r="AP165" s="2" t="s">
        <v>3635</v>
      </c>
      <c r="AQ165" s="2" t="s">
        <v>3635</v>
      </c>
      <c r="AR165" s="2" t="s">
        <v>7180</v>
      </c>
      <c r="AS165" s="2" t="s">
        <v>3635</v>
      </c>
      <c r="AT165" s="2" t="s">
        <v>3635</v>
      </c>
      <c r="AU165" s="2">
        <v>2015.0</v>
      </c>
      <c r="AV165" s="2">
        <v>24.0</v>
      </c>
      <c r="AW165" s="2" t="s">
        <v>3635</v>
      </c>
      <c r="AX165" s="2" t="s">
        <v>3635</v>
      </c>
      <c r="AY165" s="2" t="s">
        <v>3635</v>
      </c>
      <c r="AZ165" s="2" t="s">
        <v>3635</v>
      </c>
      <c r="BA165" s="2" t="s">
        <v>3635</v>
      </c>
      <c r="BB165" s="2">
        <v>198.0</v>
      </c>
      <c r="BC165" s="2">
        <v>207.0</v>
      </c>
      <c r="BD165" s="2" t="s">
        <v>3635</v>
      </c>
      <c r="BE165" s="2" t="s">
        <v>7181</v>
      </c>
      <c r="BF165" s="3" t="str">
        <f>HYPERLINK("http://dx.doi.org/10.1016/S2212-5671(15)00647-4","http://dx.doi.org/10.1016/S2212-5671(15)00647-4")</f>
        <v>http://dx.doi.org/10.1016/S2212-5671(15)00647-4</v>
      </c>
      <c r="BG165" s="2" t="s">
        <v>3635</v>
      </c>
      <c r="BH165" s="2" t="s">
        <v>3635</v>
      </c>
      <c r="BI165" s="2">
        <v>10.0</v>
      </c>
      <c r="BJ165" s="2" t="s">
        <v>7182</v>
      </c>
      <c r="BK165" s="2" t="s">
        <v>5657</v>
      </c>
      <c r="BL165" s="2" t="s">
        <v>3994</v>
      </c>
      <c r="BM165" s="2" t="s">
        <v>7183</v>
      </c>
      <c r="BN165" s="2" t="s">
        <v>3635</v>
      </c>
      <c r="BO165" s="2" t="s">
        <v>3635</v>
      </c>
      <c r="BP165" s="2" t="s">
        <v>3635</v>
      </c>
      <c r="BQ165" s="2" t="s">
        <v>3635</v>
      </c>
      <c r="BR165" s="2" t="s">
        <v>3662</v>
      </c>
      <c r="BS165" s="2" t="s">
        <v>7184</v>
      </c>
      <c r="BT165" s="2" t="str">
        <f>HYPERLINK("https%3A%2F%2Fwww.webofscience.com%2Fwos%2Fwoscc%2Ffull-record%2FWOS:000381113800024","View Full Record in Web of Science")</f>
        <v>View Full Record in Web of Science</v>
      </c>
    </row>
    <row r="166" ht="15.75" customHeight="1">
      <c r="A166" s="2" t="s">
        <v>3633</v>
      </c>
      <c r="B166" s="2" t="s">
        <v>7185</v>
      </c>
      <c r="C166" s="2" t="s">
        <v>3635</v>
      </c>
      <c r="D166" s="2" t="s">
        <v>3635</v>
      </c>
      <c r="E166" s="2" t="s">
        <v>3635</v>
      </c>
      <c r="F166" s="2" t="s">
        <v>7185</v>
      </c>
      <c r="G166" s="2" t="s">
        <v>3635</v>
      </c>
      <c r="H166" s="2" t="s">
        <v>3635</v>
      </c>
      <c r="I166" s="2" t="s">
        <v>7186</v>
      </c>
      <c r="J166" s="2" t="s">
        <v>7084</v>
      </c>
      <c r="K166" s="2" t="s">
        <v>3635</v>
      </c>
      <c r="L166" s="2" t="s">
        <v>3635</v>
      </c>
      <c r="M166" s="2" t="s">
        <v>3638</v>
      </c>
      <c r="N166" s="2" t="s">
        <v>21</v>
      </c>
      <c r="O166" s="2" t="s">
        <v>3635</v>
      </c>
      <c r="P166" s="2" t="s">
        <v>3635</v>
      </c>
      <c r="Q166" s="2" t="s">
        <v>3635</v>
      </c>
      <c r="R166" s="2" t="s">
        <v>3635</v>
      </c>
      <c r="S166" s="2" t="s">
        <v>3635</v>
      </c>
      <c r="T166" s="2" t="s">
        <v>7187</v>
      </c>
      <c r="U166" s="2" t="s">
        <v>3635</v>
      </c>
      <c r="V166" s="2" t="s">
        <v>7188</v>
      </c>
      <c r="W166" s="2" t="s">
        <v>7189</v>
      </c>
      <c r="X166" s="2" t="s">
        <v>7190</v>
      </c>
      <c r="Y166" s="2" t="s">
        <v>7191</v>
      </c>
      <c r="Z166" s="2" t="s">
        <v>7192</v>
      </c>
      <c r="AA166" s="2" t="s">
        <v>7193</v>
      </c>
      <c r="AB166" s="2" t="s">
        <v>7194</v>
      </c>
      <c r="AC166" s="2" t="s">
        <v>3635</v>
      </c>
      <c r="AD166" s="2" t="s">
        <v>3635</v>
      </c>
      <c r="AE166" s="2" t="s">
        <v>3635</v>
      </c>
      <c r="AF166" s="2" t="s">
        <v>3635</v>
      </c>
      <c r="AG166" s="2">
        <v>79.0</v>
      </c>
      <c r="AH166" s="2">
        <v>37.0</v>
      </c>
      <c r="AI166" s="2">
        <v>42.0</v>
      </c>
      <c r="AJ166" s="2">
        <v>0.0</v>
      </c>
      <c r="AK166" s="2">
        <v>35.0</v>
      </c>
      <c r="AL166" s="2" t="s">
        <v>5480</v>
      </c>
      <c r="AM166" s="2" t="s">
        <v>3915</v>
      </c>
      <c r="AN166" s="2" t="s">
        <v>5481</v>
      </c>
      <c r="AO166" s="2" t="s">
        <v>7093</v>
      </c>
      <c r="AP166" s="2" t="s">
        <v>7094</v>
      </c>
      <c r="AQ166" s="2" t="s">
        <v>3635</v>
      </c>
      <c r="AR166" s="2" t="s">
        <v>7095</v>
      </c>
      <c r="AS166" s="2" t="s">
        <v>7096</v>
      </c>
      <c r="AT166" s="2" t="s">
        <v>3953</v>
      </c>
      <c r="AU166" s="2">
        <v>2003.0</v>
      </c>
      <c r="AV166" s="2">
        <v>25.0</v>
      </c>
      <c r="AW166" s="2">
        <v>4.0</v>
      </c>
      <c r="AX166" s="2" t="s">
        <v>3635</v>
      </c>
      <c r="AY166" s="2" t="s">
        <v>3635</v>
      </c>
      <c r="AZ166" s="2" t="s">
        <v>3635</v>
      </c>
      <c r="BA166" s="2" t="s">
        <v>3635</v>
      </c>
      <c r="BB166" s="2">
        <v>569.0</v>
      </c>
      <c r="BC166" s="2">
        <v>588.0</v>
      </c>
      <c r="BD166" s="2" t="s">
        <v>3635</v>
      </c>
      <c r="BE166" s="2" t="s">
        <v>1795</v>
      </c>
      <c r="BF166" s="3" t="str">
        <f>HYPERLINK("http://dx.doi.org/10.1016/S0957-4174(03)00097-6","http://dx.doi.org/10.1016/S0957-4174(03)00097-6")</f>
        <v>http://dx.doi.org/10.1016/S0957-4174(03)00097-6</v>
      </c>
      <c r="BG166" s="2" t="s">
        <v>3635</v>
      </c>
      <c r="BH166" s="2" t="s">
        <v>3635</v>
      </c>
      <c r="BI166" s="2">
        <v>20.0</v>
      </c>
      <c r="BJ166" s="2" t="s">
        <v>7099</v>
      </c>
      <c r="BK166" s="2" t="s">
        <v>3658</v>
      </c>
      <c r="BL166" s="2" t="s">
        <v>7100</v>
      </c>
      <c r="BM166" s="2" t="s">
        <v>7195</v>
      </c>
      <c r="BN166" s="2" t="s">
        <v>3635</v>
      </c>
      <c r="BO166" s="2" t="s">
        <v>3635</v>
      </c>
      <c r="BP166" s="2" t="s">
        <v>3635</v>
      </c>
      <c r="BQ166" s="2" t="s">
        <v>3635</v>
      </c>
      <c r="BR166" s="2" t="s">
        <v>3662</v>
      </c>
      <c r="BS166" s="2" t="s">
        <v>7196</v>
      </c>
      <c r="BT166" s="2" t="str">
        <f>HYPERLINK("https%3A%2F%2Fwww.webofscience.com%2Fwos%2Fwoscc%2Ffull-record%2FWOS:000185243400008","View Full Record in Web of Science")</f>
        <v>View Full Record in Web of Science</v>
      </c>
    </row>
    <row r="167" ht="15.75" customHeight="1">
      <c r="A167" s="2" t="s">
        <v>3633</v>
      </c>
      <c r="B167" s="2" t="s">
        <v>7197</v>
      </c>
      <c r="C167" s="2" t="s">
        <v>3635</v>
      </c>
      <c r="D167" s="2" t="s">
        <v>3635</v>
      </c>
      <c r="E167" s="2" t="s">
        <v>3635</v>
      </c>
      <c r="F167" s="2" t="s">
        <v>7198</v>
      </c>
      <c r="G167" s="2" t="s">
        <v>3635</v>
      </c>
      <c r="H167" s="2" t="s">
        <v>3635</v>
      </c>
      <c r="I167" s="2" t="s">
        <v>7199</v>
      </c>
      <c r="J167" s="2" t="s">
        <v>7200</v>
      </c>
      <c r="K167" s="2" t="s">
        <v>3635</v>
      </c>
      <c r="L167" s="2" t="s">
        <v>3635</v>
      </c>
      <c r="M167" s="2" t="s">
        <v>3638</v>
      </c>
      <c r="N167" s="2" t="s">
        <v>21</v>
      </c>
      <c r="O167" s="2" t="s">
        <v>3635</v>
      </c>
      <c r="P167" s="2" t="s">
        <v>3635</v>
      </c>
      <c r="Q167" s="2" t="s">
        <v>3635</v>
      </c>
      <c r="R167" s="2" t="s">
        <v>3635</v>
      </c>
      <c r="S167" s="2" t="s">
        <v>3635</v>
      </c>
      <c r="T167" s="2" t="s">
        <v>7201</v>
      </c>
      <c r="U167" s="2" t="s">
        <v>3635</v>
      </c>
      <c r="V167" s="2" t="s">
        <v>7202</v>
      </c>
      <c r="W167" s="2" t="s">
        <v>7203</v>
      </c>
      <c r="X167" s="2" t="s">
        <v>7204</v>
      </c>
      <c r="Y167" s="2" t="s">
        <v>7205</v>
      </c>
      <c r="Z167" s="2" t="s">
        <v>7206</v>
      </c>
      <c r="AA167" s="2" t="s">
        <v>7207</v>
      </c>
      <c r="AB167" s="2" t="s">
        <v>7208</v>
      </c>
      <c r="AC167" s="2" t="s">
        <v>3635</v>
      </c>
      <c r="AD167" s="2" t="s">
        <v>3635</v>
      </c>
      <c r="AE167" s="2" t="s">
        <v>3635</v>
      </c>
      <c r="AF167" s="2" t="s">
        <v>3635</v>
      </c>
      <c r="AG167" s="2">
        <v>49.0</v>
      </c>
      <c r="AH167" s="2">
        <v>22.0</v>
      </c>
      <c r="AI167" s="2">
        <v>23.0</v>
      </c>
      <c r="AJ167" s="2">
        <v>1.0</v>
      </c>
      <c r="AK167" s="2">
        <v>1.0</v>
      </c>
      <c r="AL167" s="2" t="s">
        <v>3986</v>
      </c>
      <c r="AM167" s="2" t="s">
        <v>3987</v>
      </c>
      <c r="AN167" s="2" t="s">
        <v>3988</v>
      </c>
      <c r="AO167" s="2" t="s">
        <v>7209</v>
      </c>
      <c r="AP167" s="2" t="s">
        <v>7210</v>
      </c>
      <c r="AQ167" s="2" t="s">
        <v>3635</v>
      </c>
      <c r="AR167" s="2" t="s">
        <v>7211</v>
      </c>
      <c r="AS167" s="2" t="s">
        <v>7212</v>
      </c>
      <c r="AT167" s="2" t="s">
        <v>3635</v>
      </c>
      <c r="AU167" s="2">
        <v>2012.0</v>
      </c>
      <c r="AV167" s="2">
        <v>19.0</v>
      </c>
      <c r="AW167" s="2">
        <v>2.0</v>
      </c>
      <c r="AX167" s="2" t="s">
        <v>3635</v>
      </c>
      <c r="AY167" s="2" t="s">
        <v>3635</v>
      </c>
      <c r="AZ167" s="2" t="s">
        <v>3635</v>
      </c>
      <c r="BA167" s="2" t="s">
        <v>3635</v>
      </c>
      <c r="BB167" s="2">
        <v>177.0</v>
      </c>
      <c r="BC167" s="2" t="s">
        <v>3954</v>
      </c>
      <c r="BD167" s="2" t="s">
        <v>3635</v>
      </c>
      <c r="BE167" s="2" t="s">
        <v>7213</v>
      </c>
      <c r="BF167" s="3" t="str">
        <f>HYPERLINK("http://dx.doi.org/10.1108/14635771211224527","http://dx.doi.org/10.1108/14635771211224527")</f>
        <v>http://dx.doi.org/10.1108/14635771211224527</v>
      </c>
      <c r="BG167" s="2" t="s">
        <v>3635</v>
      </c>
      <c r="BH167" s="2" t="s">
        <v>3635</v>
      </c>
      <c r="BI167" s="2">
        <v>17.0</v>
      </c>
      <c r="BJ167" s="2" t="s">
        <v>5790</v>
      </c>
      <c r="BK167" s="2" t="s">
        <v>3993</v>
      </c>
      <c r="BL167" s="2" t="s">
        <v>3994</v>
      </c>
      <c r="BM167" s="2" t="s">
        <v>7214</v>
      </c>
      <c r="BN167" s="2" t="s">
        <v>3635</v>
      </c>
      <c r="BO167" s="2" t="s">
        <v>3635</v>
      </c>
      <c r="BP167" s="2" t="s">
        <v>3635</v>
      </c>
      <c r="BQ167" s="2" t="s">
        <v>3635</v>
      </c>
      <c r="BR167" s="2" t="s">
        <v>3662</v>
      </c>
      <c r="BS167" s="2" t="s">
        <v>7215</v>
      </c>
      <c r="BT167" s="2" t="str">
        <f>HYPERLINK("https%3A%2F%2Fwww.webofscience.com%2Fwos%2Fwoscc%2Ffull-record%2FWOS:000213318400003","View Full Record in Web of Science")</f>
        <v>View Full Record in Web of Science</v>
      </c>
    </row>
    <row r="168" ht="15.75" customHeight="1">
      <c r="A168" s="2" t="s">
        <v>3633</v>
      </c>
      <c r="B168" s="2" t="s">
        <v>7216</v>
      </c>
      <c r="C168" s="2" t="s">
        <v>3635</v>
      </c>
      <c r="D168" s="2" t="s">
        <v>3635</v>
      </c>
      <c r="E168" s="2" t="s">
        <v>3635</v>
      </c>
      <c r="F168" s="2" t="s">
        <v>7217</v>
      </c>
      <c r="G168" s="2" t="s">
        <v>3635</v>
      </c>
      <c r="H168" s="2" t="s">
        <v>3635</v>
      </c>
      <c r="I168" s="2" t="s">
        <v>1361</v>
      </c>
      <c r="J168" s="2" t="s">
        <v>7218</v>
      </c>
      <c r="K168" s="2" t="s">
        <v>3635</v>
      </c>
      <c r="L168" s="2" t="s">
        <v>3635</v>
      </c>
      <c r="M168" s="2" t="s">
        <v>3638</v>
      </c>
      <c r="N168" s="2" t="s">
        <v>21</v>
      </c>
      <c r="O168" s="2" t="s">
        <v>3635</v>
      </c>
      <c r="P168" s="2" t="s">
        <v>3635</v>
      </c>
      <c r="Q168" s="2" t="s">
        <v>3635</v>
      </c>
      <c r="R168" s="2" t="s">
        <v>3635</v>
      </c>
      <c r="S168" s="2" t="s">
        <v>3635</v>
      </c>
      <c r="T168" s="2" t="s">
        <v>7219</v>
      </c>
      <c r="U168" s="2" t="s">
        <v>7220</v>
      </c>
      <c r="V168" s="2" t="s">
        <v>7221</v>
      </c>
      <c r="W168" s="2" t="s">
        <v>7222</v>
      </c>
      <c r="X168" s="2" t="s">
        <v>7223</v>
      </c>
      <c r="Y168" s="2" t="s">
        <v>7224</v>
      </c>
      <c r="Z168" s="2" t="s">
        <v>7225</v>
      </c>
      <c r="AA168" s="2" t="s">
        <v>3635</v>
      </c>
      <c r="AB168" s="2" t="s">
        <v>3635</v>
      </c>
      <c r="AC168" s="2" t="s">
        <v>7226</v>
      </c>
      <c r="AD168" s="2" t="s">
        <v>7227</v>
      </c>
      <c r="AE168" s="2" t="s">
        <v>7228</v>
      </c>
      <c r="AF168" s="2" t="s">
        <v>3635</v>
      </c>
      <c r="AG168" s="2">
        <v>51.0</v>
      </c>
      <c r="AH168" s="2">
        <v>2.0</v>
      </c>
      <c r="AI168" s="2">
        <v>2.0</v>
      </c>
      <c r="AJ168" s="2">
        <v>2.0</v>
      </c>
      <c r="AK168" s="2">
        <v>12.0</v>
      </c>
      <c r="AL168" s="2" t="s">
        <v>5907</v>
      </c>
      <c r="AM168" s="2" t="s">
        <v>5908</v>
      </c>
      <c r="AN168" s="2" t="s">
        <v>5909</v>
      </c>
      <c r="AO168" s="2" t="s">
        <v>7229</v>
      </c>
      <c r="AP168" s="2" t="s">
        <v>7230</v>
      </c>
      <c r="AQ168" s="2" t="s">
        <v>3635</v>
      </c>
      <c r="AR168" s="2" t="s">
        <v>7231</v>
      </c>
      <c r="AS168" s="2" t="s">
        <v>7232</v>
      </c>
      <c r="AT168" s="2" t="s">
        <v>5486</v>
      </c>
      <c r="AU168" s="2">
        <v>2017.0</v>
      </c>
      <c r="AV168" s="2">
        <v>11.0</v>
      </c>
      <c r="AW168" s="2">
        <v>3.0</v>
      </c>
      <c r="AX168" s="2" t="s">
        <v>3635</v>
      </c>
      <c r="AY168" s="2" t="s">
        <v>3635</v>
      </c>
      <c r="AZ168" s="2" t="s">
        <v>3717</v>
      </c>
      <c r="BA168" s="2" t="s">
        <v>3635</v>
      </c>
      <c r="BB168" s="2">
        <v>194.0</v>
      </c>
      <c r="BC168" s="2">
        <v>207.0</v>
      </c>
      <c r="BD168" s="2" t="s">
        <v>3635</v>
      </c>
      <c r="BE168" s="2" t="s">
        <v>1364</v>
      </c>
      <c r="BF168" s="3" t="str">
        <f>HYPERLINK("http://dx.doi.org/10.1057/s41273-017-0057-x","http://dx.doi.org/10.1057/s41273-017-0057-x")</f>
        <v>http://dx.doi.org/10.1057/s41273-017-0057-x</v>
      </c>
      <c r="BG168" s="2" t="s">
        <v>3635</v>
      </c>
      <c r="BH168" s="2" t="s">
        <v>3635</v>
      </c>
      <c r="BI168" s="2">
        <v>14.0</v>
      </c>
      <c r="BJ168" s="2" t="s">
        <v>7233</v>
      </c>
      <c r="BK168" s="2" t="s">
        <v>3658</v>
      </c>
      <c r="BL168" s="2" t="s">
        <v>4279</v>
      </c>
      <c r="BM168" s="2" t="s">
        <v>7234</v>
      </c>
      <c r="BN168" s="2" t="s">
        <v>3635</v>
      </c>
      <c r="BO168" s="2" t="s">
        <v>3635</v>
      </c>
      <c r="BP168" s="2" t="s">
        <v>3635</v>
      </c>
      <c r="BQ168" s="2" t="s">
        <v>3635</v>
      </c>
      <c r="BR168" s="2" t="s">
        <v>3662</v>
      </c>
      <c r="BS168" s="2" t="s">
        <v>7235</v>
      </c>
      <c r="BT168" s="2" t="str">
        <f>HYPERLINK("https%3A%2F%2Fwww.webofscience.com%2Fwos%2Fwoscc%2Ffull-record%2FWOS:000407799700002","View Full Record in Web of Science")</f>
        <v>View Full Record in Web of Science</v>
      </c>
    </row>
    <row r="169" ht="15.75" customHeight="1">
      <c r="A169" s="2" t="s">
        <v>3633</v>
      </c>
      <c r="B169" s="2" t="s">
        <v>7236</v>
      </c>
      <c r="C169" s="2" t="s">
        <v>3635</v>
      </c>
      <c r="D169" s="2" t="s">
        <v>3635</v>
      </c>
      <c r="E169" s="2" t="s">
        <v>3635</v>
      </c>
      <c r="F169" s="2" t="s">
        <v>7237</v>
      </c>
      <c r="G169" s="2" t="s">
        <v>3635</v>
      </c>
      <c r="H169" s="2" t="s">
        <v>3635</v>
      </c>
      <c r="I169" s="2" t="s">
        <v>7238</v>
      </c>
      <c r="J169" s="2" t="s">
        <v>7039</v>
      </c>
      <c r="K169" s="2" t="s">
        <v>3635</v>
      </c>
      <c r="L169" s="2" t="s">
        <v>3635</v>
      </c>
      <c r="M169" s="2" t="s">
        <v>3638</v>
      </c>
      <c r="N169" s="2" t="s">
        <v>21</v>
      </c>
      <c r="O169" s="2" t="s">
        <v>3635</v>
      </c>
      <c r="P169" s="2" t="s">
        <v>3635</v>
      </c>
      <c r="Q169" s="2" t="s">
        <v>3635</v>
      </c>
      <c r="R169" s="2" t="s">
        <v>3635</v>
      </c>
      <c r="S169" s="2" t="s">
        <v>3635</v>
      </c>
      <c r="T169" s="2" t="s">
        <v>7239</v>
      </c>
      <c r="U169" s="2" t="s">
        <v>7240</v>
      </c>
      <c r="V169" s="2" t="s">
        <v>7241</v>
      </c>
      <c r="W169" s="2" t="s">
        <v>7242</v>
      </c>
      <c r="X169" s="2" t="s">
        <v>7243</v>
      </c>
      <c r="Y169" s="2" t="s">
        <v>7244</v>
      </c>
      <c r="Z169" s="2" t="s">
        <v>7245</v>
      </c>
      <c r="AA169" s="2" t="s">
        <v>7246</v>
      </c>
      <c r="AB169" s="2" t="s">
        <v>7247</v>
      </c>
      <c r="AC169" s="2" t="s">
        <v>7248</v>
      </c>
      <c r="AD169" s="2" t="s">
        <v>7249</v>
      </c>
      <c r="AE169" s="2" t="s">
        <v>7250</v>
      </c>
      <c r="AF169" s="2" t="s">
        <v>3635</v>
      </c>
      <c r="AG169" s="2">
        <v>37.0</v>
      </c>
      <c r="AH169" s="2">
        <v>147.0</v>
      </c>
      <c r="AI169" s="2">
        <v>179.0</v>
      </c>
      <c r="AJ169" s="2">
        <v>13.0</v>
      </c>
      <c r="AK169" s="2">
        <v>286.0</v>
      </c>
      <c r="AL169" s="2" t="s">
        <v>7049</v>
      </c>
      <c r="AM169" s="2" t="s">
        <v>7050</v>
      </c>
      <c r="AN169" s="2" t="s">
        <v>7051</v>
      </c>
      <c r="AO169" s="2" t="s">
        <v>7052</v>
      </c>
      <c r="AP169" s="2" t="s">
        <v>7053</v>
      </c>
      <c r="AQ169" s="2" t="s">
        <v>3635</v>
      </c>
      <c r="AR169" s="2" t="s">
        <v>7054</v>
      </c>
      <c r="AS169" s="2" t="s">
        <v>7055</v>
      </c>
      <c r="AT169" s="2" t="s">
        <v>4650</v>
      </c>
      <c r="AU169" s="2">
        <v>2012.0</v>
      </c>
      <c r="AV169" s="2">
        <v>58.0</v>
      </c>
      <c r="AW169" s="2">
        <v>5.0</v>
      </c>
      <c r="AX169" s="2" t="s">
        <v>3635</v>
      </c>
      <c r="AY169" s="2" t="s">
        <v>3635</v>
      </c>
      <c r="AZ169" s="2" t="s">
        <v>3635</v>
      </c>
      <c r="BA169" s="2" t="s">
        <v>3635</v>
      </c>
      <c r="BB169" s="2">
        <v>913.0</v>
      </c>
      <c r="BC169" s="2">
        <v>931.0</v>
      </c>
      <c r="BD169" s="2" t="s">
        <v>3635</v>
      </c>
      <c r="BE169" s="2" t="s">
        <v>7251</v>
      </c>
      <c r="BF169" s="3" t="str">
        <f>HYPERLINK("http://dx.doi.org/10.1287/mnsc.1110.1460","http://dx.doi.org/10.1287/mnsc.1110.1460")</f>
        <v>http://dx.doi.org/10.1287/mnsc.1110.1460</v>
      </c>
      <c r="BG169" s="2" t="s">
        <v>3635</v>
      </c>
      <c r="BH169" s="2" t="s">
        <v>3635</v>
      </c>
      <c r="BI169" s="2">
        <v>19.0</v>
      </c>
      <c r="BJ169" s="2" t="s">
        <v>7057</v>
      </c>
      <c r="BK169" s="2" t="s">
        <v>4378</v>
      </c>
      <c r="BL169" s="2" t="s">
        <v>6248</v>
      </c>
      <c r="BM169" s="2" t="s">
        <v>7252</v>
      </c>
      <c r="BN169" s="2" t="s">
        <v>3635</v>
      </c>
      <c r="BO169" s="2" t="s">
        <v>3694</v>
      </c>
      <c r="BP169" s="2" t="s">
        <v>3635</v>
      </c>
      <c r="BQ169" s="2" t="s">
        <v>3635</v>
      </c>
      <c r="BR169" s="2" t="s">
        <v>3662</v>
      </c>
      <c r="BS169" s="2" t="s">
        <v>7253</v>
      </c>
      <c r="BT169" s="2" t="str">
        <f>HYPERLINK("https%3A%2F%2Fwww.webofscience.com%2Fwos%2Fwoscc%2Ffull-record%2FWOS:000304043500005","View Full Record in Web of Science")</f>
        <v>View Full Record in Web of Science</v>
      </c>
    </row>
    <row r="170" ht="15.75" customHeight="1">
      <c r="A170" s="2" t="s">
        <v>3633</v>
      </c>
      <c r="B170" s="2" t="s">
        <v>7254</v>
      </c>
      <c r="C170" s="2" t="s">
        <v>3635</v>
      </c>
      <c r="D170" s="2" t="s">
        <v>3635</v>
      </c>
      <c r="E170" s="2" t="s">
        <v>3635</v>
      </c>
      <c r="F170" s="2" t="s">
        <v>7255</v>
      </c>
      <c r="G170" s="2" t="s">
        <v>3635</v>
      </c>
      <c r="H170" s="2" t="s">
        <v>3635</v>
      </c>
      <c r="I170" s="2" t="s">
        <v>916</v>
      </c>
      <c r="J170" s="2" t="s">
        <v>7256</v>
      </c>
      <c r="K170" s="2" t="s">
        <v>3635</v>
      </c>
      <c r="L170" s="2" t="s">
        <v>3635</v>
      </c>
      <c r="M170" s="2" t="s">
        <v>3638</v>
      </c>
      <c r="N170" s="2" t="s">
        <v>21</v>
      </c>
      <c r="O170" s="2" t="s">
        <v>3635</v>
      </c>
      <c r="P170" s="2" t="s">
        <v>3635</v>
      </c>
      <c r="Q170" s="2" t="s">
        <v>3635</v>
      </c>
      <c r="R170" s="2" t="s">
        <v>3635</v>
      </c>
      <c r="S170" s="2" t="s">
        <v>3635</v>
      </c>
      <c r="T170" s="2" t="s">
        <v>7257</v>
      </c>
      <c r="U170" s="2" t="s">
        <v>7258</v>
      </c>
      <c r="V170" s="2" t="s">
        <v>7259</v>
      </c>
      <c r="W170" s="2" t="s">
        <v>7260</v>
      </c>
      <c r="X170" s="2" t="s">
        <v>7261</v>
      </c>
      <c r="Y170" s="2" t="s">
        <v>7262</v>
      </c>
      <c r="Z170" s="2" t="s">
        <v>7263</v>
      </c>
      <c r="AA170" s="2" t="s">
        <v>7264</v>
      </c>
      <c r="AB170" s="2" t="s">
        <v>7265</v>
      </c>
      <c r="AC170" s="2" t="s">
        <v>7266</v>
      </c>
      <c r="AD170" s="2" t="s">
        <v>7267</v>
      </c>
      <c r="AE170" s="2" t="s">
        <v>7268</v>
      </c>
      <c r="AF170" s="2" t="s">
        <v>3635</v>
      </c>
      <c r="AG170" s="2">
        <v>42.0</v>
      </c>
      <c r="AH170" s="2">
        <v>17.0</v>
      </c>
      <c r="AI170" s="2">
        <v>21.0</v>
      </c>
      <c r="AJ170" s="2">
        <v>1.0</v>
      </c>
      <c r="AK170" s="2">
        <v>23.0</v>
      </c>
      <c r="AL170" s="2" t="s">
        <v>3784</v>
      </c>
      <c r="AM170" s="2" t="s">
        <v>3785</v>
      </c>
      <c r="AN170" s="2" t="s">
        <v>3786</v>
      </c>
      <c r="AO170" s="2" t="s">
        <v>7269</v>
      </c>
      <c r="AP170" s="2" t="s">
        <v>3635</v>
      </c>
      <c r="AQ170" s="2" t="s">
        <v>3635</v>
      </c>
      <c r="AR170" s="2" t="s">
        <v>7256</v>
      </c>
      <c r="AS170" s="2" t="s">
        <v>129</v>
      </c>
      <c r="AT170" s="2" t="s">
        <v>3635</v>
      </c>
      <c r="AU170" s="2">
        <v>2020.0</v>
      </c>
      <c r="AV170" s="2">
        <v>8.0</v>
      </c>
      <c r="AW170" s="2" t="s">
        <v>3635</v>
      </c>
      <c r="AX170" s="2" t="s">
        <v>3635</v>
      </c>
      <c r="AY170" s="2" t="s">
        <v>3635</v>
      </c>
      <c r="AZ170" s="2" t="s">
        <v>3635</v>
      </c>
      <c r="BA170" s="2" t="s">
        <v>3635</v>
      </c>
      <c r="BB170" s="2">
        <v>226397.0</v>
      </c>
      <c r="BC170" s="2">
        <v>226408.0</v>
      </c>
      <c r="BD170" s="2" t="s">
        <v>3635</v>
      </c>
      <c r="BE170" s="2" t="s">
        <v>918</v>
      </c>
      <c r="BF170" s="3" t="str">
        <f>HYPERLINK("http://dx.doi.org/10.1109/ACCESS.2020.3044610","http://dx.doi.org/10.1109/ACCESS.2020.3044610")</f>
        <v>http://dx.doi.org/10.1109/ACCESS.2020.3044610</v>
      </c>
      <c r="BG170" s="2" t="s">
        <v>3635</v>
      </c>
      <c r="BH170" s="2" t="s">
        <v>3635</v>
      </c>
      <c r="BI170" s="2">
        <v>12.0</v>
      </c>
      <c r="BJ170" s="2" t="s">
        <v>5413</v>
      </c>
      <c r="BK170" s="2" t="s">
        <v>3658</v>
      </c>
      <c r="BL170" s="2" t="s">
        <v>3816</v>
      </c>
      <c r="BM170" s="2" t="s">
        <v>7270</v>
      </c>
      <c r="BN170" s="2" t="s">
        <v>3635</v>
      </c>
      <c r="BO170" s="2" t="s">
        <v>4115</v>
      </c>
      <c r="BP170" s="2" t="s">
        <v>3635</v>
      </c>
      <c r="BQ170" s="2" t="s">
        <v>3635</v>
      </c>
      <c r="BR170" s="2" t="s">
        <v>3662</v>
      </c>
      <c r="BS170" s="2" t="s">
        <v>7271</v>
      </c>
      <c r="BT170" s="2" t="str">
        <f>HYPERLINK("https%3A%2F%2Fwww.webofscience.com%2Fwos%2Fwoscc%2Ffull-record%2FWOS:000604529800001","View Full Record in Web of Science")</f>
        <v>View Full Record in Web of Science</v>
      </c>
    </row>
    <row r="171" ht="15.75" customHeight="1">
      <c r="A171" s="2" t="s">
        <v>3633</v>
      </c>
      <c r="B171" s="2" t="s">
        <v>7272</v>
      </c>
      <c r="C171" s="2" t="s">
        <v>3635</v>
      </c>
      <c r="D171" s="2" t="s">
        <v>3635</v>
      </c>
      <c r="E171" s="2" t="s">
        <v>3635</v>
      </c>
      <c r="F171" s="2" t="s">
        <v>7273</v>
      </c>
      <c r="G171" s="2" t="s">
        <v>3635</v>
      </c>
      <c r="H171" s="2" t="s">
        <v>3635</v>
      </c>
      <c r="I171" s="2" t="s">
        <v>2326</v>
      </c>
      <c r="J171" s="2" t="s">
        <v>6253</v>
      </c>
      <c r="K171" s="2" t="s">
        <v>3635</v>
      </c>
      <c r="L171" s="2" t="s">
        <v>3635</v>
      </c>
      <c r="M171" s="2" t="s">
        <v>3638</v>
      </c>
      <c r="N171" s="2" t="s">
        <v>21</v>
      </c>
      <c r="O171" s="2" t="s">
        <v>3635</v>
      </c>
      <c r="P171" s="2" t="s">
        <v>3635</v>
      </c>
      <c r="Q171" s="2" t="s">
        <v>3635</v>
      </c>
      <c r="R171" s="2" t="s">
        <v>3635</v>
      </c>
      <c r="S171" s="2" t="s">
        <v>3635</v>
      </c>
      <c r="T171" s="2" t="s">
        <v>7274</v>
      </c>
      <c r="U171" s="2" t="s">
        <v>7275</v>
      </c>
      <c r="V171" s="2" t="s">
        <v>7276</v>
      </c>
      <c r="W171" s="2" t="s">
        <v>7277</v>
      </c>
      <c r="X171" s="2" t="s">
        <v>5089</v>
      </c>
      <c r="Y171" s="2" t="s">
        <v>7278</v>
      </c>
      <c r="Z171" s="2" t="s">
        <v>7279</v>
      </c>
      <c r="AA171" s="2" t="s">
        <v>3635</v>
      </c>
      <c r="AB171" s="2" t="s">
        <v>3635</v>
      </c>
      <c r="AC171" s="2" t="s">
        <v>7280</v>
      </c>
      <c r="AD171" s="2" t="s">
        <v>7281</v>
      </c>
      <c r="AE171" s="2" t="s">
        <v>7282</v>
      </c>
      <c r="AF171" s="2" t="s">
        <v>3635</v>
      </c>
      <c r="AG171" s="2">
        <v>40.0</v>
      </c>
      <c r="AH171" s="2">
        <v>32.0</v>
      </c>
      <c r="AI171" s="2">
        <v>37.0</v>
      </c>
      <c r="AJ171" s="2">
        <v>1.0</v>
      </c>
      <c r="AK171" s="2">
        <v>13.0</v>
      </c>
      <c r="AL171" s="2" t="s">
        <v>3685</v>
      </c>
      <c r="AM171" s="2" t="s">
        <v>3686</v>
      </c>
      <c r="AN171" s="2" t="s">
        <v>3951</v>
      </c>
      <c r="AO171" s="2" t="s">
        <v>6264</v>
      </c>
      <c r="AP171" s="2" t="s">
        <v>3635</v>
      </c>
      <c r="AQ171" s="2" t="s">
        <v>3635</v>
      </c>
      <c r="AR171" s="2" t="s">
        <v>6265</v>
      </c>
      <c r="AS171" s="2" t="s">
        <v>6266</v>
      </c>
      <c r="AT171" s="2" t="s">
        <v>7283</v>
      </c>
      <c r="AU171" s="2">
        <v>2019.0</v>
      </c>
      <c r="AV171" s="2">
        <v>12.0</v>
      </c>
      <c r="AW171" s="2">
        <v>2.0</v>
      </c>
      <c r="AX171" s="2" t="s">
        <v>3635</v>
      </c>
      <c r="AY171" s="2" t="s">
        <v>3635</v>
      </c>
      <c r="AZ171" s="2" t="s">
        <v>3635</v>
      </c>
      <c r="BA171" s="2" t="s">
        <v>3635</v>
      </c>
      <c r="BB171" s="2">
        <v>214.0</v>
      </c>
      <c r="BC171" s="2">
        <v>230.0</v>
      </c>
      <c r="BD171" s="2" t="s">
        <v>3635</v>
      </c>
      <c r="BE171" s="2" t="s">
        <v>739</v>
      </c>
      <c r="BF171" s="3" t="str">
        <f>HYPERLINK("http://dx.doi.org/10.1109/TSC.2016.2607739","http://dx.doi.org/10.1109/TSC.2016.2607739")</f>
        <v>http://dx.doi.org/10.1109/TSC.2016.2607739</v>
      </c>
      <c r="BG171" s="2" t="s">
        <v>3635</v>
      </c>
      <c r="BH171" s="2" t="s">
        <v>3635</v>
      </c>
      <c r="BI171" s="2">
        <v>17.0</v>
      </c>
      <c r="BJ171" s="2" t="s">
        <v>4791</v>
      </c>
      <c r="BK171" s="2" t="s">
        <v>3658</v>
      </c>
      <c r="BL171" s="2" t="s">
        <v>3659</v>
      </c>
      <c r="BM171" s="2" t="s">
        <v>7284</v>
      </c>
      <c r="BN171" s="2" t="s">
        <v>3635</v>
      </c>
      <c r="BO171" s="2" t="s">
        <v>3635</v>
      </c>
      <c r="BP171" s="2" t="s">
        <v>3635</v>
      </c>
      <c r="BQ171" s="2" t="s">
        <v>3635</v>
      </c>
      <c r="BR171" s="2" t="s">
        <v>3662</v>
      </c>
      <c r="BS171" s="2" t="s">
        <v>7285</v>
      </c>
      <c r="BT171" s="2" t="str">
        <f>HYPERLINK("https%3A%2F%2Fwww.webofscience.com%2Fwos%2Fwoscc%2Ffull-record%2FWOS:000464132500004","View Full Record in Web of Science")</f>
        <v>View Full Record in Web of Science</v>
      </c>
    </row>
    <row r="172" ht="15.75" customHeight="1">
      <c r="A172" s="2" t="s">
        <v>3664</v>
      </c>
      <c r="B172" s="2" t="s">
        <v>7286</v>
      </c>
      <c r="C172" s="2" t="s">
        <v>3635</v>
      </c>
      <c r="D172" s="2" t="s">
        <v>7287</v>
      </c>
      <c r="E172" s="2" t="s">
        <v>3635</v>
      </c>
      <c r="F172" s="2" t="s">
        <v>7288</v>
      </c>
      <c r="G172" s="2" t="s">
        <v>3635</v>
      </c>
      <c r="H172" s="2" t="s">
        <v>3635</v>
      </c>
      <c r="I172" s="2" t="s">
        <v>7289</v>
      </c>
      <c r="J172" s="2" t="s">
        <v>7290</v>
      </c>
      <c r="K172" s="2" t="s">
        <v>3635</v>
      </c>
      <c r="L172" s="2" t="s">
        <v>3635</v>
      </c>
      <c r="M172" s="2" t="s">
        <v>3638</v>
      </c>
      <c r="N172" s="2" t="s">
        <v>3669</v>
      </c>
      <c r="O172" s="2" t="s">
        <v>7291</v>
      </c>
      <c r="P172" s="2" t="s">
        <v>7292</v>
      </c>
      <c r="Q172" s="2" t="s">
        <v>7293</v>
      </c>
      <c r="R172" s="2" t="s">
        <v>7294</v>
      </c>
      <c r="S172" s="2" t="s">
        <v>3635</v>
      </c>
      <c r="T172" s="2" t="s">
        <v>7295</v>
      </c>
      <c r="U172" s="2" t="s">
        <v>3635</v>
      </c>
      <c r="V172" s="2" t="s">
        <v>7296</v>
      </c>
      <c r="W172" s="2" t="s">
        <v>7297</v>
      </c>
      <c r="X172" s="2" t="s">
        <v>7298</v>
      </c>
      <c r="Y172" s="2" t="s">
        <v>7299</v>
      </c>
      <c r="Z172" s="2" t="s">
        <v>7300</v>
      </c>
      <c r="AA172" s="2" t="s">
        <v>7301</v>
      </c>
      <c r="AB172" s="2" t="s">
        <v>7302</v>
      </c>
      <c r="AC172" s="2" t="s">
        <v>7303</v>
      </c>
      <c r="AD172" s="2" t="s">
        <v>7304</v>
      </c>
      <c r="AE172" s="2" t="s">
        <v>7305</v>
      </c>
      <c r="AF172" s="2" t="s">
        <v>3635</v>
      </c>
      <c r="AG172" s="2">
        <v>12.0</v>
      </c>
      <c r="AH172" s="2">
        <v>0.0</v>
      </c>
      <c r="AI172" s="2">
        <v>0.0</v>
      </c>
      <c r="AJ172" s="2">
        <v>0.0</v>
      </c>
      <c r="AK172" s="2">
        <v>1.0</v>
      </c>
      <c r="AL172" s="2" t="s">
        <v>7306</v>
      </c>
      <c r="AM172" s="2" t="s">
        <v>7307</v>
      </c>
      <c r="AN172" s="2" t="s">
        <v>7308</v>
      </c>
      <c r="AO172" s="2" t="s">
        <v>3635</v>
      </c>
      <c r="AP172" s="2" t="s">
        <v>3635</v>
      </c>
      <c r="AQ172" s="2" t="s">
        <v>7309</v>
      </c>
      <c r="AR172" s="2" t="s">
        <v>3635</v>
      </c>
      <c r="AS172" s="2" t="s">
        <v>3635</v>
      </c>
      <c r="AT172" s="2" t="s">
        <v>3635</v>
      </c>
      <c r="AU172" s="2">
        <v>2018.0</v>
      </c>
      <c r="AV172" s="2" t="s">
        <v>3635</v>
      </c>
      <c r="AW172" s="2" t="s">
        <v>3635</v>
      </c>
      <c r="AX172" s="2" t="s">
        <v>3635</v>
      </c>
      <c r="AY172" s="2" t="s">
        <v>3635</v>
      </c>
      <c r="AZ172" s="2" t="s">
        <v>3635</v>
      </c>
      <c r="BA172" s="2" t="s">
        <v>3635</v>
      </c>
      <c r="BB172" s="2">
        <v>264.0</v>
      </c>
      <c r="BC172" s="2">
        <v>269.0</v>
      </c>
      <c r="BD172" s="2" t="s">
        <v>3635</v>
      </c>
      <c r="BE172" s="2" t="s">
        <v>3635</v>
      </c>
      <c r="BF172" s="2" t="s">
        <v>3635</v>
      </c>
      <c r="BG172" s="2" t="s">
        <v>3635</v>
      </c>
      <c r="BH172" s="2" t="s">
        <v>3635</v>
      </c>
      <c r="BI172" s="2">
        <v>6.0</v>
      </c>
      <c r="BJ172" s="2" t="s">
        <v>7310</v>
      </c>
      <c r="BK172" s="2" t="s">
        <v>4561</v>
      </c>
      <c r="BL172" s="2" t="s">
        <v>7311</v>
      </c>
      <c r="BM172" s="2" t="s">
        <v>7312</v>
      </c>
      <c r="BN172" s="2" t="s">
        <v>3635</v>
      </c>
      <c r="BO172" s="2" t="s">
        <v>3635</v>
      </c>
      <c r="BP172" s="2" t="s">
        <v>3635</v>
      </c>
      <c r="BQ172" s="2" t="s">
        <v>3635</v>
      </c>
      <c r="BR172" s="2" t="s">
        <v>3662</v>
      </c>
      <c r="BS172" s="2" t="s">
        <v>7313</v>
      </c>
      <c r="BT172" s="2" t="str">
        <f>HYPERLINK("https%3A%2F%2Fwww.webofscience.com%2Fwos%2Fwoscc%2Ffull-record%2FWOS:000507455300046","View Full Record in Web of Science")</f>
        <v>View Full Record in Web of Science</v>
      </c>
    </row>
    <row r="173" ht="15.75" customHeight="1">
      <c r="A173" s="2" t="s">
        <v>3633</v>
      </c>
      <c r="B173" s="2" t="s">
        <v>7314</v>
      </c>
      <c r="C173" s="2" t="s">
        <v>3635</v>
      </c>
      <c r="D173" s="2" t="s">
        <v>3635</v>
      </c>
      <c r="E173" s="2" t="s">
        <v>3635</v>
      </c>
      <c r="F173" s="2" t="s">
        <v>7315</v>
      </c>
      <c r="G173" s="2" t="s">
        <v>3635</v>
      </c>
      <c r="H173" s="2" t="s">
        <v>3635</v>
      </c>
      <c r="I173" s="2" t="s">
        <v>7316</v>
      </c>
      <c r="J173" s="2" t="s">
        <v>7317</v>
      </c>
      <c r="K173" s="2" t="s">
        <v>3635</v>
      </c>
      <c r="L173" s="2" t="s">
        <v>3635</v>
      </c>
      <c r="M173" s="2" t="s">
        <v>3638</v>
      </c>
      <c r="N173" s="2" t="s">
        <v>21</v>
      </c>
      <c r="O173" s="2" t="s">
        <v>3635</v>
      </c>
      <c r="P173" s="2" t="s">
        <v>3635</v>
      </c>
      <c r="Q173" s="2" t="s">
        <v>3635</v>
      </c>
      <c r="R173" s="2" t="s">
        <v>3635</v>
      </c>
      <c r="S173" s="2" t="s">
        <v>3635</v>
      </c>
      <c r="T173" s="2" t="s">
        <v>3635</v>
      </c>
      <c r="U173" s="2" t="s">
        <v>3635</v>
      </c>
      <c r="V173" s="2" t="s">
        <v>7318</v>
      </c>
      <c r="W173" s="2" t="s">
        <v>7319</v>
      </c>
      <c r="X173" s="2" t="s">
        <v>7320</v>
      </c>
      <c r="Y173" s="2" t="s">
        <v>7321</v>
      </c>
      <c r="Z173" s="2" t="s">
        <v>7322</v>
      </c>
      <c r="AA173" s="2" t="s">
        <v>3635</v>
      </c>
      <c r="AB173" s="2" t="s">
        <v>3635</v>
      </c>
      <c r="AC173" s="2" t="s">
        <v>3635</v>
      </c>
      <c r="AD173" s="2" t="s">
        <v>3635</v>
      </c>
      <c r="AE173" s="2" t="s">
        <v>3635</v>
      </c>
      <c r="AF173" s="2" t="s">
        <v>3635</v>
      </c>
      <c r="AG173" s="2">
        <v>21.0</v>
      </c>
      <c r="AH173" s="2">
        <v>0.0</v>
      </c>
      <c r="AI173" s="2">
        <v>0.0</v>
      </c>
      <c r="AJ173" s="2">
        <v>0.0</v>
      </c>
      <c r="AK173" s="2">
        <v>0.0</v>
      </c>
      <c r="AL173" s="2" t="s">
        <v>7323</v>
      </c>
      <c r="AM173" s="2" t="s">
        <v>7324</v>
      </c>
      <c r="AN173" s="2" t="s">
        <v>7325</v>
      </c>
      <c r="AO173" s="2" t="s">
        <v>7326</v>
      </c>
      <c r="AP173" s="2" t="s">
        <v>3635</v>
      </c>
      <c r="AQ173" s="2" t="s">
        <v>3635</v>
      </c>
      <c r="AR173" s="2" t="s">
        <v>7327</v>
      </c>
      <c r="AS173" s="2" t="s">
        <v>7328</v>
      </c>
      <c r="AT173" s="2" t="s">
        <v>3953</v>
      </c>
      <c r="AU173" s="2">
        <v>2008.0</v>
      </c>
      <c r="AV173" s="2">
        <v>7.0</v>
      </c>
      <c r="AW173" s="2">
        <v>8.0</v>
      </c>
      <c r="AX173" s="2" t="s">
        <v>3635</v>
      </c>
      <c r="AY173" s="2" t="s">
        <v>3635</v>
      </c>
      <c r="AZ173" s="2" t="s">
        <v>3635</v>
      </c>
      <c r="BA173" s="2" t="s">
        <v>3635</v>
      </c>
      <c r="BB173" s="2">
        <v>187.0</v>
      </c>
      <c r="BC173" s="2">
        <v>207.0</v>
      </c>
      <c r="BD173" s="2" t="s">
        <v>3635</v>
      </c>
      <c r="BE173" s="2" t="s">
        <v>1570</v>
      </c>
      <c r="BF173" s="3" t="str">
        <f>HYPERLINK("http://dx.doi.org/10.5381/jot.2008.7.8.a7","http://dx.doi.org/10.5381/jot.2008.7.8.a7")</f>
        <v>http://dx.doi.org/10.5381/jot.2008.7.8.a7</v>
      </c>
      <c r="BG173" s="2" t="s">
        <v>3635</v>
      </c>
      <c r="BH173" s="2" t="s">
        <v>3635</v>
      </c>
      <c r="BI173" s="2">
        <v>21.0</v>
      </c>
      <c r="BJ173" s="2" t="s">
        <v>3657</v>
      </c>
      <c r="BK173" s="2" t="s">
        <v>3993</v>
      </c>
      <c r="BL173" s="2" t="s">
        <v>3659</v>
      </c>
      <c r="BM173" s="2" t="s">
        <v>7329</v>
      </c>
      <c r="BN173" s="2" t="s">
        <v>3635</v>
      </c>
      <c r="BO173" s="2" t="s">
        <v>4141</v>
      </c>
      <c r="BP173" s="2" t="s">
        <v>3635</v>
      </c>
      <c r="BQ173" s="2" t="s">
        <v>3635</v>
      </c>
      <c r="BR173" s="2" t="s">
        <v>3662</v>
      </c>
      <c r="BS173" s="2" t="s">
        <v>7330</v>
      </c>
      <c r="BT173" s="2" t="str">
        <f>HYPERLINK("https%3A%2F%2Fwww.webofscience.com%2Fwos%2Fwoscc%2Ffull-record%2FWOS:000214574200014","View Full Record in Web of Science")</f>
        <v>View Full Record in Web of Science</v>
      </c>
    </row>
    <row r="174" ht="15.75" customHeight="1">
      <c r="A174" s="2" t="s">
        <v>3633</v>
      </c>
      <c r="B174" s="2" t="s">
        <v>7331</v>
      </c>
      <c r="C174" s="2" t="s">
        <v>3635</v>
      </c>
      <c r="D174" s="2" t="s">
        <v>3635</v>
      </c>
      <c r="E174" s="2" t="s">
        <v>3635</v>
      </c>
      <c r="F174" s="2" t="s">
        <v>7332</v>
      </c>
      <c r="G174" s="2" t="s">
        <v>3635</v>
      </c>
      <c r="H174" s="2" t="s">
        <v>3635</v>
      </c>
      <c r="I174" s="2" t="s">
        <v>137</v>
      </c>
      <c r="J174" s="2" t="s">
        <v>7333</v>
      </c>
      <c r="K174" s="2" t="s">
        <v>3635</v>
      </c>
      <c r="L174" s="2" t="s">
        <v>3635</v>
      </c>
      <c r="M174" s="2" t="s">
        <v>3638</v>
      </c>
      <c r="N174" s="2" t="s">
        <v>21</v>
      </c>
      <c r="O174" s="2" t="s">
        <v>3635</v>
      </c>
      <c r="P174" s="2" t="s">
        <v>3635</v>
      </c>
      <c r="Q174" s="2" t="s">
        <v>3635</v>
      </c>
      <c r="R174" s="2" t="s">
        <v>3635</v>
      </c>
      <c r="S174" s="2" t="s">
        <v>3635</v>
      </c>
      <c r="T174" s="2" t="s">
        <v>7334</v>
      </c>
      <c r="U174" s="2" t="s">
        <v>7335</v>
      </c>
      <c r="V174" s="2" t="s">
        <v>7336</v>
      </c>
      <c r="W174" s="2" t="s">
        <v>7337</v>
      </c>
      <c r="X174" s="2" t="s">
        <v>7338</v>
      </c>
      <c r="Y174" s="2" t="s">
        <v>7339</v>
      </c>
      <c r="Z174" s="2" t="s">
        <v>7340</v>
      </c>
      <c r="AA174" s="2" t="s">
        <v>3635</v>
      </c>
      <c r="AB174" s="2" t="s">
        <v>3635</v>
      </c>
      <c r="AC174" s="2" t="s">
        <v>3635</v>
      </c>
      <c r="AD174" s="2" t="s">
        <v>3635</v>
      </c>
      <c r="AE174" s="2" t="s">
        <v>3635</v>
      </c>
      <c r="AF174" s="2" t="s">
        <v>3635</v>
      </c>
      <c r="AG174" s="2">
        <v>51.0</v>
      </c>
      <c r="AH174" s="2">
        <v>0.0</v>
      </c>
      <c r="AI174" s="2">
        <v>0.0</v>
      </c>
      <c r="AJ174" s="2">
        <v>1.0</v>
      </c>
      <c r="AK174" s="2">
        <v>1.0</v>
      </c>
      <c r="AL174" s="2" t="s">
        <v>3650</v>
      </c>
      <c r="AM174" s="2" t="s">
        <v>3651</v>
      </c>
      <c r="AN174" s="2" t="s">
        <v>3652</v>
      </c>
      <c r="AO174" s="2" t="s">
        <v>7341</v>
      </c>
      <c r="AP174" s="2" t="s">
        <v>7342</v>
      </c>
      <c r="AQ174" s="2" t="s">
        <v>3635</v>
      </c>
      <c r="AR174" s="2" t="s">
        <v>7343</v>
      </c>
      <c r="AS174" s="2" t="s">
        <v>3523</v>
      </c>
      <c r="AT174" s="2" t="s">
        <v>5143</v>
      </c>
      <c r="AU174" s="2">
        <v>2023.0</v>
      </c>
      <c r="AV174" s="2">
        <v>22.0</v>
      </c>
      <c r="AW174" s="2">
        <v>5.0</v>
      </c>
      <c r="AX174" s="2" t="s">
        <v>3635</v>
      </c>
      <c r="AY174" s="2" t="s">
        <v>5438</v>
      </c>
      <c r="AZ174" s="2" t="s">
        <v>3635</v>
      </c>
      <c r="BA174" s="2" t="s">
        <v>3635</v>
      </c>
      <c r="BB174" s="2" t="s">
        <v>3635</v>
      </c>
      <c r="BC174" s="2" t="s">
        <v>3635</v>
      </c>
      <c r="BD174" s="2">
        <v>152.0</v>
      </c>
      <c r="BE174" s="2" t="s">
        <v>140</v>
      </c>
      <c r="BF174" s="3" t="str">
        <f>HYPERLINK("http://dx.doi.org/10.1145/3609131","http://dx.doi.org/10.1145/3609131")</f>
        <v>http://dx.doi.org/10.1145/3609131</v>
      </c>
      <c r="BG174" s="2" t="s">
        <v>3635</v>
      </c>
      <c r="BH174" s="2" t="s">
        <v>3635</v>
      </c>
      <c r="BI174" s="2">
        <v>26.0</v>
      </c>
      <c r="BJ174" s="2" t="s">
        <v>3955</v>
      </c>
      <c r="BK174" s="2" t="s">
        <v>3658</v>
      </c>
      <c r="BL174" s="2" t="s">
        <v>3659</v>
      </c>
      <c r="BM174" s="2" t="s">
        <v>7344</v>
      </c>
      <c r="BN174" s="2" t="s">
        <v>3635</v>
      </c>
      <c r="BO174" s="2" t="s">
        <v>3635</v>
      </c>
      <c r="BP174" s="2" t="s">
        <v>3635</v>
      </c>
      <c r="BQ174" s="2" t="s">
        <v>3635</v>
      </c>
      <c r="BR174" s="2" t="s">
        <v>3662</v>
      </c>
      <c r="BS174" s="2" t="s">
        <v>7345</v>
      </c>
      <c r="BT174" s="2" t="str">
        <f>HYPERLINK("https%3A%2F%2Fwww.webofscience.com%2Fwos%2Fwoscc%2Ffull-record%2FWOS:001074334300055","View Full Record in Web of Science")</f>
        <v>View Full Record in Web of Science</v>
      </c>
    </row>
    <row r="175" ht="15.75" customHeight="1">
      <c r="A175" s="2" t="s">
        <v>3633</v>
      </c>
      <c r="B175" s="2" t="s">
        <v>7346</v>
      </c>
      <c r="C175" s="2" t="s">
        <v>3635</v>
      </c>
      <c r="D175" s="2" t="s">
        <v>3635</v>
      </c>
      <c r="E175" s="2" t="s">
        <v>3635</v>
      </c>
      <c r="F175" s="2" t="s">
        <v>7347</v>
      </c>
      <c r="G175" s="2" t="s">
        <v>3635</v>
      </c>
      <c r="H175" s="2" t="s">
        <v>3635</v>
      </c>
      <c r="I175" s="2" t="s">
        <v>7348</v>
      </c>
      <c r="J175" s="2" t="s">
        <v>7349</v>
      </c>
      <c r="K175" s="2" t="s">
        <v>3635</v>
      </c>
      <c r="L175" s="2" t="s">
        <v>3635</v>
      </c>
      <c r="M175" s="2" t="s">
        <v>3638</v>
      </c>
      <c r="N175" s="2" t="s">
        <v>21</v>
      </c>
      <c r="O175" s="2" t="s">
        <v>3635</v>
      </c>
      <c r="P175" s="2" t="s">
        <v>3635</v>
      </c>
      <c r="Q175" s="2" t="s">
        <v>3635</v>
      </c>
      <c r="R175" s="2" t="s">
        <v>3635</v>
      </c>
      <c r="S175" s="2" t="s">
        <v>3635</v>
      </c>
      <c r="T175" s="2" t="s">
        <v>7350</v>
      </c>
      <c r="U175" s="2" t="s">
        <v>7351</v>
      </c>
      <c r="V175" s="2" t="s">
        <v>7352</v>
      </c>
      <c r="W175" s="2" t="s">
        <v>7353</v>
      </c>
      <c r="X175" s="2" t="s">
        <v>7354</v>
      </c>
      <c r="Y175" s="2" t="s">
        <v>7355</v>
      </c>
      <c r="Z175" s="2" t="s">
        <v>7356</v>
      </c>
      <c r="AA175" s="2" t="s">
        <v>3635</v>
      </c>
      <c r="AB175" s="2" t="s">
        <v>7357</v>
      </c>
      <c r="AC175" s="2" t="s">
        <v>7358</v>
      </c>
      <c r="AD175" s="2" t="s">
        <v>7358</v>
      </c>
      <c r="AE175" s="2" t="s">
        <v>7359</v>
      </c>
      <c r="AF175" s="2" t="s">
        <v>3635</v>
      </c>
      <c r="AG175" s="2">
        <v>31.0</v>
      </c>
      <c r="AH175" s="2">
        <v>43.0</v>
      </c>
      <c r="AI175" s="2">
        <v>43.0</v>
      </c>
      <c r="AJ175" s="2">
        <v>0.0</v>
      </c>
      <c r="AK175" s="2">
        <v>26.0</v>
      </c>
      <c r="AL175" s="2" t="s">
        <v>3709</v>
      </c>
      <c r="AM175" s="2" t="s">
        <v>3710</v>
      </c>
      <c r="AN175" s="2" t="s">
        <v>3711</v>
      </c>
      <c r="AO175" s="2" t="s">
        <v>7360</v>
      </c>
      <c r="AP175" s="2" t="s">
        <v>7361</v>
      </c>
      <c r="AQ175" s="2" t="s">
        <v>3635</v>
      </c>
      <c r="AR175" s="2" t="s">
        <v>7362</v>
      </c>
      <c r="AS175" s="2" t="s">
        <v>7363</v>
      </c>
      <c r="AT175" s="2" t="s">
        <v>4517</v>
      </c>
      <c r="AU175" s="2">
        <v>2016.0</v>
      </c>
      <c r="AV175" s="2">
        <v>43.0</v>
      </c>
      <c r="AW175" s="2">
        <v>3.0</v>
      </c>
      <c r="AX175" s="2" t="s">
        <v>3635</v>
      </c>
      <c r="AY175" s="2" t="s">
        <v>3635</v>
      </c>
      <c r="AZ175" s="2" t="s">
        <v>3635</v>
      </c>
      <c r="BA175" s="2" t="s">
        <v>3635</v>
      </c>
      <c r="BB175" s="2">
        <v>1514.0</v>
      </c>
      <c r="BC175" s="2">
        <v>1530.0</v>
      </c>
      <c r="BD175" s="2" t="s">
        <v>3635</v>
      </c>
      <c r="BE175" s="2" t="s">
        <v>7364</v>
      </c>
      <c r="BF175" s="3" t="str">
        <f>HYPERLINK("http://dx.doi.org/10.1118/1.4942384","http://dx.doi.org/10.1118/1.4942384")</f>
        <v>http://dx.doi.org/10.1118/1.4942384</v>
      </c>
      <c r="BG175" s="2" t="s">
        <v>3635</v>
      </c>
      <c r="BH175" s="2" t="s">
        <v>3635</v>
      </c>
      <c r="BI175" s="2">
        <v>17.0</v>
      </c>
      <c r="BJ175" s="2" t="s">
        <v>7365</v>
      </c>
      <c r="BK175" s="2" t="s">
        <v>3658</v>
      </c>
      <c r="BL175" s="2" t="s">
        <v>7365</v>
      </c>
      <c r="BM175" s="2" t="s">
        <v>7366</v>
      </c>
      <c r="BN175" s="2">
        <v>2.6936735E7</v>
      </c>
      <c r="BO175" s="2" t="s">
        <v>3635</v>
      </c>
      <c r="BP175" s="2" t="s">
        <v>3635</v>
      </c>
      <c r="BQ175" s="2" t="s">
        <v>3635</v>
      </c>
      <c r="BR175" s="2" t="s">
        <v>3662</v>
      </c>
      <c r="BS175" s="2" t="s">
        <v>7367</v>
      </c>
      <c r="BT175" s="2" t="str">
        <f>HYPERLINK("https%3A%2F%2Fwww.webofscience.com%2Fwos%2Fwoscc%2Ffull-record%2FWOS:000373707100046","View Full Record in Web of Science")</f>
        <v>View Full Record in Web of Science</v>
      </c>
    </row>
    <row r="176" ht="15.75" customHeight="1">
      <c r="A176" s="2" t="s">
        <v>3633</v>
      </c>
      <c r="B176" s="2" t="s">
        <v>7368</v>
      </c>
      <c r="C176" s="2" t="s">
        <v>3635</v>
      </c>
      <c r="D176" s="2" t="s">
        <v>3635</v>
      </c>
      <c r="E176" s="2" t="s">
        <v>3635</v>
      </c>
      <c r="F176" s="2" t="s">
        <v>7368</v>
      </c>
      <c r="G176" s="2" t="s">
        <v>3635</v>
      </c>
      <c r="H176" s="2" t="s">
        <v>3635</v>
      </c>
      <c r="I176" s="2" t="s">
        <v>7369</v>
      </c>
      <c r="J176" s="2" t="s">
        <v>7370</v>
      </c>
      <c r="K176" s="2" t="s">
        <v>3635</v>
      </c>
      <c r="L176" s="2" t="s">
        <v>3635</v>
      </c>
      <c r="M176" s="2" t="s">
        <v>3638</v>
      </c>
      <c r="N176" s="2" t="s">
        <v>5948</v>
      </c>
      <c r="O176" s="2" t="s">
        <v>7371</v>
      </c>
      <c r="P176" s="2" t="s">
        <v>7372</v>
      </c>
      <c r="Q176" s="2" t="s">
        <v>7373</v>
      </c>
      <c r="R176" s="2" t="s">
        <v>7374</v>
      </c>
      <c r="S176" s="2" t="s">
        <v>3635</v>
      </c>
      <c r="T176" s="2" t="s">
        <v>7375</v>
      </c>
      <c r="U176" s="2" t="s">
        <v>4883</v>
      </c>
      <c r="V176" s="2" t="s">
        <v>7376</v>
      </c>
      <c r="W176" s="2" t="s">
        <v>7377</v>
      </c>
      <c r="X176" s="2" t="s">
        <v>3635</v>
      </c>
      <c r="Y176" s="2" t="s">
        <v>7378</v>
      </c>
      <c r="Z176" s="2" t="s">
        <v>3635</v>
      </c>
      <c r="AA176" s="2" t="s">
        <v>3635</v>
      </c>
      <c r="AB176" s="2" t="s">
        <v>3635</v>
      </c>
      <c r="AC176" s="2" t="s">
        <v>3635</v>
      </c>
      <c r="AD176" s="2" t="s">
        <v>3635</v>
      </c>
      <c r="AE176" s="2" t="s">
        <v>3635</v>
      </c>
      <c r="AF176" s="2" t="s">
        <v>3635</v>
      </c>
      <c r="AG176" s="2">
        <v>17.0</v>
      </c>
      <c r="AH176" s="2">
        <v>2.0</v>
      </c>
      <c r="AI176" s="2">
        <v>3.0</v>
      </c>
      <c r="AJ176" s="2">
        <v>0.0</v>
      </c>
      <c r="AK176" s="2">
        <v>1.0</v>
      </c>
      <c r="AL176" s="2" t="s">
        <v>5840</v>
      </c>
      <c r="AM176" s="2" t="s">
        <v>3808</v>
      </c>
      <c r="AN176" s="2" t="s">
        <v>5841</v>
      </c>
      <c r="AO176" s="2" t="s">
        <v>7379</v>
      </c>
      <c r="AP176" s="2" t="s">
        <v>3635</v>
      </c>
      <c r="AQ176" s="2" t="s">
        <v>3635</v>
      </c>
      <c r="AR176" s="2" t="s">
        <v>7380</v>
      </c>
      <c r="AS176" s="2" t="s">
        <v>7381</v>
      </c>
      <c r="AT176" s="2" t="s">
        <v>6693</v>
      </c>
      <c r="AU176" s="2">
        <v>1996.0</v>
      </c>
      <c r="AV176" s="2">
        <v>17.0</v>
      </c>
      <c r="AW176" s="2">
        <v>4.0</v>
      </c>
      <c r="AX176" s="2" t="s">
        <v>3635</v>
      </c>
      <c r="AY176" s="2" t="s">
        <v>3635</v>
      </c>
      <c r="AZ176" s="2" t="s">
        <v>3635</v>
      </c>
      <c r="BA176" s="2" t="s">
        <v>3635</v>
      </c>
      <c r="BB176" s="2">
        <v>351.0</v>
      </c>
      <c r="BC176" s="2">
        <v>366.0</v>
      </c>
      <c r="BD176" s="2" t="s">
        <v>3635</v>
      </c>
      <c r="BE176" s="2" t="s">
        <v>7382</v>
      </c>
      <c r="BF176" s="3" t="str">
        <f>HYPERLINK("http://dx.doi.org/10.1016/0169-8141(95)00060-7","http://dx.doi.org/10.1016/0169-8141(95)00060-7")</f>
        <v>http://dx.doi.org/10.1016/0169-8141(95)00060-7</v>
      </c>
      <c r="BG176" s="2" t="s">
        <v>3635</v>
      </c>
      <c r="BH176" s="2" t="s">
        <v>3635</v>
      </c>
      <c r="BI176" s="2">
        <v>16.0</v>
      </c>
      <c r="BJ176" s="2" t="s">
        <v>7383</v>
      </c>
      <c r="BK176" s="2" t="s">
        <v>7384</v>
      </c>
      <c r="BL176" s="2" t="s">
        <v>3971</v>
      </c>
      <c r="BM176" s="2" t="s">
        <v>7385</v>
      </c>
      <c r="BN176" s="2" t="s">
        <v>3635</v>
      </c>
      <c r="BO176" s="2" t="s">
        <v>3635</v>
      </c>
      <c r="BP176" s="2" t="s">
        <v>3635</v>
      </c>
      <c r="BQ176" s="2" t="s">
        <v>3635</v>
      </c>
      <c r="BR176" s="2" t="s">
        <v>3662</v>
      </c>
      <c r="BS176" s="2" t="s">
        <v>7386</v>
      </c>
      <c r="BT176" s="2" t="str">
        <f>HYPERLINK("https%3A%2F%2Fwww.webofscience.com%2Fwos%2Fwoscc%2Ffull-record%2FWOS:A1996UP35900007","View Full Record in Web of Science")</f>
        <v>View Full Record in Web of Science</v>
      </c>
    </row>
    <row r="177" ht="15.75" customHeight="1">
      <c r="A177" s="2" t="s">
        <v>3633</v>
      </c>
      <c r="B177" s="2" t="s">
        <v>7387</v>
      </c>
      <c r="C177" s="2" t="s">
        <v>3635</v>
      </c>
      <c r="D177" s="2" t="s">
        <v>3635</v>
      </c>
      <c r="E177" s="2" t="s">
        <v>3635</v>
      </c>
      <c r="F177" s="2" t="s">
        <v>7388</v>
      </c>
      <c r="G177" s="2" t="s">
        <v>3635</v>
      </c>
      <c r="H177" s="2" t="s">
        <v>3635</v>
      </c>
      <c r="I177" s="2" t="s">
        <v>597</v>
      </c>
      <c r="J177" s="2" t="s">
        <v>7389</v>
      </c>
      <c r="K177" s="2" t="s">
        <v>3635</v>
      </c>
      <c r="L177" s="2" t="s">
        <v>3635</v>
      </c>
      <c r="M177" s="2" t="s">
        <v>3638</v>
      </c>
      <c r="N177" s="2" t="s">
        <v>21</v>
      </c>
      <c r="O177" s="2" t="s">
        <v>3635</v>
      </c>
      <c r="P177" s="2" t="s">
        <v>3635</v>
      </c>
      <c r="Q177" s="2" t="s">
        <v>3635</v>
      </c>
      <c r="R177" s="2" t="s">
        <v>3635</v>
      </c>
      <c r="S177" s="2" t="s">
        <v>3635</v>
      </c>
      <c r="T177" s="2" t="s">
        <v>7390</v>
      </c>
      <c r="U177" s="2" t="s">
        <v>7391</v>
      </c>
      <c r="V177" s="2" t="s">
        <v>7392</v>
      </c>
      <c r="W177" s="2" t="s">
        <v>7393</v>
      </c>
      <c r="X177" s="2" t="s">
        <v>7394</v>
      </c>
      <c r="Y177" s="2" t="s">
        <v>7395</v>
      </c>
      <c r="Z177" s="2" t="s">
        <v>7396</v>
      </c>
      <c r="AA177" s="2" t="s">
        <v>7397</v>
      </c>
      <c r="AB177" s="2" t="s">
        <v>7398</v>
      </c>
      <c r="AC177" s="2" t="s">
        <v>7399</v>
      </c>
      <c r="AD177" s="2" t="s">
        <v>7400</v>
      </c>
      <c r="AE177" s="2" t="s">
        <v>7401</v>
      </c>
      <c r="AF177" s="2" t="s">
        <v>3635</v>
      </c>
      <c r="AG177" s="2">
        <v>46.0</v>
      </c>
      <c r="AH177" s="2">
        <v>40.0</v>
      </c>
      <c r="AI177" s="2">
        <v>43.0</v>
      </c>
      <c r="AJ177" s="2">
        <v>1.0</v>
      </c>
      <c r="AK177" s="2">
        <v>38.0</v>
      </c>
      <c r="AL177" s="2" t="s">
        <v>7402</v>
      </c>
      <c r="AM177" s="2" t="s">
        <v>7403</v>
      </c>
      <c r="AN177" s="2" t="s">
        <v>7404</v>
      </c>
      <c r="AO177" s="2" t="s">
        <v>7405</v>
      </c>
      <c r="AP177" s="2" t="s">
        <v>7406</v>
      </c>
      <c r="AQ177" s="2" t="s">
        <v>3635</v>
      </c>
      <c r="AR177" s="2" t="s">
        <v>7407</v>
      </c>
      <c r="AS177" s="2" t="s">
        <v>7408</v>
      </c>
      <c r="AT177" s="2" t="s">
        <v>4517</v>
      </c>
      <c r="AU177" s="2">
        <v>2019.0</v>
      </c>
      <c r="AV177" s="2">
        <v>123.0</v>
      </c>
      <c r="AW177" s="2" t="s">
        <v>3635</v>
      </c>
      <c r="AX177" s="2" t="s">
        <v>7409</v>
      </c>
      <c r="AY177" s="2" t="s">
        <v>3635</v>
      </c>
      <c r="AZ177" s="2" t="s">
        <v>3635</v>
      </c>
      <c r="BA177" s="2" t="s">
        <v>3635</v>
      </c>
      <c r="BB177" s="2">
        <v>87.0</v>
      </c>
      <c r="BC177" s="2">
        <v>98.0</v>
      </c>
      <c r="BD177" s="2" t="s">
        <v>3635</v>
      </c>
      <c r="BE177" s="2" t="s">
        <v>600</v>
      </c>
      <c r="BF177" s="3" t="str">
        <f>HYPERLINK("http://dx.doi.org/10.1016/j.psep.2018.12.008","http://dx.doi.org/10.1016/j.psep.2018.12.008")</f>
        <v>http://dx.doi.org/10.1016/j.psep.2018.12.008</v>
      </c>
      <c r="BG177" s="2" t="s">
        <v>3635</v>
      </c>
      <c r="BH177" s="2" t="s">
        <v>3635</v>
      </c>
      <c r="BI177" s="2">
        <v>12.0</v>
      </c>
      <c r="BJ177" s="2" t="s">
        <v>7410</v>
      </c>
      <c r="BK177" s="2" t="s">
        <v>3658</v>
      </c>
      <c r="BL177" s="2" t="s">
        <v>3971</v>
      </c>
      <c r="BM177" s="2" t="s">
        <v>7411</v>
      </c>
      <c r="BN177" s="2" t="s">
        <v>3635</v>
      </c>
      <c r="BO177" s="2" t="s">
        <v>3635</v>
      </c>
      <c r="BP177" s="2" t="s">
        <v>3635</v>
      </c>
      <c r="BQ177" s="2" t="s">
        <v>3635</v>
      </c>
      <c r="BR177" s="2" t="s">
        <v>3662</v>
      </c>
      <c r="BS177" s="2" t="s">
        <v>7412</v>
      </c>
      <c r="BT177" s="2" t="str">
        <f>HYPERLINK("https%3A%2F%2Fwww.webofscience.com%2Fwos%2Fwoscc%2Ffull-record%2FWOS:000462955900010","View Full Record in Web of Science")</f>
        <v>View Full Record in Web of Science</v>
      </c>
    </row>
    <row r="178" ht="15.75" customHeight="1">
      <c r="A178" s="2" t="s">
        <v>3664</v>
      </c>
      <c r="B178" s="2" t="s">
        <v>7413</v>
      </c>
      <c r="C178" s="2" t="s">
        <v>3635</v>
      </c>
      <c r="D178" s="2" t="s">
        <v>3635</v>
      </c>
      <c r="E178" s="2" t="s">
        <v>3837</v>
      </c>
      <c r="F178" s="2" t="s">
        <v>7414</v>
      </c>
      <c r="G178" s="2" t="s">
        <v>3635</v>
      </c>
      <c r="H178" s="2" t="s">
        <v>3635</v>
      </c>
      <c r="I178" s="2" t="s">
        <v>876</v>
      </c>
      <c r="J178" s="2" t="s">
        <v>7415</v>
      </c>
      <c r="K178" s="2" t="s">
        <v>3635</v>
      </c>
      <c r="L178" s="2" t="s">
        <v>3635</v>
      </c>
      <c r="M178" s="2" t="s">
        <v>3638</v>
      </c>
      <c r="N178" s="2" t="s">
        <v>3669</v>
      </c>
      <c r="O178" s="2" t="s">
        <v>7416</v>
      </c>
      <c r="P178" s="2" t="s">
        <v>7417</v>
      </c>
      <c r="Q178" s="2" t="s">
        <v>3843</v>
      </c>
      <c r="R178" s="2" t="s">
        <v>7418</v>
      </c>
      <c r="S178" s="2" t="s">
        <v>3635</v>
      </c>
      <c r="T178" s="2" t="s">
        <v>7419</v>
      </c>
      <c r="U178" s="2" t="s">
        <v>3635</v>
      </c>
      <c r="V178" s="2" t="s">
        <v>7420</v>
      </c>
      <c r="W178" s="2" t="s">
        <v>7421</v>
      </c>
      <c r="X178" s="2" t="s">
        <v>7422</v>
      </c>
      <c r="Y178" s="2" t="s">
        <v>7423</v>
      </c>
      <c r="Z178" s="2" t="s">
        <v>7424</v>
      </c>
      <c r="AA178" s="2" t="s">
        <v>3635</v>
      </c>
      <c r="AB178" s="2" t="s">
        <v>3635</v>
      </c>
      <c r="AC178" s="2" t="s">
        <v>7425</v>
      </c>
      <c r="AD178" s="2" t="s">
        <v>7426</v>
      </c>
      <c r="AE178" s="2" t="s">
        <v>7427</v>
      </c>
      <c r="AF178" s="2" t="s">
        <v>3635</v>
      </c>
      <c r="AG178" s="2">
        <v>17.0</v>
      </c>
      <c r="AH178" s="2">
        <v>1.0</v>
      </c>
      <c r="AI178" s="2">
        <v>1.0</v>
      </c>
      <c r="AJ178" s="2">
        <v>0.0</v>
      </c>
      <c r="AK178" s="2">
        <v>0.0</v>
      </c>
      <c r="AL178" s="2" t="s">
        <v>3685</v>
      </c>
      <c r="AM178" s="2" t="s">
        <v>3686</v>
      </c>
      <c r="AN178" s="2" t="s">
        <v>3687</v>
      </c>
      <c r="AO178" s="2" t="s">
        <v>3635</v>
      </c>
      <c r="AP178" s="2" t="s">
        <v>3635</v>
      </c>
      <c r="AQ178" s="2" t="s">
        <v>7428</v>
      </c>
      <c r="AR178" s="2" t="s">
        <v>3635</v>
      </c>
      <c r="AS178" s="2" t="s">
        <v>3635</v>
      </c>
      <c r="AT178" s="2" t="s">
        <v>3635</v>
      </c>
      <c r="AU178" s="2">
        <v>2020.0</v>
      </c>
      <c r="AV178" s="2" t="s">
        <v>3635</v>
      </c>
      <c r="AW178" s="2" t="s">
        <v>3635</v>
      </c>
      <c r="AX178" s="2" t="s">
        <v>3635</v>
      </c>
      <c r="AY178" s="2" t="s">
        <v>3635</v>
      </c>
      <c r="AZ178" s="2" t="s">
        <v>3635</v>
      </c>
      <c r="BA178" s="2" t="s">
        <v>3635</v>
      </c>
      <c r="BB178" s="2">
        <v>29.0</v>
      </c>
      <c r="BC178" s="2">
        <v>34.0</v>
      </c>
      <c r="BD178" s="2" t="s">
        <v>3635</v>
      </c>
      <c r="BE178" s="2" t="s">
        <v>879</v>
      </c>
      <c r="BF178" s="3" t="str">
        <f>HYPERLINK("http://dx.doi.org/10.1109/ICFPT51103.2020.00013","http://dx.doi.org/10.1109/ICFPT51103.2020.00013")</f>
        <v>http://dx.doi.org/10.1109/ICFPT51103.2020.00013</v>
      </c>
      <c r="BG178" s="2" t="s">
        <v>3635</v>
      </c>
      <c r="BH178" s="2" t="s">
        <v>3635</v>
      </c>
      <c r="BI178" s="2">
        <v>6.0</v>
      </c>
      <c r="BJ178" s="2" t="s">
        <v>7429</v>
      </c>
      <c r="BK178" s="2" t="s">
        <v>3692</v>
      </c>
      <c r="BL178" s="2" t="s">
        <v>3944</v>
      </c>
      <c r="BM178" s="2" t="s">
        <v>7430</v>
      </c>
      <c r="BN178" s="2" t="s">
        <v>3635</v>
      </c>
      <c r="BO178" s="2" t="s">
        <v>3635</v>
      </c>
      <c r="BP178" s="2" t="s">
        <v>3635</v>
      </c>
      <c r="BQ178" s="2" t="s">
        <v>3635</v>
      </c>
      <c r="BR178" s="2" t="s">
        <v>3662</v>
      </c>
      <c r="BS178" s="2" t="s">
        <v>7431</v>
      </c>
      <c r="BT178" s="2" t="str">
        <f>HYPERLINK("https%3A%2F%2Fwww.webofscience.com%2Fwos%2Fwoscc%2Ffull-record%2FWOS:000676387300004","View Full Record in Web of Science")</f>
        <v>View Full Record in Web of Science</v>
      </c>
    </row>
    <row r="179" ht="15.75" customHeight="1">
      <c r="A179" s="2" t="s">
        <v>3633</v>
      </c>
      <c r="B179" s="2" t="s">
        <v>7432</v>
      </c>
      <c r="C179" s="2" t="s">
        <v>3635</v>
      </c>
      <c r="D179" s="2" t="s">
        <v>3635</v>
      </c>
      <c r="E179" s="2" t="s">
        <v>3635</v>
      </c>
      <c r="F179" s="2" t="s">
        <v>7433</v>
      </c>
      <c r="G179" s="2" t="s">
        <v>3635</v>
      </c>
      <c r="H179" s="2" t="s">
        <v>3635</v>
      </c>
      <c r="I179" s="2" t="s">
        <v>56</v>
      </c>
      <c r="J179" s="2" t="s">
        <v>7434</v>
      </c>
      <c r="K179" s="2" t="s">
        <v>3635</v>
      </c>
      <c r="L179" s="2" t="s">
        <v>3635</v>
      </c>
      <c r="M179" s="2" t="s">
        <v>3638</v>
      </c>
      <c r="N179" s="2" t="s">
        <v>5035</v>
      </c>
      <c r="O179" s="2" t="s">
        <v>3635</v>
      </c>
      <c r="P179" s="2" t="s">
        <v>3635</v>
      </c>
      <c r="Q179" s="2" t="s">
        <v>3635</v>
      </c>
      <c r="R179" s="2" t="s">
        <v>3635</v>
      </c>
      <c r="S179" s="2" t="s">
        <v>3635</v>
      </c>
      <c r="T179" s="2" t="s">
        <v>7435</v>
      </c>
      <c r="U179" s="2" t="s">
        <v>3635</v>
      </c>
      <c r="V179" s="2" t="s">
        <v>7436</v>
      </c>
      <c r="W179" s="2" t="s">
        <v>7437</v>
      </c>
      <c r="X179" s="2" t="s">
        <v>7438</v>
      </c>
      <c r="Y179" s="2" t="s">
        <v>7439</v>
      </c>
      <c r="Z179" s="2" t="s">
        <v>7440</v>
      </c>
      <c r="AA179" s="2" t="s">
        <v>3635</v>
      </c>
      <c r="AB179" s="2" t="s">
        <v>7441</v>
      </c>
      <c r="AC179" s="2" t="s">
        <v>3635</v>
      </c>
      <c r="AD179" s="2" t="s">
        <v>3635</v>
      </c>
      <c r="AE179" s="2" t="s">
        <v>3635</v>
      </c>
      <c r="AF179" s="2" t="s">
        <v>3635</v>
      </c>
      <c r="AG179" s="2">
        <v>33.0</v>
      </c>
      <c r="AH179" s="2">
        <v>0.0</v>
      </c>
      <c r="AI179" s="2">
        <v>0.0</v>
      </c>
      <c r="AJ179" s="2">
        <v>4.0</v>
      </c>
      <c r="AK179" s="2">
        <v>5.0</v>
      </c>
      <c r="AL179" s="2" t="s">
        <v>6154</v>
      </c>
      <c r="AM179" s="2" t="s">
        <v>6429</v>
      </c>
      <c r="AN179" s="2" t="s">
        <v>6430</v>
      </c>
      <c r="AO179" s="2" t="s">
        <v>7442</v>
      </c>
      <c r="AP179" s="2" t="s">
        <v>7443</v>
      </c>
      <c r="AQ179" s="2" t="s">
        <v>3635</v>
      </c>
      <c r="AR179" s="2" t="s">
        <v>7444</v>
      </c>
      <c r="AS179" s="2" t="s">
        <v>7445</v>
      </c>
      <c r="AT179" s="2" t="s">
        <v>7446</v>
      </c>
      <c r="AU179" s="2">
        <v>2023.0</v>
      </c>
      <c r="AV179" s="2" t="s">
        <v>3635</v>
      </c>
      <c r="AW179" s="2" t="s">
        <v>3635</v>
      </c>
      <c r="AX179" s="2" t="s">
        <v>3635</v>
      </c>
      <c r="AY179" s="2" t="s">
        <v>3635</v>
      </c>
      <c r="AZ179" s="2" t="s">
        <v>3635</v>
      </c>
      <c r="BA179" s="2" t="s">
        <v>3635</v>
      </c>
      <c r="BB179" s="2" t="s">
        <v>3635</v>
      </c>
      <c r="BC179" s="2" t="s">
        <v>3635</v>
      </c>
      <c r="BD179" s="2" t="s">
        <v>3635</v>
      </c>
      <c r="BE179" s="2" t="s">
        <v>59</v>
      </c>
      <c r="BF179" s="3" t="str">
        <f>HYPERLINK("http://dx.doi.org/10.1007/s11042-023-16270-4","http://dx.doi.org/10.1007/s11042-023-16270-4")</f>
        <v>http://dx.doi.org/10.1007/s11042-023-16270-4</v>
      </c>
      <c r="BG179" s="2" t="s">
        <v>3635</v>
      </c>
      <c r="BH179" s="2" t="s">
        <v>7447</v>
      </c>
      <c r="BI179" s="2">
        <v>19.0</v>
      </c>
      <c r="BJ179" s="2" t="s">
        <v>7448</v>
      </c>
      <c r="BK179" s="2" t="s">
        <v>3658</v>
      </c>
      <c r="BL179" s="2" t="s">
        <v>3944</v>
      </c>
      <c r="BM179" s="2" t="s">
        <v>7449</v>
      </c>
      <c r="BN179" s="2" t="s">
        <v>3635</v>
      </c>
      <c r="BO179" s="2" t="s">
        <v>3694</v>
      </c>
      <c r="BP179" s="2" t="s">
        <v>3635</v>
      </c>
      <c r="BQ179" s="2" t="s">
        <v>3635</v>
      </c>
      <c r="BR179" s="2" t="s">
        <v>3662</v>
      </c>
      <c r="BS179" s="2" t="s">
        <v>7450</v>
      </c>
      <c r="BT179" s="2" t="str">
        <f>HYPERLINK("https%3A%2F%2Fwww.webofscience.com%2Fwos%2Fwoscc%2Ffull-record%2FWOS:001046412000007","View Full Record in Web of Science")</f>
        <v>View Full Record in Web of Science</v>
      </c>
    </row>
    <row r="180" ht="15.75" customHeight="1">
      <c r="A180" s="2" t="s">
        <v>3633</v>
      </c>
      <c r="B180" s="2" t="s">
        <v>7451</v>
      </c>
      <c r="C180" s="2" t="s">
        <v>3635</v>
      </c>
      <c r="D180" s="2" t="s">
        <v>3635</v>
      </c>
      <c r="E180" s="2" t="s">
        <v>3635</v>
      </c>
      <c r="F180" s="2" t="s">
        <v>7452</v>
      </c>
      <c r="G180" s="2" t="s">
        <v>3635</v>
      </c>
      <c r="H180" s="2" t="s">
        <v>3635</v>
      </c>
      <c r="I180" s="2" t="s">
        <v>803</v>
      </c>
      <c r="J180" s="2" t="s">
        <v>6117</v>
      </c>
      <c r="K180" s="2" t="s">
        <v>3635</v>
      </c>
      <c r="L180" s="2" t="s">
        <v>3635</v>
      </c>
      <c r="M180" s="2" t="s">
        <v>3638</v>
      </c>
      <c r="N180" s="2" t="s">
        <v>21</v>
      </c>
      <c r="O180" s="2" t="s">
        <v>3635</v>
      </c>
      <c r="P180" s="2" t="s">
        <v>3635</v>
      </c>
      <c r="Q180" s="2" t="s">
        <v>3635</v>
      </c>
      <c r="R180" s="2" t="s">
        <v>3635</v>
      </c>
      <c r="S180" s="2" t="s">
        <v>3635</v>
      </c>
      <c r="T180" s="2" t="s">
        <v>7453</v>
      </c>
      <c r="U180" s="2" t="s">
        <v>7454</v>
      </c>
      <c r="V180" s="2" t="s">
        <v>7455</v>
      </c>
      <c r="W180" s="2" t="s">
        <v>7456</v>
      </c>
      <c r="X180" s="2" t="s">
        <v>3635</v>
      </c>
      <c r="Y180" s="2" t="s">
        <v>7457</v>
      </c>
      <c r="Z180" s="2" t="s">
        <v>7458</v>
      </c>
      <c r="AA180" s="2" t="s">
        <v>7459</v>
      </c>
      <c r="AB180" s="2" t="s">
        <v>3635</v>
      </c>
      <c r="AC180" s="2" t="s">
        <v>7460</v>
      </c>
      <c r="AD180" s="2" t="s">
        <v>7461</v>
      </c>
      <c r="AE180" s="2" t="s">
        <v>7462</v>
      </c>
      <c r="AF180" s="2" t="s">
        <v>3635</v>
      </c>
      <c r="AG180" s="2">
        <v>49.0</v>
      </c>
      <c r="AH180" s="2">
        <v>8.0</v>
      </c>
      <c r="AI180" s="2">
        <v>9.0</v>
      </c>
      <c r="AJ180" s="2">
        <v>3.0</v>
      </c>
      <c r="AK180" s="2">
        <v>15.0</v>
      </c>
      <c r="AL180" s="2" t="s">
        <v>3709</v>
      </c>
      <c r="AM180" s="2" t="s">
        <v>3710</v>
      </c>
      <c r="AN180" s="2" t="s">
        <v>3711</v>
      </c>
      <c r="AO180" s="2" t="s">
        <v>6130</v>
      </c>
      <c r="AP180" s="2" t="s">
        <v>6131</v>
      </c>
      <c r="AQ180" s="2" t="s">
        <v>3635</v>
      </c>
      <c r="AR180" s="2" t="s">
        <v>6132</v>
      </c>
      <c r="AS180" s="2" t="s">
        <v>6133</v>
      </c>
      <c r="AT180" s="2" t="s">
        <v>5486</v>
      </c>
      <c r="AU180" s="2">
        <v>2020.0</v>
      </c>
      <c r="AV180" s="2">
        <v>40.0</v>
      </c>
      <c r="AW180" s="2">
        <v>8.0</v>
      </c>
      <c r="AX180" s="2" t="s">
        <v>3635</v>
      </c>
      <c r="AY180" s="2" t="s">
        <v>3635</v>
      </c>
      <c r="AZ180" s="2" t="s">
        <v>3635</v>
      </c>
      <c r="BA180" s="2" t="s">
        <v>3635</v>
      </c>
      <c r="BB180" s="2">
        <v>1571.0</v>
      </c>
      <c r="BC180" s="2">
        <v>1588.0</v>
      </c>
      <c r="BD180" s="2" t="s">
        <v>3635</v>
      </c>
      <c r="BE180" s="2" t="s">
        <v>805</v>
      </c>
      <c r="BF180" s="3" t="str">
        <f>HYPERLINK("http://dx.doi.org/10.1111/risa.13534","http://dx.doi.org/10.1111/risa.13534")</f>
        <v>http://dx.doi.org/10.1111/risa.13534</v>
      </c>
      <c r="BG180" s="2" t="s">
        <v>3635</v>
      </c>
      <c r="BH180" s="2" t="s">
        <v>6473</v>
      </c>
      <c r="BI180" s="2">
        <v>18.0</v>
      </c>
      <c r="BJ180" s="2" t="s">
        <v>6135</v>
      </c>
      <c r="BK180" s="2" t="s">
        <v>4378</v>
      </c>
      <c r="BL180" s="2" t="s">
        <v>6136</v>
      </c>
      <c r="BM180" s="2" t="s">
        <v>7463</v>
      </c>
      <c r="BN180" s="2">
        <v>3.2573007E7</v>
      </c>
      <c r="BO180" s="2" t="s">
        <v>3635</v>
      </c>
      <c r="BP180" s="2" t="s">
        <v>3635</v>
      </c>
      <c r="BQ180" s="2" t="s">
        <v>3635</v>
      </c>
      <c r="BR180" s="2" t="s">
        <v>3662</v>
      </c>
      <c r="BS180" s="2" t="s">
        <v>7464</v>
      </c>
      <c r="BT180" s="2" t="str">
        <f>HYPERLINK("https%3A%2F%2Fwww.webofscience.com%2Fwos%2Fwoscc%2Ffull-record%2FWOS:000541689600001","View Full Record in Web of Science")</f>
        <v>View Full Record in Web of Science</v>
      </c>
    </row>
    <row r="181" ht="15.75" customHeight="1">
      <c r="A181" s="2" t="s">
        <v>3633</v>
      </c>
      <c r="B181" s="2" t="s">
        <v>7465</v>
      </c>
      <c r="C181" s="2" t="s">
        <v>3635</v>
      </c>
      <c r="D181" s="2" t="s">
        <v>3635</v>
      </c>
      <c r="E181" s="2" t="s">
        <v>3635</v>
      </c>
      <c r="F181" s="2" t="s">
        <v>7466</v>
      </c>
      <c r="G181" s="2" t="s">
        <v>3635</v>
      </c>
      <c r="H181" s="2" t="s">
        <v>3635</v>
      </c>
      <c r="I181" s="2" t="s">
        <v>7467</v>
      </c>
      <c r="J181" s="2" t="s">
        <v>7468</v>
      </c>
      <c r="K181" s="2" t="s">
        <v>3635</v>
      </c>
      <c r="L181" s="2" t="s">
        <v>3635</v>
      </c>
      <c r="M181" s="2" t="s">
        <v>3638</v>
      </c>
      <c r="N181" s="2" t="s">
        <v>21</v>
      </c>
      <c r="O181" s="2" t="s">
        <v>3635</v>
      </c>
      <c r="P181" s="2" t="s">
        <v>3635</v>
      </c>
      <c r="Q181" s="2" t="s">
        <v>3635</v>
      </c>
      <c r="R181" s="2" t="s">
        <v>3635</v>
      </c>
      <c r="S181" s="2" t="s">
        <v>3635</v>
      </c>
      <c r="T181" s="2" t="s">
        <v>7469</v>
      </c>
      <c r="U181" s="2" t="s">
        <v>7470</v>
      </c>
      <c r="V181" s="2" t="s">
        <v>7471</v>
      </c>
      <c r="W181" s="2" t="s">
        <v>7472</v>
      </c>
      <c r="X181" s="2" t="s">
        <v>7473</v>
      </c>
      <c r="Y181" s="2" t="s">
        <v>7474</v>
      </c>
      <c r="Z181" s="2" t="s">
        <v>7475</v>
      </c>
      <c r="AA181" s="2" t="s">
        <v>3635</v>
      </c>
      <c r="AB181" s="2" t="s">
        <v>3635</v>
      </c>
      <c r="AC181" s="2" t="s">
        <v>3635</v>
      </c>
      <c r="AD181" s="2" t="s">
        <v>3635</v>
      </c>
      <c r="AE181" s="2" t="s">
        <v>3635</v>
      </c>
      <c r="AF181" s="2" t="s">
        <v>3635</v>
      </c>
      <c r="AG181" s="2">
        <v>23.0</v>
      </c>
      <c r="AH181" s="2">
        <v>0.0</v>
      </c>
      <c r="AI181" s="2">
        <v>0.0</v>
      </c>
      <c r="AJ181" s="2">
        <v>0.0</v>
      </c>
      <c r="AK181" s="2">
        <v>4.0</v>
      </c>
      <c r="AL181" s="2" t="s">
        <v>7476</v>
      </c>
      <c r="AM181" s="2" t="s">
        <v>7477</v>
      </c>
      <c r="AN181" s="2" t="s">
        <v>7478</v>
      </c>
      <c r="AO181" s="2" t="s">
        <v>7479</v>
      </c>
      <c r="AP181" s="2" t="s">
        <v>7480</v>
      </c>
      <c r="AQ181" s="2" t="s">
        <v>3635</v>
      </c>
      <c r="AR181" s="2" t="s">
        <v>7481</v>
      </c>
      <c r="AS181" s="2" t="s">
        <v>7482</v>
      </c>
      <c r="AT181" s="2" t="s">
        <v>3635</v>
      </c>
      <c r="AU181" s="2">
        <v>2021.0</v>
      </c>
      <c r="AV181" s="2">
        <v>25.0</v>
      </c>
      <c r="AW181" s="2">
        <v>1.0</v>
      </c>
      <c r="AX181" s="2" t="s">
        <v>3635</v>
      </c>
      <c r="AY181" s="2" t="s">
        <v>3635</v>
      </c>
      <c r="AZ181" s="2" t="s">
        <v>3635</v>
      </c>
      <c r="BA181" s="2" t="s">
        <v>3635</v>
      </c>
      <c r="BB181" s="2" t="s">
        <v>3635</v>
      </c>
      <c r="BC181" s="2" t="s">
        <v>3635</v>
      </c>
      <c r="BD181" s="2" t="s">
        <v>3635</v>
      </c>
      <c r="BE181" s="2" t="s">
        <v>3635</v>
      </c>
      <c r="BF181" s="2" t="s">
        <v>3635</v>
      </c>
      <c r="BG181" s="2" t="s">
        <v>3635</v>
      </c>
      <c r="BH181" s="2" t="s">
        <v>3635</v>
      </c>
      <c r="BI181" s="2">
        <v>19.0</v>
      </c>
      <c r="BJ181" s="2" t="s">
        <v>3992</v>
      </c>
      <c r="BK181" s="2" t="s">
        <v>3993</v>
      </c>
      <c r="BL181" s="2" t="s">
        <v>3994</v>
      </c>
      <c r="BM181" s="2" t="s">
        <v>7483</v>
      </c>
      <c r="BN181" s="2" t="s">
        <v>3635</v>
      </c>
      <c r="BO181" s="2" t="s">
        <v>3635</v>
      </c>
      <c r="BP181" s="2" t="s">
        <v>3635</v>
      </c>
      <c r="BQ181" s="2" t="s">
        <v>3635</v>
      </c>
      <c r="BR181" s="2" t="s">
        <v>3662</v>
      </c>
      <c r="BS181" s="2" t="s">
        <v>7484</v>
      </c>
      <c r="BT181" s="2" t="str">
        <f>HYPERLINK("https%3A%2F%2Fwww.webofscience.com%2Fwos%2Fwoscc%2Ffull-record%2FWOS:000733152700001","View Full Record in Web of Science")</f>
        <v>View Full Record in Web of Science</v>
      </c>
    </row>
    <row r="182" ht="15.75" customHeight="1">
      <c r="A182" s="2" t="s">
        <v>3633</v>
      </c>
      <c r="B182" s="2" t="s">
        <v>7485</v>
      </c>
      <c r="C182" s="2" t="s">
        <v>3635</v>
      </c>
      <c r="D182" s="2" t="s">
        <v>3635</v>
      </c>
      <c r="E182" s="2" t="s">
        <v>3635</v>
      </c>
      <c r="F182" s="2" t="s">
        <v>7486</v>
      </c>
      <c r="G182" s="2" t="s">
        <v>3635</v>
      </c>
      <c r="H182" s="2" t="s">
        <v>3635</v>
      </c>
      <c r="I182" s="2" t="s">
        <v>7487</v>
      </c>
      <c r="J182" s="2" t="s">
        <v>7488</v>
      </c>
      <c r="K182" s="2" t="s">
        <v>3635</v>
      </c>
      <c r="L182" s="2" t="s">
        <v>3635</v>
      </c>
      <c r="M182" s="2" t="s">
        <v>3638</v>
      </c>
      <c r="N182" s="2" t="s">
        <v>4207</v>
      </c>
      <c r="O182" s="2" t="s">
        <v>3635</v>
      </c>
      <c r="P182" s="2" t="s">
        <v>3635</v>
      </c>
      <c r="Q182" s="2" t="s">
        <v>3635</v>
      </c>
      <c r="R182" s="2" t="s">
        <v>3635</v>
      </c>
      <c r="S182" s="2" t="s">
        <v>3635</v>
      </c>
      <c r="T182" s="2" t="s">
        <v>3635</v>
      </c>
      <c r="U182" s="2" t="s">
        <v>7489</v>
      </c>
      <c r="V182" s="2" t="s">
        <v>7490</v>
      </c>
      <c r="W182" s="2" t="s">
        <v>7491</v>
      </c>
      <c r="X182" s="2" t="s">
        <v>7492</v>
      </c>
      <c r="Y182" s="2" t="s">
        <v>7493</v>
      </c>
      <c r="Z182" s="2" t="s">
        <v>7494</v>
      </c>
      <c r="AA182" s="2" t="s">
        <v>7495</v>
      </c>
      <c r="AB182" s="2" t="s">
        <v>7496</v>
      </c>
      <c r="AC182" s="2" t="s">
        <v>7497</v>
      </c>
      <c r="AD182" s="2" t="s">
        <v>7497</v>
      </c>
      <c r="AE182" s="2" t="s">
        <v>7498</v>
      </c>
      <c r="AF182" s="2" t="s">
        <v>3635</v>
      </c>
      <c r="AG182" s="2">
        <v>86.0</v>
      </c>
      <c r="AH182" s="2">
        <v>78.0</v>
      </c>
      <c r="AI182" s="2">
        <v>99.0</v>
      </c>
      <c r="AJ182" s="2">
        <v>1.0</v>
      </c>
      <c r="AK182" s="2">
        <v>30.0</v>
      </c>
      <c r="AL182" s="2" t="s">
        <v>4740</v>
      </c>
      <c r="AM182" s="2" t="s">
        <v>4668</v>
      </c>
      <c r="AN182" s="2" t="s">
        <v>4741</v>
      </c>
      <c r="AO182" s="2" t="s">
        <v>7499</v>
      </c>
      <c r="AP182" s="2" t="s">
        <v>3635</v>
      </c>
      <c r="AQ182" s="2" t="s">
        <v>3635</v>
      </c>
      <c r="AR182" s="2" t="s">
        <v>7500</v>
      </c>
      <c r="AS182" s="2" t="s">
        <v>7501</v>
      </c>
      <c r="AT182" s="2" t="s">
        <v>7502</v>
      </c>
      <c r="AU182" s="2">
        <v>2014.0</v>
      </c>
      <c r="AV182" s="2">
        <v>6.0</v>
      </c>
      <c r="AW182" s="2" t="s">
        <v>3635</v>
      </c>
      <c r="AX182" s="2" t="s">
        <v>3635</v>
      </c>
      <c r="AY182" s="2" t="s">
        <v>3635</v>
      </c>
      <c r="AZ182" s="2" t="s">
        <v>3635</v>
      </c>
      <c r="BA182" s="2" t="s">
        <v>3635</v>
      </c>
      <c r="BB182" s="2" t="s">
        <v>3635</v>
      </c>
      <c r="BC182" s="2" t="s">
        <v>3635</v>
      </c>
      <c r="BD182" s="2">
        <v>109.0</v>
      </c>
      <c r="BE182" s="2" t="s">
        <v>7503</v>
      </c>
      <c r="BF182" s="3" t="str">
        <f>HYPERLINK("http://dx.doi.org/10.1186/s13073-014-0109-z","http://dx.doi.org/10.1186/s13073-014-0109-z")</f>
        <v>http://dx.doi.org/10.1186/s13073-014-0109-z</v>
      </c>
      <c r="BG182" s="2" t="s">
        <v>3635</v>
      </c>
      <c r="BH182" s="2" t="s">
        <v>3635</v>
      </c>
      <c r="BI182" s="2">
        <v>11.0</v>
      </c>
      <c r="BJ182" s="2" t="s">
        <v>6838</v>
      </c>
      <c r="BK182" s="2" t="s">
        <v>3658</v>
      </c>
      <c r="BL182" s="2" t="s">
        <v>6838</v>
      </c>
      <c r="BM182" s="2" t="s">
        <v>7504</v>
      </c>
      <c r="BN182" s="2">
        <v>2.5593593E7</v>
      </c>
      <c r="BO182" s="2" t="s">
        <v>4251</v>
      </c>
      <c r="BP182" s="2" t="s">
        <v>3635</v>
      </c>
      <c r="BQ182" s="2" t="s">
        <v>3635</v>
      </c>
      <c r="BR182" s="2" t="s">
        <v>3662</v>
      </c>
      <c r="BS182" s="2" t="s">
        <v>7505</v>
      </c>
      <c r="BT182" s="2" t="str">
        <f>HYPERLINK("https%3A%2F%2Fwww.webofscience.com%2Fwos%2Fwoscc%2Ffull-record%2FWOS:000347354400001","View Full Record in Web of Science")</f>
        <v>View Full Record in Web of Science</v>
      </c>
    </row>
    <row r="183" ht="15.75" customHeight="1">
      <c r="A183" s="2" t="s">
        <v>3633</v>
      </c>
      <c r="B183" s="2" t="s">
        <v>7506</v>
      </c>
      <c r="C183" s="2" t="s">
        <v>3635</v>
      </c>
      <c r="D183" s="2" t="s">
        <v>3635</v>
      </c>
      <c r="E183" s="2" t="s">
        <v>3635</v>
      </c>
      <c r="F183" s="2" t="s">
        <v>7507</v>
      </c>
      <c r="G183" s="2" t="s">
        <v>3635</v>
      </c>
      <c r="H183" s="2" t="s">
        <v>3635</v>
      </c>
      <c r="I183" s="2" t="s">
        <v>7508</v>
      </c>
      <c r="J183" s="2" t="s">
        <v>7509</v>
      </c>
      <c r="K183" s="2" t="s">
        <v>3635</v>
      </c>
      <c r="L183" s="2" t="s">
        <v>3635</v>
      </c>
      <c r="M183" s="2" t="s">
        <v>3638</v>
      </c>
      <c r="N183" s="2" t="s">
        <v>5948</v>
      </c>
      <c r="O183" s="2" t="s">
        <v>7510</v>
      </c>
      <c r="P183" s="2" t="s">
        <v>7511</v>
      </c>
      <c r="Q183" s="2" t="s">
        <v>7512</v>
      </c>
      <c r="R183" s="2" t="s">
        <v>3635</v>
      </c>
      <c r="S183" s="2" t="s">
        <v>3635</v>
      </c>
      <c r="T183" s="2" t="s">
        <v>3635</v>
      </c>
      <c r="U183" s="2" t="s">
        <v>3635</v>
      </c>
      <c r="V183" s="2" t="s">
        <v>7513</v>
      </c>
      <c r="W183" s="2" t="s">
        <v>7514</v>
      </c>
      <c r="X183" s="2" t="s">
        <v>7515</v>
      </c>
      <c r="Y183" s="2" t="s">
        <v>7516</v>
      </c>
      <c r="Z183" s="2" t="s">
        <v>7517</v>
      </c>
      <c r="AA183" s="2" t="s">
        <v>3635</v>
      </c>
      <c r="AB183" s="2" t="s">
        <v>7518</v>
      </c>
      <c r="AC183" s="2" t="s">
        <v>3635</v>
      </c>
      <c r="AD183" s="2" t="s">
        <v>3635</v>
      </c>
      <c r="AE183" s="2" t="s">
        <v>3635</v>
      </c>
      <c r="AF183" s="2" t="s">
        <v>3635</v>
      </c>
      <c r="AG183" s="2">
        <v>13.0</v>
      </c>
      <c r="AH183" s="2">
        <v>3.0</v>
      </c>
      <c r="AI183" s="2">
        <v>3.0</v>
      </c>
      <c r="AJ183" s="2">
        <v>0.0</v>
      </c>
      <c r="AK183" s="2">
        <v>1.0</v>
      </c>
      <c r="AL183" s="2" t="s">
        <v>3650</v>
      </c>
      <c r="AM183" s="2" t="s">
        <v>3651</v>
      </c>
      <c r="AN183" s="2" t="s">
        <v>3652</v>
      </c>
      <c r="AO183" s="2" t="s">
        <v>7519</v>
      </c>
      <c r="AP183" s="2" t="s">
        <v>3635</v>
      </c>
      <c r="AQ183" s="2" t="s">
        <v>3635</v>
      </c>
      <c r="AR183" s="2" t="s">
        <v>7520</v>
      </c>
      <c r="AS183" s="2" t="s">
        <v>3530</v>
      </c>
      <c r="AT183" s="2" t="s">
        <v>5486</v>
      </c>
      <c r="AU183" s="2">
        <v>2021.0</v>
      </c>
      <c r="AV183" s="2">
        <v>14.0</v>
      </c>
      <c r="AW183" s="2">
        <v>12.0</v>
      </c>
      <c r="AX183" s="2" t="s">
        <v>3635</v>
      </c>
      <c r="AY183" s="2" t="s">
        <v>3635</v>
      </c>
      <c r="AZ183" s="2" t="s">
        <v>3635</v>
      </c>
      <c r="BA183" s="2" t="s">
        <v>3635</v>
      </c>
      <c r="BB183" s="2">
        <v>2787.0</v>
      </c>
      <c r="BC183" s="2">
        <v>2790.0</v>
      </c>
      <c r="BD183" s="2" t="s">
        <v>3635</v>
      </c>
      <c r="BE183" s="2" t="s">
        <v>595</v>
      </c>
      <c r="BF183" s="3" t="str">
        <f>HYPERLINK("http://dx.doi.org/10.14778/3476311.3476345","http://dx.doi.org/10.14778/3476311.3476345")</f>
        <v>http://dx.doi.org/10.14778/3476311.3476345</v>
      </c>
      <c r="BG183" s="2" t="s">
        <v>3635</v>
      </c>
      <c r="BH183" s="2" t="s">
        <v>3635</v>
      </c>
      <c r="BI183" s="2">
        <v>4.0</v>
      </c>
      <c r="BJ183" s="2" t="s">
        <v>3833</v>
      </c>
      <c r="BK183" s="2" t="s">
        <v>6694</v>
      </c>
      <c r="BL183" s="2" t="s">
        <v>3659</v>
      </c>
      <c r="BM183" s="2" t="s">
        <v>7521</v>
      </c>
      <c r="BN183" s="2" t="s">
        <v>3635</v>
      </c>
      <c r="BO183" s="2" t="s">
        <v>3635</v>
      </c>
      <c r="BP183" s="2" t="s">
        <v>3635</v>
      </c>
      <c r="BQ183" s="2" t="s">
        <v>3635</v>
      </c>
      <c r="BR183" s="2" t="s">
        <v>3662</v>
      </c>
      <c r="BS183" s="2" t="s">
        <v>7522</v>
      </c>
      <c r="BT183" s="2" t="str">
        <f>HYPERLINK("https%3A%2F%2Fwww.webofscience.com%2Fwos%2Fwoscc%2Ffull-record%2FWOS:000742908500034","View Full Record in Web of Science")</f>
        <v>View Full Record in Web of Science</v>
      </c>
    </row>
    <row r="184" ht="15.75" customHeight="1">
      <c r="A184" s="2" t="s">
        <v>3633</v>
      </c>
      <c r="B184" s="2" t="s">
        <v>7523</v>
      </c>
      <c r="C184" s="2" t="s">
        <v>3635</v>
      </c>
      <c r="D184" s="2" t="s">
        <v>3635</v>
      </c>
      <c r="E184" s="2" t="s">
        <v>3635</v>
      </c>
      <c r="F184" s="2" t="s">
        <v>7524</v>
      </c>
      <c r="G184" s="2" t="s">
        <v>3635</v>
      </c>
      <c r="H184" s="2" t="s">
        <v>3635</v>
      </c>
      <c r="I184" s="2" t="s">
        <v>7525</v>
      </c>
      <c r="J184" s="2" t="s">
        <v>7526</v>
      </c>
      <c r="K184" s="2" t="s">
        <v>3635</v>
      </c>
      <c r="L184" s="2" t="s">
        <v>3635</v>
      </c>
      <c r="M184" s="2" t="s">
        <v>3638</v>
      </c>
      <c r="N184" s="2" t="s">
        <v>21</v>
      </c>
      <c r="O184" s="2" t="s">
        <v>3635</v>
      </c>
      <c r="P184" s="2" t="s">
        <v>3635</v>
      </c>
      <c r="Q184" s="2" t="s">
        <v>3635</v>
      </c>
      <c r="R184" s="2" t="s">
        <v>3635</v>
      </c>
      <c r="S184" s="2" t="s">
        <v>3635</v>
      </c>
      <c r="T184" s="2" t="s">
        <v>7527</v>
      </c>
      <c r="U184" s="2" t="s">
        <v>7528</v>
      </c>
      <c r="V184" s="2" t="s">
        <v>7529</v>
      </c>
      <c r="W184" s="2" t="s">
        <v>7530</v>
      </c>
      <c r="X184" s="2" t="s">
        <v>7531</v>
      </c>
      <c r="Y184" s="2" t="s">
        <v>7532</v>
      </c>
      <c r="Z184" s="2" t="s">
        <v>7533</v>
      </c>
      <c r="AA184" s="2" t="s">
        <v>3635</v>
      </c>
      <c r="AB184" s="2" t="s">
        <v>7534</v>
      </c>
      <c r="AC184" s="2" t="s">
        <v>7535</v>
      </c>
      <c r="AD184" s="2" t="s">
        <v>7535</v>
      </c>
      <c r="AE184" s="2" t="s">
        <v>7536</v>
      </c>
      <c r="AF184" s="2" t="s">
        <v>3635</v>
      </c>
      <c r="AG184" s="2">
        <v>52.0</v>
      </c>
      <c r="AH184" s="2">
        <v>0.0</v>
      </c>
      <c r="AI184" s="2">
        <v>0.0</v>
      </c>
      <c r="AJ184" s="2">
        <v>0.0</v>
      </c>
      <c r="AK184" s="2">
        <v>7.0</v>
      </c>
      <c r="AL184" s="2" t="s">
        <v>7537</v>
      </c>
      <c r="AM184" s="2" t="s">
        <v>7538</v>
      </c>
      <c r="AN184" s="2" t="s">
        <v>7539</v>
      </c>
      <c r="AO184" s="2" t="s">
        <v>7540</v>
      </c>
      <c r="AP184" s="2" t="s">
        <v>3635</v>
      </c>
      <c r="AQ184" s="2" t="s">
        <v>3635</v>
      </c>
      <c r="AR184" s="2" t="s">
        <v>7541</v>
      </c>
      <c r="AS184" s="2" t="s">
        <v>7542</v>
      </c>
      <c r="AT184" s="2" t="s">
        <v>5367</v>
      </c>
      <c r="AU184" s="2">
        <v>2020.0</v>
      </c>
      <c r="AV184" s="2">
        <v>8.0</v>
      </c>
      <c r="AW184" s="2">
        <v>2.0</v>
      </c>
      <c r="AX184" s="2" t="s">
        <v>3635</v>
      </c>
      <c r="AY184" s="2" t="s">
        <v>3635</v>
      </c>
      <c r="AZ184" s="2" t="s">
        <v>3635</v>
      </c>
      <c r="BA184" s="2" t="s">
        <v>3635</v>
      </c>
      <c r="BB184" s="2">
        <v>1120.0</v>
      </c>
      <c r="BC184" s="2">
        <v>1141.0</v>
      </c>
      <c r="BD184" s="2" t="s">
        <v>3635</v>
      </c>
      <c r="BE184" s="2" t="s">
        <v>7543</v>
      </c>
      <c r="BF184" s="3" t="str">
        <f>HYPERLINK("http://dx.doi.org/10.9770/jesi.2020.8.2(67)","http://dx.doi.org/10.9770/jesi.2020.8.2(67)")</f>
        <v>http://dx.doi.org/10.9770/jesi.2020.8.2(67)</v>
      </c>
      <c r="BG184" s="2" t="s">
        <v>3635</v>
      </c>
      <c r="BH184" s="2" t="s">
        <v>3635</v>
      </c>
      <c r="BI184" s="2">
        <v>22.0</v>
      </c>
      <c r="BJ184" s="2" t="s">
        <v>6545</v>
      </c>
      <c r="BK184" s="2" t="s">
        <v>3993</v>
      </c>
      <c r="BL184" s="2" t="s">
        <v>3994</v>
      </c>
      <c r="BM184" s="2" t="s">
        <v>7544</v>
      </c>
      <c r="BN184" s="2" t="s">
        <v>3635</v>
      </c>
      <c r="BO184" s="2" t="s">
        <v>4115</v>
      </c>
      <c r="BP184" s="2" t="s">
        <v>3635</v>
      </c>
      <c r="BQ184" s="2" t="s">
        <v>3635</v>
      </c>
      <c r="BR184" s="2" t="s">
        <v>3662</v>
      </c>
      <c r="BS184" s="2" t="s">
        <v>7545</v>
      </c>
      <c r="BT184" s="2" t="str">
        <f>HYPERLINK("https%3A%2F%2Fwww.webofscience.com%2Fwos%2Fwoscc%2Ffull-record%2FWOS:000593042200067","View Full Record in Web of Science")</f>
        <v>View Full Record in Web of Science</v>
      </c>
    </row>
    <row r="185" ht="15.75" customHeight="1">
      <c r="A185" s="2" t="s">
        <v>3633</v>
      </c>
      <c r="B185" s="2" t="s">
        <v>7546</v>
      </c>
      <c r="C185" s="2" t="s">
        <v>3635</v>
      </c>
      <c r="D185" s="2" t="s">
        <v>3635</v>
      </c>
      <c r="E185" s="2" t="s">
        <v>3635</v>
      </c>
      <c r="F185" s="2" t="s">
        <v>7547</v>
      </c>
      <c r="G185" s="2" t="s">
        <v>3635</v>
      </c>
      <c r="H185" s="2" t="s">
        <v>3635</v>
      </c>
      <c r="I185" s="2" t="s">
        <v>7548</v>
      </c>
      <c r="J185" s="2" t="s">
        <v>7549</v>
      </c>
      <c r="K185" s="2" t="s">
        <v>3635</v>
      </c>
      <c r="L185" s="2" t="s">
        <v>3635</v>
      </c>
      <c r="M185" s="2" t="s">
        <v>6911</v>
      </c>
      <c r="N185" s="2" t="s">
        <v>21</v>
      </c>
      <c r="O185" s="2" t="s">
        <v>3635</v>
      </c>
      <c r="P185" s="2" t="s">
        <v>3635</v>
      </c>
      <c r="Q185" s="2" t="s">
        <v>3635</v>
      </c>
      <c r="R185" s="2" t="s">
        <v>3635</v>
      </c>
      <c r="S185" s="2" t="s">
        <v>3635</v>
      </c>
      <c r="T185" s="2" t="s">
        <v>7550</v>
      </c>
      <c r="U185" s="2" t="s">
        <v>7551</v>
      </c>
      <c r="V185" s="2" t="s">
        <v>7552</v>
      </c>
      <c r="W185" s="2" t="s">
        <v>7553</v>
      </c>
      <c r="X185" s="2" t="s">
        <v>7554</v>
      </c>
      <c r="Y185" s="2" t="s">
        <v>7555</v>
      </c>
      <c r="Z185" s="2" t="s">
        <v>7556</v>
      </c>
      <c r="AA185" s="2" t="s">
        <v>3635</v>
      </c>
      <c r="AB185" s="2" t="s">
        <v>3635</v>
      </c>
      <c r="AC185" s="2" t="s">
        <v>3635</v>
      </c>
      <c r="AD185" s="2" t="s">
        <v>3635</v>
      </c>
      <c r="AE185" s="2" t="s">
        <v>3635</v>
      </c>
      <c r="AF185" s="2" t="s">
        <v>3635</v>
      </c>
      <c r="AG185" s="2">
        <v>11.0</v>
      </c>
      <c r="AH185" s="2">
        <v>0.0</v>
      </c>
      <c r="AI185" s="2">
        <v>0.0</v>
      </c>
      <c r="AJ185" s="2">
        <v>1.0</v>
      </c>
      <c r="AK185" s="2">
        <v>22.0</v>
      </c>
      <c r="AL185" s="2" t="s">
        <v>7557</v>
      </c>
      <c r="AM185" s="2" t="s">
        <v>7558</v>
      </c>
      <c r="AN185" s="2" t="s">
        <v>7559</v>
      </c>
      <c r="AO185" s="2" t="s">
        <v>7560</v>
      </c>
      <c r="AP185" s="2" t="s">
        <v>3635</v>
      </c>
      <c r="AQ185" s="2" t="s">
        <v>3635</v>
      </c>
      <c r="AR185" s="2" t="s">
        <v>7561</v>
      </c>
      <c r="AS185" s="2" t="s">
        <v>7562</v>
      </c>
      <c r="AT185" s="2" t="s">
        <v>7563</v>
      </c>
      <c r="AU185" s="2">
        <v>2012.0</v>
      </c>
      <c r="AV185" s="2">
        <v>87.0</v>
      </c>
      <c r="AW185" s="2">
        <v>4.0</v>
      </c>
      <c r="AX185" s="2" t="s">
        <v>3635</v>
      </c>
      <c r="AY185" s="2" t="s">
        <v>3635</v>
      </c>
      <c r="AZ185" s="2" t="s">
        <v>3635</v>
      </c>
      <c r="BA185" s="2" t="s">
        <v>3635</v>
      </c>
      <c r="BB185" s="2">
        <v>474.0</v>
      </c>
      <c r="BC185" s="2">
        <v>480.0</v>
      </c>
      <c r="BD185" s="2" t="s">
        <v>3635</v>
      </c>
      <c r="BE185" s="2" t="s">
        <v>7564</v>
      </c>
      <c r="BF185" s="3" t="str">
        <f>HYPERLINK("http://dx.doi.org/10.6036/4339","http://dx.doi.org/10.6036/4339")</f>
        <v>http://dx.doi.org/10.6036/4339</v>
      </c>
      <c r="BG185" s="2" t="s">
        <v>3635</v>
      </c>
      <c r="BH185" s="2" t="s">
        <v>3635</v>
      </c>
      <c r="BI185" s="2">
        <v>7.0</v>
      </c>
      <c r="BJ185" s="2" t="s">
        <v>7565</v>
      </c>
      <c r="BK185" s="2" t="s">
        <v>3658</v>
      </c>
      <c r="BL185" s="2" t="s">
        <v>3971</v>
      </c>
      <c r="BM185" s="2" t="s">
        <v>7566</v>
      </c>
      <c r="BN185" s="2" t="s">
        <v>3635</v>
      </c>
      <c r="BO185" s="2" t="s">
        <v>3635</v>
      </c>
      <c r="BP185" s="2" t="s">
        <v>3635</v>
      </c>
      <c r="BQ185" s="2" t="s">
        <v>3635</v>
      </c>
      <c r="BR185" s="2" t="s">
        <v>3662</v>
      </c>
      <c r="BS185" s="2" t="s">
        <v>7567</v>
      </c>
      <c r="BT185" s="2" t="str">
        <f>HYPERLINK("https%3A%2F%2Fwww.webofscience.com%2Fwos%2Fwoscc%2Ffull-record%2FWOS:000307261500017","View Full Record in Web of Science")</f>
        <v>View Full Record in Web of Science</v>
      </c>
    </row>
    <row r="186" ht="15.75" customHeight="1">
      <c r="A186" s="2" t="s">
        <v>3664</v>
      </c>
      <c r="B186" s="2" t="s">
        <v>7568</v>
      </c>
      <c r="C186" s="2" t="s">
        <v>3635</v>
      </c>
      <c r="D186" s="2" t="s">
        <v>3635</v>
      </c>
      <c r="E186" s="2" t="s">
        <v>1974</v>
      </c>
      <c r="F186" s="2" t="s">
        <v>7569</v>
      </c>
      <c r="G186" s="2" t="s">
        <v>3635</v>
      </c>
      <c r="H186" s="2" t="s">
        <v>3635</v>
      </c>
      <c r="I186" s="2" t="s">
        <v>114</v>
      </c>
      <c r="J186" s="2" t="s">
        <v>7570</v>
      </c>
      <c r="K186" s="2" t="s">
        <v>7571</v>
      </c>
      <c r="L186" s="2" t="s">
        <v>3635</v>
      </c>
      <c r="M186" s="2" t="s">
        <v>3638</v>
      </c>
      <c r="N186" s="2" t="s">
        <v>3669</v>
      </c>
      <c r="O186" s="2" t="s">
        <v>3863</v>
      </c>
      <c r="P186" s="2" t="s">
        <v>3864</v>
      </c>
      <c r="Q186" s="2" t="s">
        <v>3865</v>
      </c>
      <c r="R186" s="2" t="s">
        <v>3866</v>
      </c>
      <c r="S186" s="2" t="s">
        <v>3635</v>
      </c>
      <c r="T186" s="2" t="s">
        <v>7572</v>
      </c>
      <c r="U186" s="2" t="s">
        <v>3635</v>
      </c>
      <c r="V186" s="2" t="s">
        <v>7573</v>
      </c>
      <c r="W186" s="2" t="s">
        <v>7574</v>
      </c>
      <c r="X186" s="2" t="s">
        <v>7575</v>
      </c>
      <c r="Y186" s="2" t="s">
        <v>7576</v>
      </c>
      <c r="Z186" s="2" t="s">
        <v>7577</v>
      </c>
      <c r="AA186" s="2" t="s">
        <v>3635</v>
      </c>
      <c r="AB186" s="2" t="s">
        <v>3635</v>
      </c>
      <c r="AC186" s="2" t="s">
        <v>7578</v>
      </c>
      <c r="AD186" s="2" t="s">
        <v>7579</v>
      </c>
      <c r="AE186" s="2" t="s">
        <v>7580</v>
      </c>
      <c r="AF186" s="2" t="s">
        <v>3635</v>
      </c>
      <c r="AG186" s="2">
        <v>22.0</v>
      </c>
      <c r="AH186" s="2">
        <v>0.0</v>
      </c>
      <c r="AI186" s="2">
        <v>0.0</v>
      </c>
      <c r="AJ186" s="2">
        <v>1.0</v>
      </c>
      <c r="AK186" s="2">
        <v>2.0</v>
      </c>
      <c r="AL186" s="2" t="s">
        <v>3685</v>
      </c>
      <c r="AM186" s="2" t="s">
        <v>3686</v>
      </c>
      <c r="AN186" s="2" t="s">
        <v>3687</v>
      </c>
      <c r="AO186" s="2" t="s">
        <v>7581</v>
      </c>
      <c r="AP186" s="2" t="s">
        <v>7582</v>
      </c>
      <c r="AQ186" s="2" t="s">
        <v>7583</v>
      </c>
      <c r="AR186" s="2" t="s">
        <v>7584</v>
      </c>
      <c r="AS186" s="2" t="s">
        <v>3635</v>
      </c>
      <c r="AT186" s="2" t="s">
        <v>3635</v>
      </c>
      <c r="AU186" s="2">
        <v>2022.0</v>
      </c>
      <c r="AV186" s="2" t="s">
        <v>3635</v>
      </c>
      <c r="AW186" s="2" t="s">
        <v>3635</v>
      </c>
      <c r="AX186" s="2" t="s">
        <v>3635</v>
      </c>
      <c r="AY186" s="2" t="s">
        <v>3635</v>
      </c>
      <c r="AZ186" s="2" t="s">
        <v>3635</v>
      </c>
      <c r="BA186" s="2" t="s">
        <v>3635</v>
      </c>
      <c r="BB186" s="2">
        <v>199.0</v>
      </c>
      <c r="BC186" s="2">
        <v>208.0</v>
      </c>
      <c r="BD186" s="2" t="s">
        <v>3635</v>
      </c>
      <c r="BE186" s="2" t="s">
        <v>116</v>
      </c>
      <c r="BF186" s="3" t="str">
        <f>HYPERLINK("http://dx.doi.org/10.1109/QRS57517.2022.00030","http://dx.doi.org/10.1109/QRS57517.2022.00030")</f>
        <v>http://dx.doi.org/10.1109/QRS57517.2022.00030</v>
      </c>
      <c r="BG186" s="2" t="s">
        <v>3635</v>
      </c>
      <c r="BH186" s="2" t="s">
        <v>3635</v>
      </c>
      <c r="BI186" s="2">
        <v>10.0</v>
      </c>
      <c r="BJ186" s="2" t="s">
        <v>3691</v>
      </c>
      <c r="BK186" s="2" t="s">
        <v>3692</v>
      </c>
      <c r="BL186" s="2" t="s">
        <v>3659</v>
      </c>
      <c r="BM186" s="2" t="s">
        <v>7585</v>
      </c>
      <c r="BN186" s="2" t="s">
        <v>3635</v>
      </c>
      <c r="BO186" s="2" t="s">
        <v>3694</v>
      </c>
      <c r="BP186" s="2" t="s">
        <v>3635</v>
      </c>
      <c r="BQ186" s="2" t="s">
        <v>3635</v>
      </c>
      <c r="BR186" s="2" t="s">
        <v>3662</v>
      </c>
      <c r="BS186" s="2" t="s">
        <v>7586</v>
      </c>
      <c r="BT186" s="2" t="str">
        <f>HYPERLINK("https%3A%2F%2Fwww.webofscience.com%2Fwos%2Fwoscc%2Ffull-record%2FWOS:000980981100020","View Full Record in Web of Science")</f>
        <v>View Full Record in Web of Science</v>
      </c>
    </row>
    <row r="187" ht="15.75" customHeight="1">
      <c r="A187" s="2" t="s">
        <v>3633</v>
      </c>
      <c r="B187" s="2" t="s">
        <v>7587</v>
      </c>
      <c r="C187" s="2" t="s">
        <v>3635</v>
      </c>
      <c r="D187" s="2" t="s">
        <v>3635</v>
      </c>
      <c r="E187" s="2" t="s">
        <v>3635</v>
      </c>
      <c r="F187" s="2" t="s">
        <v>7588</v>
      </c>
      <c r="G187" s="2" t="s">
        <v>3635</v>
      </c>
      <c r="H187" s="2" t="s">
        <v>3635</v>
      </c>
      <c r="I187" s="2" t="s">
        <v>7589</v>
      </c>
      <c r="J187" s="2" t="s">
        <v>7590</v>
      </c>
      <c r="K187" s="2" t="s">
        <v>3635</v>
      </c>
      <c r="L187" s="2" t="s">
        <v>3635</v>
      </c>
      <c r="M187" s="2" t="s">
        <v>3638</v>
      </c>
      <c r="N187" s="2" t="s">
        <v>21</v>
      </c>
      <c r="O187" s="2" t="s">
        <v>3635</v>
      </c>
      <c r="P187" s="2" t="s">
        <v>3635</v>
      </c>
      <c r="Q187" s="2" t="s">
        <v>3635</v>
      </c>
      <c r="R187" s="2" t="s">
        <v>3635</v>
      </c>
      <c r="S187" s="2" t="s">
        <v>3635</v>
      </c>
      <c r="T187" s="2" t="s">
        <v>7591</v>
      </c>
      <c r="U187" s="2" t="s">
        <v>7592</v>
      </c>
      <c r="V187" s="2" t="s">
        <v>7593</v>
      </c>
      <c r="W187" s="2" t="s">
        <v>7594</v>
      </c>
      <c r="X187" s="2" t="s">
        <v>7595</v>
      </c>
      <c r="Y187" s="2" t="s">
        <v>7596</v>
      </c>
      <c r="Z187" s="2" t="s">
        <v>7597</v>
      </c>
      <c r="AA187" s="2" t="s">
        <v>7598</v>
      </c>
      <c r="AB187" s="2" t="s">
        <v>7599</v>
      </c>
      <c r="AC187" s="2" t="s">
        <v>7600</v>
      </c>
      <c r="AD187" s="2" t="s">
        <v>7601</v>
      </c>
      <c r="AE187" s="2" t="s">
        <v>7602</v>
      </c>
      <c r="AF187" s="2" t="s">
        <v>3635</v>
      </c>
      <c r="AG187" s="2">
        <v>44.0</v>
      </c>
      <c r="AH187" s="2">
        <v>78.0</v>
      </c>
      <c r="AI187" s="2">
        <v>88.0</v>
      </c>
      <c r="AJ187" s="2">
        <v>1.0</v>
      </c>
      <c r="AK187" s="2">
        <v>38.0</v>
      </c>
      <c r="AL187" s="2" t="s">
        <v>7603</v>
      </c>
      <c r="AM187" s="2" t="s">
        <v>7604</v>
      </c>
      <c r="AN187" s="2" t="s">
        <v>7605</v>
      </c>
      <c r="AO187" s="2" t="s">
        <v>7606</v>
      </c>
      <c r="AP187" s="2" t="s">
        <v>7607</v>
      </c>
      <c r="AQ187" s="2" t="s">
        <v>3635</v>
      </c>
      <c r="AR187" s="2" t="s">
        <v>7608</v>
      </c>
      <c r="AS187" s="2" t="s">
        <v>7609</v>
      </c>
      <c r="AT187" s="2" t="s">
        <v>6693</v>
      </c>
      <c r="AU187" s="2">
        <v>2017.0</v>
      </c>
      <c r="AV187" s="2">
        <v>16.0</v>
      </c>
      <c r="AW187" s="2">
        <v>4.0</v>
      </c>
      <c r="AX187" s="2" t="s">
        <v>3635</v>
      </c>
      <c r="AY187" s="2" t="s">
        <v>3635</v>
      </c>
      <c r="AZ187" s="2" t="s">
        <v>3635</v>
      </c>
      <c r="BA187" s="2" t="s">
        <v>3635</v>
      </c>
      <c r="BB187" s="2">
        <v>1410.0</v>
      </c>
      <c r="BC187" s="2">
        <v>1424.0</v>
      </c>
      <c r="BD187" s="2" t="s">
        <v>3635</v>
      </c>
      <c r="BE187" s="2" t="s">
        <v>7610</v>
      </c>
      <c r="BF187" s="3" t="str">
        <f>HYPERLINK("http://dx.doi.org/10.1021/acs.jproteome.6b00645","http://dx.doi.org/10.1021/acs.jproteome.6b00645")</f>
        <v>http://dx.doi.org/10.1021/acs.jproteome.6b00645</v>
      </c>
      <c r="BG187" s="2" t="s">
        <v>3635</v>
      </c>
      <c r="BH187" s="2" t="s">
        <v>3635</v>
      </c>
      <c r="BI187" s="2">
        <v>15.0</v>
      </c>
      <c r="BJ187" s="2" t="s">
        <v>7611</v>
      </c>
      <c r="BK187" s="2" t="s">
        <v>3658</v>
      </c>
      <c r="BL187" s="2" t="s">
        <v>5119</v>
      </c>
      <c r="BM187" s="2" t="s">
        <v>7612</v>
      </c>
      <c r="BN187" s="2">
        <v>2.8217993E7</v>
      </c>
      <c r="BO187" s="2" t="s">
        <v>4519</v>
      </c>
      <c r="BP187" s="2" t="s">
        <v>3635</v>
      </c>
      <c r="BQ187" s="2" t="s">
        <v>3635</v>
      </c>
      <c r="BR187" s="2" t="s">
        <v>3662</v>
      </c>
      <c r="BS187" s="2" t="s">
        <v>7613</v>
      </c>
      <c r="BT187" s="2" t="str">
        <f>HYPERLINK("https%3A%2F%2Fwww.webofscience.com%2Fwos%2Fwoscc%2Ffull-record%2FWOS:000398985700005","View Full Record in Web of Science")</f>
        <v>View Full Record in Web of Science</v>
      </c>
    </row>
    <row r="188" ht="15.75" customHeight="1">
      <c r="A188" s="2" t="s">
        <v>3664</v>
      </c>
      <c r="B188" s="2" t="s">
        <v>7614</v>
      </c>
      <c r="C188" s="2" t="s">
        <v>3635</v>
      </c>
      <c r="D188" s="2" t="s">
        <v>7615</v>
      </c>
      <c r="E188" s="2" t="s">
        <v>3635</v>
      </c>
      <c r="F188" s="2" t="s">
        <v>7616</v>
      </c>
      <c r="G188" s="2" t="s">
        <v>3635</v>
      </c>
      <c r="H188" s="2" t="s">
        <v>3635</v>
      </c>
      <c r="I188" s="2" t="s">
        <v>1655</v>
      </c>
      <c r="J188" s="2" t="s">
        <v>7617</v>
      </c>
      <c r="K188" s="2" t="s">
        <v>3635</v>
      </c>
      <c r="L188" s="2" t="s">
        <v>3635</v>
      </c>
      <c r="M188" s="2" t="s">
        <v>3638</v>
      </c>
      <c r="N188" s="2" t="s">
        <v>3669</v>
      </c>
      <c r="O188" s="2" t="s">
        <v>7618</v>
      </c>
      <c r="P188" s="2" t="s">
        <v>7619</v>
      </c>
      <c r="Q188" s="2" t="s">
        <v>7620</v>
      </c>
      <c r="R188" s="2" t="s">
        <v>7621</v>
      </c>
      <c r="S188" s="2" t="s">
        <v>3635</v>
      </c>
      <c r="T188" s="2" t="s">
        <v>7622</v>
      </c>
      <c r="U188" s="2" t="s">
        <v>3635</v>
      </c>
      <c r="V188" s="2" t="s">
        <v>7623</v>
      </c>
      <c r="W188" s="2" t="s">
        <v>7624</v>
      </c>
      <c r="X188" s="2" t="s">
        <v>7625</v>
      </c>
      <c r="Y188" s="2" t="s">
        <v>7626</v>
      </c>
      <c r="Z188" s="2" t="s">
        <v>7627</v>
      </c>
      <c r="AA188" s="2" t="s">
        <v>3635</v>
      </c>
      <c r="AB188" s="2" t="s">
        <v>3635</v>
      </c>
      <c r="AC188" s="2" t="s">
        <v>3635</v>
      </c>
      <c r="AD188" s="2" t="s">
        <v>3635</v>
      </c>
      <c r="AE188" s="2" t="s">
        <v>3635</v>
      </c>
      <c r="AF188" s="2" t="s">
        <v>3635</v>
      </c>
      <c r="AG188" s="2">
        <v>9.0</v>
      </c>
      <c r="AH188" s="2">
        <v>0.0</v>
      </c>
      <c r="AI188" s="2">
        <v>0.0</v>
      </c>
      <c r="AJ188" s="2">
        <v>0.0</v>
      </c>
      <c r="AK188" s="2">
        <v>2.0</v>
      </c>
      <c r="AL188" s="2" t="s">
        <v>7628</v>
      </c>
      <c r="AM188" s="2" t="s">
        <v>7629</v>
      </c>
      <c r="AN188" s="2" t="s">
        <v>7630</v>
      </c>
      <c r="AO188" s="2" t="s">
        <v>3635</v>
      </c>
      <c r="AP188" s="2" t="s">
        <v>3635</v>
      </c>
      <c r="AQ188" s="2" t="s">
        <v>7631</v>
      </c>
      <c r="AR188" s="2" t="s">
        <v>3635</v>
      </c>
      <c r="AS188" s="2" t="s">
        <v>3635</v>
      </c>
      <c r="AT188" s="2" t="s">
        <v>3635</v>
      </c>
      <c r="AU188" s="2">
        <v>2011.0</v>
      </c>
      <c r="AV188" s="2" t="s">
        <v>3635</v>
      </c>
      <c r="AW188" s="2" t="s">
        <v>3635</v>
      </c>
      <c r="AX188" s="2" t="s">
        <v>3635</v>
      </c>
      <c r="AY188" s="2" t="s">
        <v>3635</v>
      </c>
      <c r="AZ188" s="2" t="s">
        <v>3635</v>
      </c>
      <c r="BA188" s="2" t="s">
        <v>3635</v>
      </c>
      <c r="BB188" s="2">
        <v>695.0</v>
      </c>
      <c r="BC188" s="2">
        <v>698.0</v>
      </c>
      <c r="BD188" s="2" t="s">
        <v>3635</v>
      </c>
      <c r="BE188" s="2" t="s">
        <v>3635</v>
      </c>
      <c r="BF188" s="2" t="s">
        <v>3635</v>
      </c>
      <c r="BG188" s="2" t="s">
        <v>3635</v>
      </c>
      <c r="BH188" s="2" t="s">
        <v>3635</v>
      </c>
      <c r="BI188" s="2">
        <v>4.0</v>
      </c>
      <c r="BJ188" s="2" t="s">
        <v>7632</v>
      </c>
      <c r="BK188" s="2" t="s">
        <v>3692</v>
      </c>
      <c r="BL188" s="2" t="s">
        <v>7633</v>
      </c>
      <c r="BM188" s="2" t="s">
        <v>7634</v>
      </c>
      <c r="BN188" s="2" t="s">
        <v>3635</v>
      </c>
      <c r="BO188" s="2" t="s">
        <v>3635</v>
      </c>
      <c r="BP188" s="2" t="s">
        <v>3635</v>
      </c>
      <c r="BQ188" s="2" t="s">
        <v>3635</v>
      </c>
      <c r="BR188" s="2" t="s">
        <v>3662</v>
      </c>
      <c r="BS188" s="2" t="s">
        <v>7635</v>
      </c>
      <c r="BT188" s="2" t="str">
        <f>HYPERLINK("https%3A%2F%2Fwww.webofscience.com%2Fwos%2Fwoscc%2Ffull-record%2FWOS:000393365500165","View Full Record in Web of Science")</f>
        <v>View Full Record in Web of Science</v>
      </c>
    </row>
    <row r="189" ht="15.75" customHeight="1">
      <c r="A189" s="2" t="s">
        <v>3664</v>
      </c>
      <c r="B189" s="2" t="s">
        <v>7636</v>
      </c>
      <c r="C189" s="2" t="s">
        <v>3635</v>
      </c>
      <c r="D189" s="2" t="s">
        <v>3635</v>
      </c>
      <c r="E189" s="2" t="s">
        <v>4144</v>
      </c>
      <c r="F189" s="2" t="s">
        <v>7637</v>
      </c>
      <c r="G189" s="2" t="s">
        <v>3635</v>
      </c>
      <c r="H189" s="2" t="s">
        <v>3635</v>
      </c>
      <c r="I189" s="2" t="s">
        <v>632</v>
      </c>
      <c r="J189" s="2" t="s">
        <v>7638</v>
      </c>
      <c r="K189" s="2" t="s">
        <v>7639</v>
      </c>
      <c r="L189" s="2" t="s">
        <v>3635</v>
      </c>
      <c r="M189" s="2" t="s">
        <v>3638</v>
      </c>
      <c r="N189" s="2" t="s">
        <v>3669</v>
      </c>
      <c r="O189" s="2" t="s">
        <v>7640</v>
      </c>
      <c r="P189" s="2" t="s">
        <v>7641</v>
      </c>
      <c r="Q189" s="2" t="s">
        <v>7642</v>
      </c>
      <c r="R189" s="2" t="s">
        <v>7643</v>
      </c>
      <c r="S189" s="2" t="s">
        <v>3635</v>
      </c>
      <c r="T189" s="2" t="s">
        <v>7644</v>
      </c>
      <c r="U189" s="2" t="s">
        <v>7645</v>
      </c>
      <c r="V189" s="2" t="s">
        <v>7646</v>
      </c>
      <c r="W189" s="2" t="s">
        <v>7647</v>
      </c>
      <c r="X189" s="2" t="s">
        <v>7648</v>
      </c>
      <c r="Y189" s="2" t="s">
        <v>7649</v>
      </c>
      <c r="Z189" s="2" t="s">
        <v>7650</v>
      </c>
      <c r="AA189" s="2" t="s">
        <v>7651</v>
      </c>
      <c r="AB189" s="2" t="s">
        <v>7652</v>
      </c>
      <c r="AC189" s="2" t="s">
        <v>7653</v>
      </c>
      <c r="AD189" s="2" t="s">
        <v>7654</v>
      </c>
      <c r="AE189" s="2" t="s">
        <v>7655</v>
      </c>
      <c r="AF189" s="2" t="s">
        <v>3635</v>
      </c>
      <c r="AG189" s="2">
        <v>26.0</v>
      </c>
      <c r="AH189" s="2">
        <v>0.0</v>
      </c>
      <c r="AI189" s="2">
        <v>0.0</v>
      </c>
      <c r="AJ189" s="2">
        <v>0.0</v>
      </c>
      <c r="AK189" s="2">
        <v>2.0</v>
      </c>
      <c r="AL189" s="2" t="s">
        <v>3685</v>
      </c>
      <c r="AM189" s="2" t="s">
        <v>3686</v>
      </c>
      <c r="AN189" s="2" t="s">
        <v>3687</v>
      </c>
      <c r="AO189" s="2" t="s">
        <v>7656</v>
      </c>
      <c r="AP189" s="2" t="s">
        <v>3635</v>
      </c>
      <c r="AQ189" s="2" t="s">
        <v>7657</v>
      </c>
      <c r="AR189" s="2" t="s">
        <v>7658</v>
      </c>
      <c r="AS189" s="2" t="s">
        <v>3635</v>
      </c>
      <c r="AT189" s="2" t="s">
        <v>3635</v>
      </c>
      <c r="AU189" s="2">
        <v>2021.0</v>
      </c>
      <c r="AV189" s="2" t="s">
        <v>3635</v>
      </c>
      <c r="AW189" s="2" t="s">
        <v>3635</v>
      </c>
      <c r="AX189" s="2" t="s">
        <v>3635</v>
      </c>
      <c r="AY189" s="2" t="s">
        <v>3635</v>
      </c>
      <c r="AZ189" s="2" t="s">
        <v>3635</v>
      </c>
      <c r="BA189" s="2" t="s">
        <v>3635</v>
      </c>
      <c r="BB189" s="2">
        <v>33.0</v>
      </c>
      <c r="BC189" s="2">
        <v>39.0</v>
      </c>
      <c r="BD189" s="2" t="s">
        <v>3635</v>
      </c>
      <c r="BE189" s="2" t="s">
        <v>635</v>
      </c>
      <c r="BF189" s="3" t="str">
        <f>HYPERLINK("http://dx.doi.org/10.1109/ISSREW53611.2021.00041","http://dx.doi.org/10.1109/ISSREW53611.2021.00041")</f>
        <v>http://dx.doi.org/10.1109/ISSREW53611.2021.00041</v>
      </c>
      <c r="BG189" s="2" t="s">
        <v>3635</v>
      </c>
      <c r="BH189" s="2" t="s">
        <v>3635</v>
      </c>
      <c r="BI189" s="2">
        <v>7.0</v>
      </c>
      <c r="BJ189" s="2" t="s">
        <v>3943</v>
      </c>
      <c r="BK189" s="2" t="s">
        <v>3692</v>
      </c>
      <c r="BL189" s="2" t="s">
        <v>3944</v>
      </c>
      <c r="BM189" s="2" t="s">
        <v>7659</v>
      </c>
      <c r="BN189" s="2" t="s">
        <v>3635</v>
      </c>
      <c r="BO189" s="2" t="s">
        <v>3635</v>
      </c>
      <c r="BP189" s="2" t="s">
        <v>3635</v>
      </c>
      <c r="BQ189" s="2" t="s">
        <v>3635</v>
      </c>
      <c r="BR189" s="2" t="s">
        <v>3662</v>
      </c>
      <c r="BS189" s="2" t="s">
        <v>7660</v>
      </c>
      <c r="BT189" s="2" t="str">
        <f>HYPERLINK("https%3A%2F%2Fwww.webofscience.com%2Fwos%2Fwoscc%2Ffull-record%2FWOS:000802172100005","View Full Record in Web of Science")</f>
        <v>View Full Record in Web of Science</v>
      </c>
    </row>
    <row r="190" ht="15.75" customHeight="1">
      <c r="A190" s="2" t="s">
        <v>3664</v>
      </c>
      <c r="B190" s="2" t="s">
        <v>7661</v>
      </c>
      <c r="C190" s="2" t="s">
        <v>3635</v>
      </c>
      <c r="D190" s="2" t="s">
        <v>3635</v>
      </c>
      <c r="E190" s="2" t="s">
        <v>3635</v>
      </c>
      <c r="F190" s="2" t="s">
        <v>7662</v>
      </c>
      <c r="G190" s="2" t="s">
        <v>3635</v>
      </c>
      <c r="H190" s="2" t="s">
        <v>3635</v>
      </c>
      <c r="I190" s="2" t="s">
        <v>7663</v>
      </c>
      <c r="J190" s="2" t="s">
        <v>7664</v>
      </c>
      <c r="K190" s="2" t="s">
        <v>3635</v>
      </c>
      <c r="L190" s="2" t="s">
        <v>3635</v>
      </c>
      <c r="M190" s="2" t="s">
        <v>3638</v>
      </c>
      <c r="N190" s="2" t="s">
        <v>3669</v>
      </c>
      <c r="O190" s="2" t="s">
        <v>7665</v>
      </c>
      <c r="P190" s="2" t="s">
        <v>7666</v>
      </c>
      <c r="Q190" s="2" t="s">
        <v>7667</v>
      </c>
      <c r="R190" s="2" t="s">
        <v>3635</v>
      </c>
      <c r="S190" s="2" t="s">
        <v>3635</v>
      </c>
      <c r="T190" s="2" t="s">
        <v>7668</v>
      </c>
      <c r="U190" s="2" t="s">
        <v>3635</v>
      </c>
      <c r="V190" s="2" t="s">
        <v>7669</v>
      </c>
      <c r="W190" s="2" t="s">
        <v>7670</v>
      </c>
      <c r="X190" s="2" t="s">
        <v>7671</v>
      </c>
      <c r="Y190" s="2" t="s">
        <v>7672</v>
      </c>
      <c r="Z190" s="2" t="s">
        <v>3635</v>
      </c>
      <c r="AA190" s="2" t="s">
        <v>7673</v>
      </c>
      <c r="AB190" s="2" t="s">
        <v>3635</v>
      </c>
      <c r="AC190" s="2" t="s">
        <v>3635</v>
      </c>
      <c r="AD190" s="2" t="s">
        <v>3635</v>
      </c>
      <c r="AE190" s="2" t="s">
        <v>3635</v>
      </c>
      <c r="AF190" s="2" t="s">
        <v>3635</v>
      </c>
      <c r="AG190" s="2">
        <v>17.0</v>
      </c>
      <c r="AH190" s="2">
        <v>1.0</v>
      </c>
      <c r="AI190" s="2">
        <v>1.0</v>
      </c>
      <c r="AJ190" s="2">
        <v>2.0</v>
      </c>
      <c r="AK190" s="2">
        <v>6.0</v>
      </c>
      <c r="AL190" s="2" t="s">
        <v>7674</v>
      </c>
      <c r="AM190" s="2" t="s">
        <v>7675</v>
      </c>
      <c r="AN190" s="2" t="s">
        <v>7676</v>
      </c>
      <c r="AO190" s="2" t="s">
        <v>7677</v>
      </c>
      <c r="AP190" s="2" t="s">
        <v>7678</v>
      </c>
      <c r="AQ190" s="2" t="s">
        <v>3635</v>
      </c>
      <c r="AR190" s="2" t="s">
        <v>7679</v>
      </c>
      <c r="AS190" s="2" t="s">
        <v>7680</v>
      </c>
      <c r="AT190" s="2" t="s">
        <v>5486</v>
      </c>
      <c r="AU190" s="2">
        <v>2017.0</v>
      </c>
      <c r="AV190" s="2">
        <v>23.0</v>
      </c>
      <c r="AW190" s="2">
        <v>8.0</v>
      </c>
      <c r="AX190" s="2" t="s">
        <v>3635</v>
      </c>
      <c r="AY190" s="2" t="s">
        <v>3635</v>
      </c>
      <c r="AZ190" s="2" t="s">
        <v>3635</v>
      </c>
      <c r="BA190" s="2" t="s">
        <v>3635</v>
      </c>
      <c r="BB190" s="2">
        <v>7874.0</v>
      </c>
      <c r="BC190" s="2">
        <v>7877.0</v>
      </c>
      <c r="BD190" s="2" t="s">
        <v>3635</v>
      </c>
      <c r="BE190" s="2" t="s">
        <v>1168</v>
      </c>
      <c r="BF190" s="3" t="str">
        <f>HYPERLINK("http://dx.doi.org/10.1166/asl.2017.9598","http://dx.doi.org/10.1166/asl.2017.9598")</f>
        <v>http://dx.doi.org/10.1166/asl.2017.9598</v>
      </c>
      <c r="BG190" s="2" t="s">
        <v>3635</v>
      </c>
      <c r="BH190" s="2" t="s">
        <v>3635</v>
      </c>
      <c r="BI190" s="2">
        <v>4.0</v>
      </c>
      <c r="BJ190" s="2" t="s">
        <v>4319</v>
      </c>
      <c r="BK190" s="2" t="s">
        <v>3692</v>
      </c>
      <c r="BL190" s="2" t="s">
        <v>4320</v>
      </c>
      <c r="BM190" s="2" t="s">
        <v>7681</v>
      </c>
      <c r="BN190" s="2" t="s">
        <v>3635</v>
      </c>
      <c r="BO190" s="2" t="s">
        <v>4201</v>
      </c>
      <c r="BP190" s="2" t="s">
        <v>3635</v>
      </c>
      <c r="BQ190" s="2" t="s">
        <v>3635</v>
      </c>
      <c r="BR190" s="2" t="s">
        <v>3662</v>
      </c>
      <c r="BS190" s="2" t="s">
        <v>7682</v>
      </c>
      <c r="BT190" s="2" t="str">
        <f>HYPERLINK("https%3A%2F%2Fwww.webofscience.com%2Fwos%2Fwoscc%2Ffull-record%2FWOS:000431498300215","View Full Record in Web of Science")</f>
        <v>View Full Record in Web of Science</v>
      </c>
    </row>
    <row r="191" ht="15.75" customHeight="1">
      <c r="A191" s="2" t="s">
        <v>3633</v>
      </c>
      <c r="B191" s="2" t="s">
        <v>7683</v>
      </c>
      <c r="C191" s="2" t="s">
        <v>3635</v>
      </c>
      <c r="D191" s="2" t="s">
        <v>3635</v>
      </c>
      <c r="E191" s="2" t="s">
        <v>3635</v>
      </c>
      <c r="F191" s="2" t="s">
        <v>7683</v>
      </c>
      <c r="G191" s="2" t="s">
        <v>3635</v>
      </c>
      <c r="H191" s="2" t="s">
        <v>3635</v>
      </c>
      <c r="I191" s="2" t="s">
        <v>1881</v>
      </c>
      <c r="J191" s="2" t="s">
        <v>7684</v>
      </c>
      <c r="K191" s="2" t="s">
        <v>3635</v>
      </c>
      <c r="L191" s="2" t="s">
        <v>3635</v>
      </c>
      <c r="M191" s="2" t="s">
        <v>3638</v>
      </c>
      <c r="N191" s="2" t="s">
        <v>21</v>
      </c>
      <c r="O191" s="2" t="s">
        <v>3635</v>
      </c>
      <c r="P191" s="2" t="s">
        <v>3635</v>
      </c>
      <c r="Q191" s="2" t="s">
        <v>3635</v>
      </c>
      <c r="R191" s="2" t="s">
        <v>3635</v>
      </c>
      <c r="S191" s="2" t="s">
        <v>3635</v>
      </c>
      <c r="T191" s="2" t="s">
        <v>7685</v>
      </c>
      <c r="U191" s="2" t="s">
        <v>3635</v>
      </c>
      <c r="V191" s="2" t="s">
        <v>7686</v>
      </c>
      <c r="W191" s="2" t="s">
        <v>7687</v>
      </c>
      <c r="X191" s="2" t="s">
        <v>7688</v>
      </c>
      <c r="Y191" s="2" t="s">
        <v>7689</v>
      </c>
      <c r="Z191" s="2" t="s">
        <v>3635</v>
      </c>
      <c r="AA191" s="2" t="s">
        <v>3635</v>
      </c>
      <c r="AB191" s="2" t="s">
        <v>7690</v>
      </c>
      <c r="AC191" s="2" t="s">
        <v>3635</v>
      </c>
      <c r="AD191" s="2" t="s">
        <v>3635</v>
      </c>
      <c r="AE191" s="2" t="s">
        <v>3635</v>
      </c>
      <c r="AF191" s="2" t="s">
        <v>3635</v>
      </c>
      <c r="AG191" s="2">
        <v>23.0</v>
      </c>
      <c r="AH191" s="2">
        <v>52.0</v>
      </c>
      <c r="AI191" s="2">
        <v>64.0</v>
      </c>
      <c r="AJ191" s="2">
        <v>0.0</v>
      </c>
      <c r="AK191" s="2">
        <v>5.0</v>
      </c>
      <c r="AL191" s="2" t="s">
        <v>3784</v>
      </c>
      <c r="AM191" s="2" t="s">
        <v>3651</v>
      </c>
      <c r="AN191" s="2" t="s">
        <v>7691</v>
      </c>
      <c r="AO191" s="2" t="s">
        <v>7692</v>
      </c>
      <c r="AP191" s="2" t="s">
        <v>3635</v>
      </c>
      <c r="AQ191" s="2" t="s">
        <v>3635</v>
      </c>
      <c r="AR191" s="2" t="s">
        <v>7693</v>
      </c>
      <c r="AS191" s="2" t="s">
        <v>7694</v>
      </c>
      <c r="AT191" s="2" t="s">
        <v>4650</v>
      </c>
      <c r="AU191" s="2">
        <v>1999.0</v>
      </c>
      <c r="AV191" s="2">
        <v>7.0</v>
      </c>
      <c r="AW191" s="2">
        <v>3.0</v>
      </c>
      <c r="AX191" s="2" t="s">
        <v>3635</v>
      </c>
      <c r="AY191" s="2" t="s">
        <v>3635</v>
      </c>
      <c r="AZ191" s="2" t="s">
        <v>3635</v>
      </c>
      <c r="BA191" s="2" t="s">
        <v>3635</v>
      </c>
      <c r="BB191" s="2">
        <v>352.0</v>
      </c>
      <c r="BC191" s="2">
        <v>362.0</v>
      </c>
      <c r="BD191" s="2" t="s">
        <v>3635</v>
      </c>
      <c r="BE191" s="2" t="s">
        <v>1884</v>
      </c>
      <c r="BF191" s="3" t="str">
        <f>HYPERLINK("http://dx.doi.org/10.1109/87.761055","http://dx.doi.org/10.1109/87.761055")</f>
        <v>http://dx.doi.org/10.1109/87.761055</v>
      </c>
      <c r="BG191" s="2" t="s">
        <v>3635</v>
      </c>
      <c r="BH191" s="2" t="s">
        <v>3635</v>
      </c>
      <c r="BI191" s="2">
        <v>11.0</v>
      </c>
      <c r="BJ191" s="2" t="s">
        <v>6064</v>
      </c>
      <c r="BK191" s="2" t="s">
        <v>3658</v>
      </c>
      <c r="BL191" s="2" t="s">
        <v>6065</v>
      </c>
      <c r="BM191" s="2" t="s">
        <v>7695</v>
      </c>
      <c r="BN191" s="2" t="s">
        <v>3635</v>
      </c>
      <c r="BO191" s="2" t="s">
        <v>3635</v>
      </c>
      <c r="BP191" s="2" t="s">
        <v>3635</v>
      </c>
      <c r="BQ191" s="2" t="s">
        <v>3635</v>
      </c>
      <c r="BR191" s="2" t="s">
        <v>3662</v>
      </c>
      <c r="BS191" s="2" t="s">
        <v>7696</v>
      </c>
      <c r="BT191" s="2" t="str">
        <f>HYPERLINK("https%3A%2F%2Fwww.webofscience.com%2Fwos%2Fwoscc%2Ffull-record%2FWOS:000080017000006","View Full Record in Web of Science")</f>
        <v>View Full Record in Web of Science</v>
      </c>
    </row>
    <row r="192" ht="15.75" customHeight="1">
      <c r="A192" s="2" t="s">
        <v>3633</v>
      </c>
      <c r="B192" s="2" t="s">
        <v>7697</v>
      </c>
      <c r="C192" s="2" t="s">
        <v>3635</v>
      </c>
      <c r="D192" s="2" t="s">
        <v>3635</v>
      </c>
      <c r="E192" s="2" t="s">
        <v>3635</v>
      </c>
      <c r="F192" s="2" t="s">
        <v>7698</v>
      </c>
      <c r="G192" s="2" t="s">
        <v>3635</v>
      </c>
      <c r="H192" s="2" t="s">
        <v>3635</v>
      </c>
      <c r="I192" s="2" t="s">
        <v>7699</v>
      </c>
      <c r="J192" s="2" t="s">
        <v>7700</v>
      </c>
      <c r="K192" s="2" t="s">
        <v>3635</v>
      </c>
      <c r="L192" s="2" t="s">
        <v>3635</v>
      </c>
      <c r="M192" s="2" t="s">
        <v>3638</v>
      </c>
      <c r="N192" s="2" t="s">
        <v>21</v>
      </c>
      <c r="O192" s="2" t="s">
        <v>3635</v>
      </c>
      <c r="P192" s="2" t="s">
        <v>3635</v>
      </c>
      <c r="Q192" s="2" t="s">
        <v>3635</v>
      </c>
      <c r="R192" s="2" t="s">
        <v>3635</v>
      </c>
      <c r="S192" s="2" t="s">
        <v>3635</v>
      </c>
      <c r="T192" s="2" t="s">
        <v>7701</v>
      </c>
      <c r="U192" s="2" t="s">
        <v>3635</v>
      </c>
      <c r="V192" s="2" t="s">
        <v>7702</v>
      </c>
      <c r="W192" s="2" t="s">
        <v>7703</v>
      </c>
      <c r="X192" s="2" t="s">
        <v>7704</v>
      </c>
      <c r="Y192" s="2" t="s">
        <v>7705</v>
      </c>
      <c r="Z192" s="2" t="s">
        <v>7706</v>
      </c>
      <c r="AA192" s="2" t="s">
        <v>3635</v>
      </c>
      <c r="AB192" s="2" t="s">
        <v>3635</v>
      </c>
      <c r="AC192" s="2" t="s">
        <v>7707</v>
      </c>
      <c r="AD192" s="2" t="s">
        <v>7708</v>
      </c>
      <c r="AE192" s="2" t="s">
        <v>7709</v>
      </c>
      <c r="AF192" s="2" t="s">
        <v>3635</v>
      </c>
      <c r="AG192" s="2">
        <v>11.0</v>
      </c>
      <c r="AH192" s="2">
        <v>6.0</v>
      </c>
      <c r="AI192" s="2">
        <v>7.0</v>
      </c>
      <c r="AJ192" s="2">
        <v>0.0</v>
      </c>
      <c r="AK192" s="2">
        <v>4.0</v>
      </c>
      <c r="AL192" s="2" t="s">
        <v>5480</v>
      </c>
      <c r="AM192" s="2" t="s">
        <v>3915</v>
      </c>
      <c r="AN192" s="2" t="s">
        <v>5481</v>
      </c>
      <c r="AO192" s="2" t="s">
        <v>7710</v>
      </c>
      <c r="AP192" s="2" t="s">
        <v>3635</v>
      </c>
      <c r="AQ192" s="2" t="s">
        <v>3635</v>
      </c>
      <c r="AR192" s="2" t="s">
        <v>7711</v>
      </c>
      <c r="AS192" s="2" t="s">
        <v>7712</v>
      </c>
      <c r="AT192" s="2" t="s">
        <v>5143</v>
      </c>
      <c r="AU192" s="2">
        <v>2012.0</v>
      </c>
      <c r="AV192" s="2">
        <v>86.0</v>
      </c>
      <c r="AW192" s="2">
        <v>10.0</v>
      </c>
      <c r="AX192" s="2" t="s">
        <v>3635</v>
      </c>
      <c r="AY192" s="2" t="s">
        <v>3635</v>
      </c>
      <c r="AZ192" s="2" t="s">
        <v>3635</v>
      </c>
      <c r="BA192" s="2" t="s">
        <v>3635</v>
      </c>
      <c r="BB192" s="2">
        <v>2996.0</v>
      </c>
      <c r="BC192" s="2">
        <v>3003.0</v>
      </c>
      <c r="BD192" s="2" t="s">
        <v>3635</v>
      </c>
      <c r="BE192" s="2" t="s">
        <v>7713</v>
      </c>
      <c r="BF192" s="3" t="str">
        <f>HYPERLINK("http://dx.doi.org/10.1016/j.solener.2012.07.007","http://dx.doi.org/10.1016/j.solener.2012.07.007")</f>
        <v>http://dx.doi.org/10.1016/j.solener.2012.07.007</v>
      </c>
      <c r="BG192" s="2" t="s">
        <v>3635</v>
      </c>
      <c r="BH192" s="2" t="s">
        <v>3635</v>
      </c>
      <c r="BI192" s="2">
        <v>8.0</v>
      </c>
      <c r="BJ192" s="2" t="s">
        <v>7714</v>
      </c>
      <c r="BK192" s="2" t="s">
        <v>3658</v>
      </c>
      <c r="BL192" s="2" t="s">
        <v>7714</v>
      </c>
      <c r="BM192" s="2" t="s">
        <v>7715</v>
      </c>
      <c r="BN192" s="2" t="s">
        <v>3635</v>
      </c>
      <c r="BO192" s="2" t="s">
        <v>3635</v>
      </c>
      <c r="BP192" s="2" t="s">
        <v>3635</v>
      </c>
      <c r="BQ192" s="2" t="s">
        <v>3635</v>
      </c>
      <c r="BR192" s="2" t="s">
        <v>3662</v>
      </c>
      <c r="BS192" s="2" t="s">
        <v>7716</v>
      </c>
      <c r="BT192" s="2" t="str">
        <f>HYPERLINK("https%3A%2F%2Fwww.webofscience.com%2Fwos%2Fwoscc%2Ffull-record%2FWOS:000309306300010","View Full Record in Web of Science")</f>
        <v>View Full Record in Web of Science</v>
      </c>
    </row>
    <row r="193" ht="15.75" customHeight="1">
      <c r="A193" s="2" t="s">
        <v>3633</v>
      </c>
      <c r="B193" s="2" t="s">
        <v>7717</v>
      </c>
      <c r="C193" s="2" t="s">
        <v>3635</v>
      </c>
      <c r="D193" s="2" t="s">
        <v>3635</v>
      </c>
      <c r="E193" s="2" t="s">
        <v>3635</v>
      </c>
      <c r="F193" s="2" t="s">
        <v>7718</v>
      </c>
      <c r="G193" s="2" t="s">
        <v>3635</v>
      </c>
      <c r="H193" s="2" t="s">
        <v>3635</v>
      </c>
      <c r="I193" s="2" t="s">
        <v>7719</v>
      </c>
      <c r="J193" s="2" t="s">
        <v>7720</v>
      </c>
      <c r="K193" s="2" t="s">
        <v>3635</v>
      </c>
      <c r="L193" s="2" t="s">
        <v>3635</v>
      </c>
      <c r="M193" s="2" t="s">
        <v>3638</v>
      </c>
      <c r="N193" s="2" t="s">
        <v>21</v>
      </c>
      <c r="O193" s="2" t="s">
        <v>3635</v>
      </c>
      <c r="P193" s="2" t="s">
        <v>3635</v>
      </c>
      <c r="Q193" s="2" t="s">
        <v>3635</v>
      </c>
      <c r="R193" s="2" t="s">
        <v>3635</v>
      </c>
      <c r="S193" s="2" t="s">
        <v>3635</v>
      </c>
      <c r="T193" s="2" t="s">
        <v>7721</v>
      </c>
      <c r="U193" s="2" t="s">
        <v>7722</v>
      </c>
      <c r="V193" s="2" t="s">
        <v>7723</v>
      </c>
      <c r="W193" s="2" t="s">
        <v>7724</v>
      </c>
      <c r="X193" s="2" t="s">
        <v>3635</v>
      </c>
      <c r="Y193" s="2" t="s">
        <v>7725</v>
      </c>
      <c r="Z193" s="2" t="s">
        <v>7726</v>
      </c>
      <c r="AA193" s="2" t="s">
        <v>7727</v>
      </c>
      <c r="AB193" s="2" t="s">
        <v>7728</v>
      </c>
      <c r="AC193" s="2" t="s">
        <v>3635</v>
      </c>
      <c r="AD193" s="2" t="s">
        <v>3635</v>
      </c>
      <c r="AE193" s="2" t="s">
        <v>3635</v>
      </c>
      <c r="AF193" s="2" t="s">
        <v>3635</v>
      </c>
      <c r="AG193" s="2">
        <v>61.0</v>
      </c>
      <c r="AH193" s="2">
        <v>5.0</v>
      </c>
      <c r="AI193" s="2">
        <v>5.0</v>
      </c>
      <c r="AJ193" s="2">
        <v>3.0</v>
      </c>
      <c r="AK193" s="2">
        <v>23.0</v>
      </c>
      <c r="AL193" s="2" t="s">
        <v>7729</v>
      </c>
      <c r="AM193" s="2" t="s">
        <v>7730</v>
      </c>
      <c r="AN193" s="2" t="s">
        <v>7731</v>
      </c>
      <c r="AO193" s="2" t="s">
        <v>7732</v>
      </c>
      <c r="AP193" s="2" t="s">
        <v>7733</v>
      </c>
      <c r="AQ193" s="2" t="s">
        <v>3635</v>
      </c>
      <c r="AR193" s="2" t="s">
        <v>7734</v>
      </c>
      <c r="AS193" s="2" t="s">
        <v>7735</v>
      </c>
      <c r="AT193" s="2" t="s">
        <v>3953</v>
      </c>
      <c r="AU193" s="2">
        <v>2020.0</v>
      </c>
      <c r="AV193" s="2">
        <v>7.0</v>
      </c>
      <c r="AW193" s="2">
        <v>11.0</v>
      </c>
      <c r="AX193" s="2" t="s">
        <v>3635</v>
      </c>
      <c r="AY193" s="2" t="s">
        <v>3635</v>
      </c>
      <c r="AZ193" s="2" t="s">
        <v>3635</v>
      </c>
      <c r="BA193" s="2" t="s">
        <v>3635</v>
      </c>
      <c r="BB193" s="2">
        <v>1021.0</v>
      </c>
      <c r="BC193" s="2">
        <v>1031.0</v>
      </c>
      <c r="BD193" s="2" t="s">
        <v>3635</v>
      </c>
      <c r="BE193" s="2" t="s">
        <v>7736</v>
      </c>
      <c r="BF193" s="3" t="str">
        <f>HYPERLINK("http://dx.doi.org/10.13106/jafeb.2020.vol7.no11.1021","http://dx.doi.org/10.13106/jafeb.2020.vol7.no11.1021")</f>
        <v>http://dx.doi.org/10.13106/jafeb.2020.vol7.no11.1021</v>
      </c>
      <c r="BG193" s="2" t="s">
        <v>3635</v>
      </c>
      <c r="BH193" s="2" t="s">
        <v>3635</v>
      </c>
      <c r="BI193" s="2">
        <v>11.0</v>
      </c>
      <c r="BJ193" s="2" t="s">
        <v>6545</v>
      </c>
      <c r="BK193" s="2" t="s">
        <v>3993</v>
      </c>
      <c r="BL193" s="2" t="s">
        <v>3994</v>
      </c>
      <c r="BM193" s="2" t="s">
        <v>7737</v>
      </c>
      <c r="BN193" s="2" t="s">
        <v>3635</v>
      </c>
      <c r="BO193" s="2" t="s">
        <v>4115</v>
      </c>
      <c r="BP193" s="2" t="s">
        <v>3635</v>
      </c>
      <c r="BQ193" s="2" t="s">
        <v>3635</v>
      </c>
      <c r="BR193" s="2" t="s">
        <v>3662</v>
      </c>
      <c r="BS193" s="2" t="s">
        <v>7738</v>
      </c>
      <c r="BT193" s="2" t="str">
        <f>HYPERLINK("https%3A%2F%2Fwww.webofscience.com%2Fwos%2Fwoscc%2Ffull-record%2FWOS:000587571600102","View Full Record in Web of Science")</f>
        <v>View Full Record in Web of Science</v>
      </c>
    </row>
    <row r="194" ht="15.75" customHeight="1">
      <c r="A194" s="2" t="s">
        <v>3664</v>
      </c>
      <c r="B194" s="2" t="s">
        <v>7739</v>
      </c>
      <c r="C194" s="2" t="s">
        <v>3635</v>
      </c>
      <c r="D194" s="2" t="s">
        <v>3635</v>
      </c>
      <c r="E194" s="2" t="s">
        <v>1974</v>
      </c>
      <c r="F194" s="2" t="s">
        <v>7740</v>
      </c>
      <c r="G194" s="2" t="s">
        <v>3635</v>
      </c>
      <c r="H194" s="2" t="s">
        <v>3635</v>
      </c>
      <c r="I194" s="2" t="s">
        <v>7741</v>
      </c>
      <c r="J194" s="2" t="s">
        <v>7742</v>
      </c>
      <c r="K194" s="2" t="s">
        <v>7743</v>
      </c>
      <c r="L194" s="2" t="s">
        <v>3635</v>
      </c>
      <c r="M194" s="2" t="s">
        <v>3638</v>
      </c>
      <c r="N194" s="2" t="s">
        <v>3669</v>
      </c>
      <c r="O194" s="2" t="s">
        <v>7744</v>
      </c>
      <c r="P194" s="2" t="s">
        <v>7745</v>
      </c>
      <c r="Q194" s="2" t="s">
        <v>7746</v>
      </c>
      <c r="R194" s="2" t="s">
        <v>3635</v>
      </c>
      <c r="S194" s="2" t="s">
        <v>3635</v>
      </c>
      <c r="T194" s="2" t="s">
        <v>7747</v>
      </c>
      <c r="U194" s="2" t="s">
        <v>3635</v>
      </c>
      <c r="V194" s="2" t="s">
        <v>7748</v>
      </c>
      <c r="W194" s="2" t="s">
        <v>7749</v>
      </c>
      <c r="X194" s="2" t="s">
        <v>3635</v>
      </c>
      <c r="Y194" s="2" t="s">
        <v>7750</v>
      </c>
      <c r="Z194" s="2" t="s">
        <v>7751</v>
      </c>
      <c r="AA194" s="2" t="s">
        <v>3635</v>
      </c>
      <c r="AB194" s="2" t="s">
        <v>7752</v>
      </c>
      <c r="AC194" s="2" t="s">
        <v>3635</v>
      </c>
      <c r="AD194" s="2" t="s">
        <v>3635</v>
      </c>
      <c r="AE194" s="2" t="s">
        <v>3635</v>
      </c>
      <c r="AF194" s="2" t="s">
        <v>3635</v>
      </c>
      <c r="AG194" s="2">
        <v>9.0</v>
      </c>
      <c r="AH194" s="2">
        <v>0.0</v>
      </c>
      <c r="AI194" s="2">
        <v>0.0</v>
      </c>
      <c r="AJ194" s="2">
        <v>0.0</v>
      </c>
      <c r="AK194" s="2">
        <v>0.0</v>
      </c>
      <c r="AL194" s="2" t="s">
        <v>1974</v>
      </c>
      <c r="AM194" s="2" t="s">
        <v>3651</v>
      </c>
      <c r="AN194" s="2" t="s">
        <v>3762</v>
      </c>
      <c r="AO194" s="2" t="s">
        <v>7753</v>
      </c>
      <c r="AP194" s="2" t="s">
        <v>7754</v>
      </c>
      <c r="AQ194" s="2" t="s">
        <v>7755</v>
      </c>
      <c r="AR194" s="2" t="s">
        <v>7756</v>
      </c>
      <c r="AS194" s="2" t="s">
        <v>3635</v>
      </c>
      <c r="AT194" s="2" t="s">
        <v>3635</v>
      </c>
      <c r="AU194" s="2">
        <v>2019.0</v>
      </c>
      <c r="AV194" s="2" t="s">
        <v>3635</v>
      </c>
      <c r="AW194" s="2" t="s">
        <v>3635</v>
      </c>
      <c r="AX194" s="2" t="s">
        <v>3635</v>
      </c>
      <c r="AY194" s="2" t="s">
        <v>3635</v>
      </c>
      <c r="AZ194" s="2" t="s">
        <v>3635</v>
      </c>
      <c r="BA194" s="2" t="s">
        <v>3635</v>
      </c>
      <c r="BB194" s="2" t="s">
        <v>3635</v>
      </c>
      <c r="BC194" s="2" t="s">
        <v>3635</v>
      </c>
      <c r="BD194" s="2" t="s">
        <v>3635</v>
      </c>
      <c r="BE194" s="2" t="s">
        <v>7757</v>
      </c>
      <c r="BF194" s="3" t="str">
        <f>HYPERLINK("http://dx.doi.org/10.1109/icecco48375.2019.9043217","http://dx.doi.org/10.1109/icecco48375.2019.9043217")</f>
        <v>http://dx.doi.org/10.1109/icecco48375.2019.9043217</v>
      </c>
      <c r="BG194" s="2" t="s">
        <v>3635</v>
      </c>
      <c r="BH194" s="2" t="s">
        <v>3635</v>
      </c>
      <c r="BI194" s="2">
        <v>6.0</v>
      </c>
      <c r="BJ194" s="2" t="s">
        <v>4586</v>
      </c>
      <c r="BK194" s="2" t="s">
        <v>3692</v>
      </c>
      <c r="BL194" s="2" t="s">
        <v>3944</v>
      </c>
      <c r="BM194" s="2" t="s">
        <v>7758</v>
      </c>
      <c r="BN194" s="2" t="s">
        <v>3635</v>
      </c>
      <c r="BO194" s="2" t="s">
        <v>3635</v>
      </c>
      <c r="BP194" s="2" t="s">
        <v>3635</v>
      </c>
      <c r="BQ194" s="2" t="s">
        <v>3635</v>
      </c>
      <c r="BR194" s="2" t="s">
        <v>3662</v>
      </c>
      <c r="BS194" s="2" t="s">
        <v>7759</v>
      </c>
      <c r="BT194" s="2" t="str">
        <f>HYPERLINK("https%3A%2F%2Fwww.webofscience.com%2Fwos%2Fwoscc%2Ffull-record%2FWOS:000565653600036","View Full Record in Web of Science")</f>
        <v>View Full Record in Web of Science</v>
      </c>
    </row>
    <row r="195" ht="15.75" customHeight="1">
      <c r="A195" s="2" t="s">
        <v>3633</v>
      </c>
      <c r="B195" s="2" t="s">
        <v>7760</v>
      </c>
      <c r="C195" s="2" t="s">
        <v>3635</v>
      </c>
      <c r="D195" s="2" t="s">
        <v>3635</v>
      </c>
      <c r="E195" s="2" t="s">
        <v>3635</v>
      </c>
      <c r="F195" s="2" t="s">
        <v>7761</v>
      </c>
      <c r="G195" s="2" t="s">
        <v>3635</v>
      </c>
      <c r="H195" s="2" t="s">
        <v>3635</v>
      </c>
      <c r="I195" s="2" t="s">
        <v>99</v>
      </c>
      <c r="J195" s="2" t="s">
        <v>7762</v>
      </c>
      <c r="K195" s="2" t="s">
        <v>3635</v>
      </c>
      <c r="L195" s="2" t="s">
        <v>3635</v>
      </c>
      <c r="M195" s="2" t="s">
        <v>3638</v>
      </c>
      <c r="N195" s="2" t="s">
        <v>21</v>
      </c>
      <c r="O195" s="2" t="s">
        <v>3635</v>
      </c>
      <c r="P195" s="2" t="s">
        <v>3635</v>
      </c>
      <c r="Q195" s="2" t="s">
        <v>3635</v>
      </c>
      <c r="R195" s="2" t="s">
        <v>3635</v>
      </c>
      <c r="S195" s="2" t="s">
        <v>3635</v>
      </c>
      <c r="T195" s="2" t="s">
        <v>7763</v>
      </c>
      <c r="U195" s="2" t="s">
        <v>7764</v>
      </c>
      <c r="V195" s="2" t="s">
        <v>7765</v>
      </c>
      <c r="W195" s="2" t="s">
        <v>7766</v>
      </c>
      <c r="X195" s="2" t="s">
        <v>7767</v>
      </c>
      <c r="Y195" s="2" t="s">
        <v>7768</v>
      </c>
      <c r="Z195" s="2" t="s">
        <v>7769</v>
      </c>
      <c r="AA195" s="2" t="s">
        <v>7770</v>
      </c>
      <c r="AB195" s="2" t="s">
        <v>7771</v>
      </c>
      <c r="AC195" s="2" t="s">
        <v>7772</v>
      </c>
      <c r="AD195" s="2" t="s">
        <v>4102</v>
      </c>
      <c r="AE195" s="2" t="s">
        <v>7773</v>
      </c>
      <c r="AF195" s="2" t="s">
        <v>3635</v>
      </c>
      <c r="AG195" s="2">
        <v>50.0</v>
      </c>
      <c r="AH195" s="2">
        <v>3.0</v>
      </c>
      <c r="AI195" s="2">
        <v>3.0</v>
      </c>
      <c r="AJ195" s="2">
        <v>13.0</v>
      </c>
      <c r="AK195" s="2">
        <v>39.0</v>
      </c>
      <c r="AL195" s="2" t="s">
        <v>3784</v>
      </c>
      <c r="AM195" s="2" t="s">
        <v>3785</v>
      </c>
      <c r="AN195" s="2" t="s">
        <v>3786</v>
      </c>
      <c r="AO195" s="2" t="s">
        <v>7774</v>
      </c>
      <c r="AP195" s="2" t="s">
        <v>7775</v>
      </c>
      <c r="AQ195" s="2" t="s">
        <v>3635</v>
      </c>
      <c r="AR195" s="2" t="s">
        <v>7776</v>
      </c>
      <c r="AS195" s="2" t="s">
        <v>7777</v>
      </c>
      <c r="AT195" s="2" t="s">
        <v>3635</v>
      </c>
      <c r="AU195" s="2">
        <v>2023.0</v>
      </c>
      <c r="AV195" s="2">
        <v>31.0</v>
      </c>
      <c r="AW195" s="2" t="s">
        <v>3635</v>
      </c>
      <c r="AX195" s="2" t="s">
        <v>3635</v>
      </c>
      <c r="AY195" s="2" t="s">
        <v>3635</v>
      </c>
      <c r="AZ195" s="2" t="s">
        <v>3635</v>
      </c>
      <c r="BA195" s="2" t="s">
        <v>3635</v>
      </c>
      <c r="BB195" s="2">
        <v>2060.0</v>
      </c>
      <c r="BC195" s="2">
        <v>2068.0</v>
      </c>
      <c r="BD195" s="2" t="s">
        <v>3635</v>
      </c>
      <c r="BE195" s="2" t="s">
        <v>102</v>
      </c>
      <c r="BF195" s="3" t="str">
        <f>HYPERLINK("http://dx.doi.org/10.1109/TNSRE.2023.3265378","http://dx.doi.org/10.1109/TNSRE.2023.3265378")</f>
        <v>http://dx.doi.org/10.1109/TNSRE.2023.3265378</v>
      </c>
      <c r="BG195" s="2" t="s">
        <v>3635</v>
      </c>
      <c r="BH195" s="2" t="s">
        <v>3635</v>
      </c>
      <c r="BI195" s="2">
        <v>9.0</v>
      </c>
      <c r="BJ195" s="2" t="s">
        <v>7778</v>
      </c>
      <c r="BK195" s="2" t="s">
        <v>3658</v>
      </c>
      <c r="BL195" s="2" t="s">
        <v>7779</v>
      </c>
      <c r="BM195" s="2" t="s">
        <v>7780</v>
      </c>
      <c r="BN195" s="2">
        <v>3.7079421E7</v>
      </c>
      <c r="BO195" s="2" t="s">
        <v>4115</v>
      </c>
      <c r="BP195" s="2" t="s">
        <v>3635</v>
      </c>
      <c r="BQ195" s="2" t="s">
        <v>3635</v>
      </c>
      <c r="BR195" s="2" t="s">
        <v>3662</v>
      </c>
      <c r="BS195" s="2" t="s">
        <v>7781</v>
      </c>
      <c r="BT195" s="2" t="str">
        <f>HYPERLINK("https%3A%2F%2Fwww.webofscience.com%2Fwos%2Fwoscc%2Ffull-record%2FWOS:000979456800003","View Full Record in Web of Science")</f>
        <v>View Full Record in Web of Science</v>
      </c>
    </row>
    <row r="196" ht="15.75" customHeight="1">
      <c r="A196" s="2" t="s">
        <v>3633</v>
      </c>
      <c r="B196" s="2" t="s">
        <v>7782</v>
      </c>
      <c r="C196" s="2" t="s">
        <v>3635</v>
      </c>
      <c r="D196" s="2" t="s">
        <v>3635</v>
      </c>
      <c r="E196" s="2" t="s">
        <v>3635</v>
      </c>
      <c r="F196" s="2" t="s">
        <v>7783</v>
      </c>
      <c r="G196" s="2" t="s">
        <v>3635</v>
      </c>
      <c r="H196" s="2" t="s">
        <v>3635</v>
      </c>
      <c r="I196" s="2" t="s">
        <v>7784</v>
      </c>
      <c r="J196" s="2" t="s">
        <v>7785</v>
      </c>
      <c r="K196" s="2" t="s">
        <v>3635</v>
      </c>
      <c r="L196" s="2" t="s">
        <v>3635</v>
      </c>
      <c r="M196" s="2" t="s">
        <v>3638</v>
      </c>
      <c r="N196" s="2" t="s">
        <v>21</v>
      </c>
      <c r="O196" s="2" t="s">
        <v>3635</v>
      </c>
      <c r="P196" s="2" t="s">
        <v>3635</v>
      </c>
      <c r="Q196" s="2" t="s">
        <v>3635</v>
      </c>
      <c r="R196" s="2" t="s">
        <v>3635</v>
      </c>
      <c r="S196" s="2" t="s">
        <v>3635</v>
      </c>
      <c r="T196" s="2" t="s">
        <v>7786</v>
      </c>
      <c r="U196" s="2" t="s">
        <v>7787</v>
      </c>
      <c r="V196" s="2" t="s">
        <v>7788</v>
      </c>
      <c r="W196" s="2" t="s">
        <v>7789</v>
      </c>
      <c r="X196" s="2" t="s">
        <v>7790</v>
      </c>
      <c r="Y196" s="2" t="s">
        <v>7791</v>
      </c>
      <c r="Z196" s="2" t="s">
        <v>7792</v>
      </c>
      <c r="AA196" s="2" t="s">
        <v>3635</v>
      </c>
      <c r="AB196" s="2" t="s">
        <v>3635</v>
      </c>
      <c r="AC196" s="2" t="s">
        <v>3635</v>
      </c>
      <c r="AD196" s="2" t="s">
        <v>3635</v>
      </c>
      <c r="AE196" s="2" t="s">
        <v>3635</v>
      </c>
      <c r="AF196" s="2" t="s">
        <v>3635</v>
      </c>
      <c r="AG196" s="2">
        <v>14.0</v>
      </c>
      <c r="AH196" s="2">
        <v>1.0</v>
      </c>
      <c r="AI196" s="2">
        <v>1.0</v>
      </c>
      <c r="AJ196" s="2">
        <v>0.0</v>
      </c>
      <c r="AK196" s="2">
        <v>5.0</v>
      </c>
      <c r="AL196" s="2" t="s">
        <v>7793</v>
      </c>
      <c r="AM196" s="2" t="s">
        <v>7794</v>
      </c>
      <c r="AN196" s="2" t="s">
        <v>7795</v>
      </c>
      <c r="AO196" s="2" t="s">
        <v>7796</v>
      </c>
      <c r="AP196" s="2" t="s">
        <v>3635</v>
      </c>
      <c r="AQ196" s="2" t="s">
        <v>3635</v>
      </c>
      <c r="AR196" s="2" t="s">
        <v>7797</v>
      </c>
      <c r="AS196" s="2" t="s">
        <v>7798</v>
      </c>
      <c r="AT196" s="2" t="s">
        <v>3635</v>
      </c>
      <c r="AU196" s="2">
        <v>2019.0</v>
      </c>
      <c r="AV196" s="2">
        <v>14.0</v>
      </c>
      <c r="AW196" s="2" t="s">
        <v>3635</v>
      </c>
      <c r="AX196" s="2" t="s">
        <v>3635</v>
      </c>
      <c r="AY196" s="2" t="s">
        <v>5438</v>
      </c>
      <c r="AZ196" s="2" t="s">
        <v>3635</v>
      </c>
      <c r="BA196" s="2" t="s">
        <v>3635</v>
      </c>
      <c r="BB196" s="2" t="s">
        <v>7799</v>
      </c>
      <c r="BC196" s="2" t="s">
        <v>7800</v>
      </c>
      <c r="BD196" s="2" t="s">
        <v>3635</v>
      </c>
      <c r="BE196" s="2" t="s">
        <v>7801</v>
      </c>
      <c r="BF196" s="3" t="str">
        <f>HYPERLINK("http://dx.doi.org/10.14198/jhse.2019.14.Proc5.54","http://dx.doi.org/10.14198/jhse.2019.14.Proc5.54")</f>
        <v>http://dx.doi.org/10.14198/jhse.2019.14.Proc5.54</v>
      </c>
      <c r="BG196" s="2" t="s">
        <v>3635</v>
      </c>
      <c r="BH196" s="2" t="s">
        <v>3635</v>
      </c>
      <c r="BI196" s="2">
        <v>10.0</v>
      </c>
      <c r="BJ196" s="2" t="s">
        <v>7079</v>
      </c>
      <c r="BK196" s="2" t="s">
        <v>3993</v>
      </c>
      <c r="BL196" s="2" t="s">
        <v>7079</v>
      </c>
      <c r="BM196" s="2" t="s">
        <v>7802</v>
      </c>
      <c r="BN196" s="2" t="s">
        <v>3635</v>
      </c>
      <c r="BO196" s="2" t="s">
        <v>4519</v>
      </c>
      <c r="BP196" s="2" t="s">
        <v>3635</v>
      </c>
      <c r="BQ196" s="2" t="s">
        <v>3635</v>
      </c>
      <c r="BR196" s="2" t="s">
        <v>3662</v>
      </c>
      <c r="BS196" s="2" t="s">
        <v>7803</v>
      </c>
      <c r="BT196" s="2" t="str">
        <f>HYPERLINK("https%3A%2F%2Fwww.webofscience.com%2Fwos%2Fwoscc%2Ffull-record%2FWOS:000519584200054","View Full Record in Web of Science")</f>
        <v>View Full Record in Web of Science</v>
      </c>
    </row>
    <row r="197" ht="15.75" customHeight="1">
      <c r="A197" s="2" t="s">
        <v>3664</v>
      </c>
      <c r="B197" s="2" t="s">
        <v>7804</v>
      </c>
      <c r="C197" s="2" t="s">
        <v>3635</v>
      </c>
      <c r="D197" s="2" t="s">
        <v>3635</v>
      </c>
      <c r="E197" s="2" t="s">
        <v>4118</v>
      </c>
      <c r="F197" s="2" t="s">
        <v>7805</v>
      </c>
      <c r="G197" s="2" t="s">
        <v>3635</v>
      </c>
      <c r="H197" s="2" t="s">
        <v>3635</v>
      </c>
      <c r="I197" s="2" t="s">
        <v>7806</v>
      </c>
      <c r="J197" s="2" t="s">
        <v>7807</v>
      </c>
      <c r="K197" s="2" t="s">
        <v>3635</v>
      </c>
      <c r="L197" s="2" t="s">
        <v>3635</v>
      </c>
      <c r="M197" s="2" t="s">
        <v>3638</v>
      </c>
      <c r="N197" s="2" t="s">
        <v>3669</v>
      </c>
      <c r="O197" s="2" t="s">
        <v>7808</v>
      </c>
      <c r="P197" s="2" t="s">
        <v>7809</v>
      </c>
      <c r="Q197" s="2" t="s">
        <v>4757</v>
      </c>
      <c r="R197" s="2" t="s">
        <v>7810</v>
      </c>
      <c r="S197" s="2" t="s">
        <v>3635</v>
      </c>
      <c r="T197" s="2" t="s">
        <v>7811</v>
      </c>
      <c r="U197" s="2" t="s">
        <v>7812</v>
      </c>
      <c r="V197" s="2" t="s">
        <v>7813</v>
      </c>
      <c r="W197" s="2" t="s">
        <v>7814</v>
      </c>
      <c r="X197" s="2" t="s">
        <v>7815</v>
      </c>
      <c r="Y197" s="2" t="s">
        <v>7816</v>
      </c>
      <c r="Z197" s="2" t="s">
        <v>7817</v>
      </c>
      <c r="AA197" s="2" t="s">
        <v>7818</v>
      </c>
      <c r="AB197" s="2" t="s">
        <v>7819</v>
      </c>
      <c r="AC197" s="2" t="s">
        <v>7820</v>
      </c>
      <c r="AD197" s="2" t="s">
        <v>7821</v>
      </c>
      <c r="AE197" s="2" t="s">
        <v>7822</v>
      </c>
      <c r="AF197" s="2" t="s">
        <v>3635</v>
      </c>
      <c r="AG197" s="2">
        <v>71.0</v>
      </c>
      <c r="AH197" s="2">
        <v>102.0</v>
      </c>
      <c r="AI197" s="2">
        <v>107.0</v>
      </c>
      <c r="AJ197" s="2">
        <v>1.0</v>
      </c>
      <c r="AK197" s="2">
        <v>8.0</v>
      </c>
      <c r="AL197" s="2" t="s">
        <v>3650</v>
      </c>
      <c r="AM197" s="2" t="s">
        <v>3651</v>
      </c>
      <c r="AN197" s="2" t="s">
        <v>4137</v>
      </c>
      <c r="AO197" s="2" t="s">
        <v>3635</v>
      </c>
      <c r="AP197" s="2" t="s">
        <v>3635</v>
      </c>
      <c r="AQ197" s="2" t="s">
        <v>7823</v>
      </c>
      <c r="AR197" s="2" t="s">
        <v>3635</v>
      </c>
      <c r="AS197" s="2" t="s">
        <v>3635</v>
      </c>
      <c r="AT197" s="2" t="s">
        <v>3635</v>
      </c>
      <c r="AU197" s="2">
        <v>2018.0</v>
      </c>
      <c r="AV197" s="2" t="s">
        <v>3635</v>
      </c>
      <c r="AW197" s="2" t="s">
        <v>3635</v>
      </c>
      <c r="AX197" s="2" t="s">
        <v>3635</v>
      </c>
      <c r="AY197" s="2" t="s">
        <v>3635</v>
      </c>
      <c r="AZ197" s="2" t="s">
        <v>3635</v>
      </c>
      <c r="BA197" s="2" t="s">
        <v>3635</v>
      </c>
      <c r="BB197" s="2" t="s">
        <v>3635</v>
      </c>
      <c r="BC197" s="2" t="s">
        <v>3635</v>
      </c>
      <c r="BD197" s="2" t="s">
        <v>3635</v>
      </c>
      <c r="BE197" s="2" t="s">
        <v>491</v>
      </c>
      <c r="BF197" s="3" t="str">
        <f>HYPERLINK("http://dx.doi.org/10.1145/3173574.3173856","http://dx.doi.org/10.1145/3173574.3173856")</f>
        <v>http://dx.doi.org/10.1145/3173574.3173856</v>
      </c>
      <c r="BG197" s="2" t="s">
        <v>3635</v>
      </c>
      <c r="BH197" s="2" t="s">
        <v>3635</v>
      </c>
      <c r="BI197" s="2">
        <v>13.0</v>
      </c>
      <c r="BJ197" s="2" t="s">
        <v>7824</v>
      </c>
      <c r="BK197" s="2" t="s">
        <v>3692</v>
      </c>
      <c r="BL197" s="2" t="s">
        <v>3659</v>
      </c>
      <c r="BM197" s="2" t="s">
        <v>7825</v>
      </c>
      <c r="BN197" s="2" t="s">
        <v>3635</v>
      </c>
      <c r="BO197" s="2" t="s">
        <v>4141</v>
      </c>
      <c r="BP197" s="2" t="s">
        <v>3635</v>
      </c>
      <c r="BQ197" s="2" t="s">
        <v>3635</v>
      </c>
      <c r="BR197" s="2" t="s">
        <v>3662</v>
      </c>
      <c r="BS197" s="2" t="s">
        <v>7826</v>
      </c>
      <c r="BT197" s="2" t="str">
        <f>HYPERLINK("https%3A%2F%2Fwww.webofscience.com%2Fwos%2Fwoscc%2Ffull-record%2FWOS:000509673103044","View Full Record in Web of Science")</f>
        <v>View Full Record in Web of Science</v>
      </c>
    </row>
    <row r="198" ht="15.75" customHeight="1">
      <c r="A198" s="2" t="s">
        <v>3633</v>
      </c>
      <c r="B198" s="2" t="s">
        <v>7827</v>
      </c>
      <c r="C198" s="2" t="s">
        <v>3635</v>
      </c>
      <c r="D198" s="2" t="s">
        <v>3635</v>
      </c>
      <c r="E198" s="2" t="s">
        <v>3635</v>
      </c>
      <c r="F198" s="2" t="s">
        <v>7827</v>
      </c>
      <c r="G198" s="2" t="s">
        <v>3635</v>
      </c>
      <c r="H198" s="2" t="s">
        <v>3635</v>
      </c>
      <c r="I198" s="2" t="s">
        <v>1408</v>
      </c>
      <c r="J198" s="2" t="s">
        <v>7828</v>
      </c>
      <c r="K198" s="2" t="s">
        <v>3635</v>
      </c>
      <c r="L198" s="2" t="s">
        <v>3635</v>
      </c>
      <c r="M198" s="2" t="s">
        <v>3638</v>
      </c>
      <c r="N198" s="2" t="s">
        <v>21</v>
      </c>
      <c r="O198" s="2" t="s">
        <v>3635</v>
      </c>
      <c r="P198" s="2" t="s">
        <v>3635</v>
      </c>
      <c r="Q198" s="2" t="s">
        <v>3635</v>
      </c>
      <c r="R198" s="2" t="s">
        <v>3635</v>
      </c>
      <c r="S198" s="2" t="s">
        <v>3635</v>
      </c>
      <c r="T198" s="2" t="s">
        <v>3635</v>
      </c>
      <c r="U198" s="2" t="s">
        <v>7829</v>
      </c>
      <c r="V198" s="2" t="s">
        <v>7830</v>
      </c>
      <c r="W198" s="2" t="s">
        <v>7831</v>
      </c>
      <c r="X198" s="2" t="s">
        <v>7832</v>
      </c>
      <c r="Y198" s="2" t="s">
        <v>7833</v>
      </c>
      <c r="Z198" s="2" t="s">
        <v>7834</v>
      </c>
      <c r="AA198" s="2" t="s">
        <v>7835</v>
      </c>
      <c r="AB198" s="2" t="s">
        <v>3635</v>
      </c>
      <c r="AC198" s="2" t="s">
        <v>3635</v>
      </c>
      <c r="AD198" s="2" t="s">
        <v>3635</v>
      </c>
      <c r="AE198" s="2" t="s">
        <v>3635</v>
      </c>
      <c r="AF198" s="2" t="s">
        <v>3635</v>
      </c>
      <c r="AG198" s="2">
        <v>31.0</v>
      </c>
      <c r="AH198" s="2">
        <v>2.0</v>
      </c>
      <c r="AI198" s="2">
        <v>2.0</v>
      </c>
      <c r="AJ198" s="2">
        <v>0.0</v>
      </c>
      <c r="AK198" s="2">
        <v>0.0</v>
      </c>
      <c r="AL198" s="2" t="s">
        <v>7836</v>
      </c>
      <c r="AM198" s="2" t="s">
        <v>7837</v>
      </c>
      <c r="AN198" s="2" t="s">
        <v>7838</v>
      </c>
      <c r="AO198" s="2" t="s">
        <v>7839</v>
      </c>
      <c r="AP198" s="2" t="s">
        <v>3635</v>
      </c>
      <c r="AQ198" s="2" t="s">
        <v>3635</v>
      </c>
      <c r="AR198" s="2" t="s">
        <v>7840</v>
      </c>
      <c r="AS198" s="2" t="s">
        <v>7841</v>
      </c>
      <c r="AT198" s="2" t="s">
        <v>3716</v>
      </c>
      <c r="AU198" s="2">
        <v>2005.0</v>
      </c>
      <c r="AV198" s="2">
        <v>152.0</v>
      </c>
      <c r="AW198" s="2">
        <v>5.0</v>
      </c>
      <c r="AX198" s="2" t="s">
        <v>3635</v>
      </c>
      <c r="AY198" s="2" t="s">
        <v>3635</v>
      </c>
      <c r="AZ198" s="2" t="s">
        <v>3635</v>
      </c>
      <c r="BA198" s="2" t="s">
        <v>3635</v>
      </c>
      <c r="BB198" s="2">
        <v>489.0</v>
      </c>
      <c r="BC198" s="2">
        <v>498.0</v>
      </c>
      <c r="BD198" s="2" t="s">
        <v>3635</v>
      </c>
      <c r="BE198" s="2" t="s">
        <v>1411</v>
      </c>
      <c r="BF198" s="3" t="str">
        <f>HYPERLINK("http://dx.doi.org/10.1049/ip-cta:20045141","http://dx.doi.org/10.1049/ip-cta:20045141")</f>
        <v>http://dx.doi.org/10.1049/ip-cta:20045141</v>
      </c>
      <c r="BG198" s="2" t="s">
        <v>3635</v>
      </c>
      <c r="BH198" s="2" t="s">
        <v>3635</v>
      </c>
      <c r="BI198" s="2">
        <v>10.0</v>
      </c>
      <c r="BJ198" s="2" t="s">
        <v>7842</v>
      </c>
      <c r="BK198" s="2" t="s">
        <v>3658</v>
      </c>
      <c r="BL198" s="2" t="s">
        <v>7843</v>
      </c>
      <c r="BM198" s="2" t="s">
        <v>7844</v>
      </c>
      <c r="BN198" s="2" t="s">
        <v>3635</v>
      </c>
      <c r="BO198" s="2" t="s">
        <v>3635</v>
      </c>
      <c r="BP198" s="2" t="s">
        <v>3635</v>
      </c>
      <c r="BQ198" s="2" t="s">
        <v>3635</v>
      </c>
      <c r="BR198" s="2" t="s">
        <v>3662</v>
      </c>
      <c r="BS198" s="2" t="s">
        <v>7845</v>
      </c>
      <c r="BT198" s="2" t="str">
        <f>HYPERLINK("https%3A%2F%2Fwww.webofscience.com%2Fwos%2Fwoscc%2Ffull-record%2FWOS:000232090000001","View Full Record in Web of Science")</f>
        <v>View Full Record in Web of Science</v>
      </c>
    </row>
    <row r="199" ht="15.75" customHeight="1">
      <c r="A199" s="2" t="s">
        <v>3633</v>
      </c>
      <c r="B199" s="2" t="s">
        <v>7846</v>
      </c>
      <c r="C199" s="2" t="s">
        <v>3635</v>
      </c>
      <c r="D199" s="2" t="s">
        <v>3635</v>
      </c>
      <c r="E199" s="2" t="s">
        <v>3635</v>
      </c>
      <c r="F199" s="2" t="s">
        <v>7847</v>
      </c>
      <c r="G199" s="2" t="s">
        <v>3635</v>
      </c>
      <c r="H199" s="2" t="s">
        <v>3635</v>
      </c>
      <c r="I199" s="2" t="s">
        <v>7848</v>
      </c>
      <c r="J199" s="2" t="s">
        <v>7849</v>
      </c>
      <c r="K199" s="2" t="s">
        <v>3635</v>
      </c>
      <c r="L199" s="2" t="s">
        <v>3635</v>
      </c>
      <c r="M199" s="2" t="s">
        <v>3638</v>
      </c>
      <c r="N199" s="2" t="s">
        <v>21</v>
      </c>
      <c r="O199" s="2" t="s">
        <v>3635</v>
      </c>
      <c r="P199" s="2" t="s">
        <v>3635</v>
      </c>
      <c r="Q199" s="2" t="s">
        <v>3635</v>
      </c>
      <c r="R199" s="2" t="s">
        <v>3635</v>
      </c>
      <c r="S199" s="2" t="s">
        <v>3635</v>
      </c>
      <c r="T199" s="2" t="s">
        <v>7850</v>
      </c>
      <c r="U199" s="2" t="s">
        <v>7851</v>
      </c>
      <c r="V199" s="2" t="s">
        <v>7852</v>
      </c>
      <c r="W199" s="2" t="s">
        <v>7853</v>
      </c>
      <c r="X199" s="2" t="s">
        <v>7854</v>
      </c>
      <c r="Y199" s="2" t="s">
        <v>7855</v>
      </c>
      <c r="Z199" s="2" t="s">
        <v>7856</v>
      </c>
      <c r="AA199" s="2" t="s">
        <v>3635</v>
      </c>
      <c r="AB199" s="2" t="s">
        <v>7857</v>
      </c>
      <c r="AC199" s="2" t="s">
        <v>3635</v>
      </c>
      <c r="AD199" s="2" t="s">
        <v>3635</v>
      </c>
      <c r="AE199" s="2" t="s">
        <v>3635</v>
      </c>
      <c r="AF199" s="2" t="s">
        <v>3635</v>
      </c>
      <c r="AG199" s="2">
        <v>83.0</v>
      </c>
      <c r="AH199" s="2">
        <v>0.0</v>
      </c>
      <c r="AI199" s="2">
        <v>0.0</v>
      </c>
      <c r="AJ199" s="2">
        <v>10.0</v>
      </c>
      <c r="AK199" s="2">
        <v>10.0</v>
      </c>
      <c r="AL199" s="2" t="s">
        <v>5933</v>
      </c>
      <c r="AM199" s="2" t="s">
        <v>5934</v>
      </c>
      <c r="AN199" s="2" t="s">
        <v>5935</v>
      </c>
      <c r="AO199" s="2" t="s">
        <v>7858</v>
      </c>
      <c r="AP199" s="2" t="s">
        <v>3635</v>
      </c>
      <c r="AQ199" s="2" t="s">
        <v>3635</v>
      </c>
      <c r="AR199" s="2" t="s">
        <v>7859</v>
      </c>
      <c r="AS199" s="2" t="s">
        <v>7860</v>
      </c>
      <c r="AT199" s="2" t="s">
        <v>3635</v>
      </c>
      <c r="AU199" s="2">
        <v>2023.0</v>
      </c>
      <c r="AV199" s="2">
        <v>15.0</v>
      </c>
      <c r="AW199" s="2" t="s">
        <v>3635</v>
      </c>
      <c r="AX199" s="2" t="s">
        <v>3635</v>
      </c>
      <c r="AY199" s="2" t="s">
        <v>3635</v>
      </c>
      <c r="AZ199" s="2" t="s">
        <v>3635</v>
      </c>
      <c r="BA199" s="2" t="s">
        <v>3635</v>
      </c>
      <c r="BB199" s="2">
        <v>297.0</v>
      </c>
      <c r="BC199" s="2">
        <v>311.0</v>
      </c>
      <c r="BD199" s="2" t="s">
        <v>3635</v>
      </c>
      <c r="BE199" s="2" t="s">
        <v>7861</v>
      </c>
      <c r="BF199" s="3" t="str">
        <f>HYPERLINK("http://dx.doi.org/10.2147/JHL.S426602","http://dx.doi.org/10.2147/JHL.S426602")</f>
        <v>http://dx.doi.org/10.2147/JHL.S426602</v>
      </c>
      <c r="BG199" s="2" t="s">
        <v>3635</v>
      </c>
      <c r="BH199" s="2" t="s">
        <v>3635</v>
      </c>
      <c r="BI199" s="2">
        <v>15.0</v>
      </c>
      <c r="BJ199" s="2" t="s">
        <v>7862</v>
      </c>
      <c r="BK199" s="2" t="s">
        <v>3993</v>
      </c>
      <c r="BL199" s="2" t="s">
        <v>4917</v>
      </c>
      <c r="BM199" s="2" t="s">
        <v>7863</v>
      </c>
      <c r="BN199" s="2">
        <v>3.7937121E7</v>
      </c>
      <c r="BO199" s="2" t="s">
        <v>4748</v>
      </c>
      <c r="BP199" s="2" t="s">
        <v>3635</v>
      </c>
      <c r="BQ199" s="2" t="s">
        <v>3635</v>
      </c>
      <c r="BR199" s="2" t="s">
        <v>3662</v>
      </c>
      <c r="BS199" s="2" t="s">
        <v>7864</v>
      </c>
      <c r="BT199" s="2" t="str">
        <f>HYPERLINK("https%3A%2F%2Fwww.webofscience.com%2Fwos%2Fwoscc%2Ffull-record%2FWOS:001096727600001","View Full Record in Web of Science")</f>
        <v>View Full Record in Web of Science</v>
      </c>
    </row>
    <row r="200" ht="15.75" customHeight="1">
      <c r="A200" s="2" t="s">
        <v>3664</v>
      </c>
      <c r="B200" s="2" t="s">
        <v>7865</v>
      </c>
      <c r="C200" s="2" t="s">
        <v>3635</v>
      </c>
      <c r="D200" s="2" t="s">
        <v>7866</v>
      </c>
      <c r="E200" s="2" t="s">
        <v>3635</v>
      </c>
      <c r="F200" s="2" t="s">
        <v>7867</v>
      </c>
      <c r="G200" s="2" t="s">
        <v>3635</v>
      </c>
      <c r="H200" s="2" t="s">
        <v>3635</v>
      </c>
      <c r="I200" s="2" t="s">
        <v>3057</v>
      </c>
      <c r="J200" s="2" t="s">
        <v>7868</v>
      </c>
      <c r="K200" s="2" t="s">
        <v>7869</v>
      </c>
      <c r="L200" s="2" t="s">
        <v>3635</v>
      </c>
      <c r="M200" s="2" t="s">
        <v>3638</v>
      </c>
      <c r="N200" s="2" t="s">
        <v>3669</v>
      </c>
      <c r="O200" s="2" t="s">
        <v>7870</v>
      </c>
      <c r="P200" s="2" t="s">
        <v>7871</v>
      </c>
      <c r="Q200" s="2" t="s">
        <v>7872</v>
      </c>
      <c r="R200" s="2" t="s">
        <v>7873</v>
      </c>
      <c r="S200" s="2" t="s">
        <v>3635</v>
      </c>
      <c r="T200" s="2" t="s">
        <v>7874</v>
      </c>
      <c r="U200" s="2" t="s">
        <v>7875</v>
      </c>
      <c r="V200" s="2" t="s">
        <v>7876</v>
      </c>
      <c r="W200" s="2" t="s">
        <v>7877</v>
      </c>
      <c r="X200" s="2" t="s">
        <v>7878</v>
      </c>
      <c r="Y200" s="2" t="s">
        <v>7879</v>
      </c>
      <c r="Z200" s="2" t="s">
        <v>7880</v>
      </c>
      <c r="AA200" s="2" t="s">
        <v>7881</v>
      </c>
      <c r="AB200" s="2" t="s">
        <v>7882</v>
      </c>
      <c r="AC200" s="2" t="s">
        <v>3635</v>
      </c>
      <c r="AD200" s="2" t="s">
        <v>3635</v>
      </c>
      <c r="AE200" s="2" t="s">
        <v>3635</v>
      </c>
      <c r="AF200" s="2" t="s">
        <v>3635</v>
      </c>
      <c r="AG200" s="2">
        <v>23.0</v>
      </c>
      <c r="AH200" s="2">
        <v>3.0</v>
      </c>
      <c r="AI200" s="2">
        <v>5.0</v>
      </c>
      <c r="AJ200" s="2">
        <v>0.0</v>
      </c>
      <c r="AK200" s="2">
        <v>3.0</v>
      </c>
      <c r="AL200" s="2" t="s">
        <v>3685</v>
      </c>
      <c r="AM200" s="2" t="s">
        <v>3686</v>
      </c>
      <c r="AN200" s="2" t="s">
        <v>3687</v>
      </c>
      <c r="AO200" s="2" t="s">
        <v>7883</v>
      </c>
      <c r="AP200" s="2" t="s">
        <v>3635</v>
      </c>
      <c r="AQ200" s="2" t="s">
        <v>7884</v>
      </c>
      <c r="AR200" s="2" t="s">
        <v>7885</v>
      </c>
      <c r="AS200" s="2" t="s">
        <v>3635</v>
      </c>
      <c r="AT200" s="2" t="s">
        <v>3635</v>
      </c>
      <c r="AU200" s="2">
        <v>2009.0</v>
      </c>
      <c r="AV200" s="2" t="s">
        <v>3635</v>
      </c>
      <c r="AW200" s="2" t="s">
        <v>3635</v>
      </c>
      <c r="AX200" s="2" t="s">
        <v>3635</v>
      </c>
      <c r="AY200" s="2" t="s">
        <v>3635</v>
      </c>
      <c r="AZ200" s="2" t="s">
        <v>3635</v>
      </c>
      <c r="BA200" s="2" t="s">
        <v>3635</v>
      </c>
      <c r="BB200" s="2">
        <v>184.0</v>
      </c>
      <c r="BC200" s="2">
        <v>191.0</v>
      </c>
      <c r="BD200" s="2" t="s">
        <v>3635</v>
      </c>
      <c r="BE200" s="2" t="s">
        <v>1813</v>
      </c>
      <c r="BF200" s="3" t="str">
        <f>HYPERLINK("http://dx.doi.org/10.1109/DS-RT.2009.14","http://dx.doi.org/10.1109/DS-RT.2009.14")</f>
        <v>http://dx.doi.org/10.1109/DS-RT.2009.14</v>
      </c>
      <c r="BG200" s="2" t="s">
        <v>3635</v>
      </c>
      <c r="BH200" s="2" t="s">
        <v>3635</v>
      </c>
      <c r="BI200" s="2">
        <v>8.0</v>
      </c>
      <c r="BJ200" s="2" t="s">
        <v>3955</v>
      </c>
      <c r="BK200" s="2" t="s">
        <v>3692</v>
      </c>
      <c r="BL200" s="2" t="s">
        <v>3659</v>
      </c>
      <c r="BM200" s="2" t="s">
        <v>7886</v>
      </c>
      <c r="BN200" s="2" t="s">
        <v>3635</v>
      </c>
      <c r="BO200" s="2" t="s">
        <v>3635</v>
      </c>
      <c r="BP200" s="2" t="s">
        <v>3635</v>
      </c>
      <c r="BQ200" s="2" t="s">
        <v>3635</v>
      </c>
      <c r="BR200" s="2" t="s">
        <v>3662</v>
      </c>
      <c r="BS200" s="2" t="s">
        <v>7887</v>
      </c>
      <c r="BT200" s="2" t="str">
        <f>HYPERLINK("https%3A%2F%2Fwww.webofscience.com%2Fwos%2Fwoscc%2Ffull-record%2FWOS:000275316100022","View Full Record in Web of Science")</f>
        <v>View Full Record in Web of Science</v>
      </c>
    </row>
    <row r="201" ht="15.75" customHeight="1">
      <c r="A201" s="2" t="s">
        <v>3664</v>
      </c>
      <c r="B201" s="2" t="s">
        <v>7888</v>
      </c>
      <c r="C201" s="2" t="s">
        <v>3635</v>
      </c>
      <c r="D201" s="2" t="s">
        <v>7889</v>
      </c>
      <c r="E201" s="2" t="s">
        <v>3635</v>
      </c>
      <c r="F201" s="2" t="s">
        <v>7890</v>
      </c>
      <c r="G201" s="2" t="s">
        <v>3635</v>
      </c>
      <c r="H201" s="2" t="s">
        <v>3635</v>
      </c>
      <c r="I201" s="2" t="s">
        <v>1124</v>
      </c>
      <c r="J201" s="2" t="s">
        <v>7891</v>
      </c>
      <c r="K201" s="2" t="s">
        <v>7892</v>
      </c>
      <c r="L201" s="2" t="s">
        <v>3635</v>
      </c>
      <c r="M201" s="2" t="s">
        <v>3638</v>
      </c>
      <c r="N201" s="2" t="s">
        <v>3669</v>
      </c>
      <c r="O201" s="2" t="s">
        <v>7893</v>
      </c>
      <c r="P201" s="2" t="s">
        <v>7894</v>
      </c>
      <c r="Q201" s="2" t="s">
        <v>7895</v>
      </c>
      <c r="R201" s="2" t="s">
        <v>7896</v>
      </c>
      <c r="S201" s="2" t="s">
        <v>3635</v>
      </c>
      <c r="T201" s="2" t="s">
        <v>3635</v>
      </c>
      <c r="U201" s="2" t="s">
        <v>3635</v>
      </c>
      <c r="V201" s="2" t="s">
        <v>7897</v>
      </c>
      <c r="W201" s="2" t="s">
        <v>7898</v>
      </c>
      <c r="X201" s="2" t="s">
        <v>7899</v>
      </c>
      <c r="Y201" s="2" t="s">
        <v>7900</v>
      </c>
      <c r="Z201" s="2" t="s">
        <v>7901</v>
      </c>
      <c r="AA201" s="2" t="s">
        <v>7902</v>
      </c>
      <c r="AB201" s="2" t="s">
        <v>7903</v>
      </c>
      <c r="AC201" s="2" t="s">
        <v>3635</v>
      </c>
      <c r="AD201" s="2" t="s">
        <v>3635</v>
      </c>
      <c r="AE201" s="2" t="s">
        <v>3635</v>
      </c>
      <c r="AF201" s="2" t="s">
        <v>3635</v>
      </c>
      <c r="AG201" s="2">
        <v>12.0</v>
      </c>
      <c r="AH201" s="2">
        <v>1.0</v>
      </c>
      <c r="AI201" s="2">
        <v>2.0</v>
      </c>
      <c r="AJ201" s="2">
        <v>0.0</v>
      </c>
      <c r="AK201" s="2">
        <v>0.0</v>
      </c>
      <c r="AL201" s="2" t="s">
        <v>1974</v>
      </c>
      <c r="AM201" s="2" t="s">
        <v>3651</v>
      </c>
      <c r="AN201" s="2" t="s">
        <v>3762</v>
      </c>
      <c r="AO201" s="2" t="s">
        <v>7904</v>
      </c>
      <c r="AP201" s="2" t="s">
        <v>3635</v>
      </c>
      <c r="AQ201" s="2" t="s">
        <v>7905</v>
      </c>
      <c r="AR201" s="2" t="s">
        <v>7906</v>
      </c>
      <c r="AS201" s="2" t="s">
        <v>3635</v>
      </c>
      <c r="AT201" s="2" t="s">
        <v>3635</v>
      </c>
      <c r="AU201" s="2">
        <v>2013.0</v>
      </c>
      <c r="AV201" s="2" t="s">
        <v>3635</v>
      </c>
      <c r="AW201" s="2" t="s">
        <v>3635</v>
      </c>
      <c r="AX201" s="2" t="s">
        <v>3635</v>
      </c>
      <c r="AY201" s="2" t="s">
        <v>3635</v>
      </c>
      <c r="AZ201" s="2" t="s">
        <v>3635</v>
      </c>
      <c r="BA201" s="2" t="s">
        <v>3635</v>
      </c>
      <c r="BB201" s="2">
        <v>721.0</v>
      </c>
      <c r="BC201" s="2">
        <v>726.0</v>
      </c>
      <c r="BD201" s="2" t="s">
        <v>3635</v>
      </c>
      <c r="BE201" s="2" t="s">
        <v>3635</v>
      </c>
      <c r="BF201" s="2" t="s">
        <v>3635</v>
      </c>
      <c r="BG201" s="2" t="s">
        <v>3635</v>
      </c>
      <c r="BH201" s="2" t="s">
        <v>3635</v>
      </c>
      <c r="BI201" s="2">
        <v>6.0</v>
      </c>
      <c r="BJ201" s="2" t="s">
        <v>7907</v>
      </c>
      <c r="BK201" s="2" t="s">
        <v>3692</v>
      </c>
      <c r="BL201" s="2" t="s">
        <v>3944</v>
      </c>
      <c r="BM201" s="2" t="s">
        <v>7908</v>
      </c>
      <c r="BN201" s="2" t="s">
        <v>3635</v>
      </c>
      <c r="BO201" s="2" t="s">
        <v>3635</v>
      </c>
      <c r="BP201" s="2" t="s">
        <v>3635</v>
      </c>
      <c r="BQ201" s="2" t="s">
        <v>3635</v>
      </c>
      <c r="BR201" s="2" t="s">
        <v>3662</v>
      </c>
      <c r="BS201" s="2" t="s">
        <v>7909</v>
      </c>
      <c r="BT201" s="2" t="str">
        <f>HYPERLINK("https%3A%2F%2Fwww.webofscience.com%2Fwos%2Fwoscc%2Ffull-record%2FWOS:000347171500117","View Full Record in Web of Science")</f>
        <v>View Full Record in Web of Science</v>
      </c>
    </row>
    <row r="202" ht="15.75" customHeight="1">
      <c r="A202" s="2" t="s">
        <v>3633</v>
      </c>
      <c r="B202" s="2" t="s">
        <v>7910</v>
      </c>
      <c r="C202" s="2" t="s">
        <v>3635</v>
      </c>
      <c r="D202" s="2" t="s">
        <v>3635</v>
      </c>
      <c r="E202" s="2" t="s">
        <v>3635</v>
      </c>
      <c r="F202" s="2" t="s">
        <v>7911</v>
      </c>
      <c r="G202" s="2" t="s">
        <v>3635</v>
      </c>
      <c r="H202" s="2" t="s">
        <v>3635</v>
      </c>
      <c r="I202" s="2" t="s">
        <v>3116</v>
      </c>
      <c r="J202" s="2" t="s">
        <v>7912</v>
      </c>
      <c r="K202" s="2" t="s">
        <v>3635</v>
      </c>
      <c r="L202" s="2" t="s">
        <v>3635</v>
      </c>
      <c r="M202" s="2" t="s">
        <v>3638</v>
      </c>
      <c r="N202" s="2" t="s">
        <v>21</v>
      </c>
      <c r="O202" s="2" t="s">
        <v>3635</v>
      </c>
      <c r="P202" s="2" t="s">
        <v>3635</v>
      </c>
      <c r="Q202" s="2" t="s">
        <v>3635</v>
      </c>
      <c r="R202" s="2" t="s">
        <v>3635</v>
      </c>
      <c r="S202" s="2" t="s">
        <v>3635</v>
      </c>
      <c r="T202" s="2" t="s">
        <v>7913</v>
      </c>
      <c r="U202" s="2" t="s">
        <v>3635</v>
      </c>
      <c r="V202" s="2" t="s">
        <v>7914</v>
      </c>
      <c r="W202" s="2" t="s">
        <v>7915</v>
      </c>
      <c r="X202" s="2" t="s">
        <v>7916</v>
      </c>
      <c r="Y202" s="2" t="s">
        <v>7917</v>
      </c>
      <c r="Z202" s="2" t="s">
        <v>7918</v>
      </c>
      <c r="AA202" s="2" t="s">
        <v>7919</v>
      </c>
      <c r="AB202" s="2" t="s">
        <v>7920</v>
      </c>
      <c r="AC202" s="2" t="s">
        <v>7921</v>
      </c>
      <c r="AD202" s="2" t="s">
        <v>7922</v>
      </c>
      <c r="AE202" s="2" t="s">
        <v>7923</v>
      </c>
      <c r="AF202" s="2" t="s">
        <v>3635</v>
      </c>
      <c r="AG202" s="2">
        <v>38.0</v>
      </c>
      <c r="AH202" s="2">
        <v>3.0</v>
      </c>
      <c r="AI202" s="2">
        <v>4.0</v>
      </c>
      <c r="AJ202" s="2">
        <v>0.0</v>
      </c>
      <c r="AK202" s="2">
        <v>4.0</v>
      </c>
      <c r="AL202" s="2" t="s">
        <v>3685</v>
      </c>
      <c r="AM202" s="2" t="s">
        <v>3686</v>
      </c>
      <c r="AN202" s="2" t="s">
        <v>3951</v>
      </c>
      <c r="AO202" s="2" t="s">
        <v>7924</v>
      </c>
      <c r="AP202" s="2" t="s">
        <v>7925</v>
      </c>
      <c r="AQ202" s="2" t="s">
        <v>3635</v>
      </c>
      <c r="AR202" s="2" t="s">
        <v>7926</v>
      </c>
      <c r="AS202" s="2" t="s">
        <v>7927</v>
      </c>
      <c r="AT202" s="2" t="s">
        <v>7928</v>
      </c>
      <c r="AU202" s="2">
        <v>2017.0</v>
      </c>
      <c r="AV202" s="2">
        <v>28.0</v>
      </c>
      <c r="AW202" s="2">
        <v>7.0</v>
      </c>
      <c r="AX202" s="2" t="s">
        <v>3635</v>
      </c>
      <c r="AY202" s="2" t="s">
        <v>3635</v>
      </c>
      <c r="AZ202" s="2" t="s">
        <v>3635</v>
      </c>
      <c r="BA202" s="2" t="s">
        <v>3635</v>
      </c>
      <c r="BB202" s="2">
        <v>1811.0</v>
      </c>
      <c r="BC202" s="2">
        <v>1824.0</v>
      </c>
      <c r="BD202" s="2" t="s">
        <v>3635</v>
      </c>
      <c r="BE202" s="2" t="s">
        <v>1093</v>
      </c>
      <c r="BF202" s="3" t="str">
        <f>HYPERLINK("http://dx.doi.org/10.1109/TPDS.2016.2625249","http://dx.doi.org/10.1109/TPDS.2016.2625249")</f>
        <v>http://dx.doi.org/10.1109/TPDS.2016.2625249</v>
      </c>
      <c r="BG202" s="2" t="s">
        <v>3635</v>
      </c>
      <c r="BH202" s="2" t="s">
        <v>3635</v>
      </c>
      <c r="BI202" s="2">
        <v>14.0</v>
      </c>
      <c r="BJ202" s="2" t="s">
        <v>4586</v>
      </c>
      <c r="BK202" s="2" t="s">
        <v>3658</v>
      </c>
      <c r="BL202" s="2" t="s">
        <v>3944</v>
      </c>
      <c r="BM202" s="2" t="s">
        <v>7929</v>
      </c>
      <c r="BN202" s="2" t="s">
        <v>3635</v>
      </c>
      <c r="BO202" s="2" t="s">
        <v>4519</v>
      </c>
      <c r="BP202" s="2" t="s">
        <v>3635</v>
      </c>
      <c r="BQ202" s="2" t="s">
        <v>3635</v>
      </c>
      <c r="BR202" s="2" t="s">
        <v>3662</v>
      </c>
      <c r="BS202" s="2" t="s">
        <v>7930</v>
      </c>
      <c r="BT202" s="2" t="str">
        <f>HYPERLINK("https%3A%2F%2Fwww.webofscience.com%2Fwos%2Fwoscc%2Ffull-record%2FWOS:000403455600001","View Full Record in Web of Science")</f>
        <v>View Full Record in Web of Science</v>
      </c>
    </row>
    <row r="203" ht="15.75" customHeight="1">
      <c r="A203" s="2" t="s">
        <v>3633</v>
      </c>
      <c r="B203" s="2" t="s">
        <v>7931</v>
      </c>
      <c r="C203" s="2" t="s">
        <v>3635</v>
      </c>
      <c r="D203" s="2" t="s">
        <v>3635</v>
      </c>
      <c r="E203" s="2" t="s">
        <v>3635</v>
      </c>
      <c r="F203" s="2" t="s">
        <v>7932</v>
      </c>
      <c r="G203" s="2" t="s">
        <v>3635</v>
      </c>
      <c r="H203" s="2" t="s">
        <v>3635</v>
      </c>
      <c r="I203" s="2" t="s">
        <v>7933</v>
      </c>
      <c r="J203" s="2" t="s">
        <v>7934</v>
      </c>
      <c r="K203" s="2" t="s">
        <v>3635</v>
      </c>
      <c r="L203" s="2" t="s">
        <v>3635</v>
      </c>
      <c r="M203" s="2" t="s">
        <v>3638</v>
      </c>
      <c r="N203" s="2" t="s">
        <v>21</v>
      </c>
      <c r="O203" s="2" t="s">
        <v>3635</v>
      </c>
      <c r="P203" s="2" t="s">
        <v>3635</v>
      </c>
      <c r="Q203" s="2" t="s">
        <v>3635</v>
      </c>
      <c r="R203" s="2" t="s">
        <v>3635</v>
      </c>
      <c r="S203" s="2" t="s">
        <v>3635</v>
      </c>
      <c r="T203" s="2" t="s">
        <v>7935</v>
      </c>
      <c r="U203" s="2" t="s">
        <v>3635</v>
      </c>
      <c r="V203" s="2" t="s">
        <v>7936</v>
      </c>
      <c r="W203" s="2" t="s">
        <v>7937</v>
      </c>
      <c r="X203" s="2" t="s">
        <v>7938</v>
      </c>
      <c r="Y203" s="2" t="s">
        <v>7939</v>
      </c>
      <c r="Z203" s="2" t="s">
        <v>7940</v>
      </c>
      <c r="AA203" s="2" t="s">
        <v>3635</v>
      </c>
      <c r="AB203" s="2" t="s">
        <v>3635</v>
      </c>
      <c r="AC203" s="2" t="s">
        <v>7941</v>
      </c>
      <c r="AD203" s="2" t="s">
        <v>7941</v>
      </c>
      <c r="AE203" s="2" t="s">
        <v>7942</v>
      </c>
      <c r="AF203" s="2" t="s">
        <v>3635</v>
      </c>
      <c r="AG203" s="2">
        <v>67.0</v>
      </c>
      <c r="AH203" s="2">
        <v>77.0</v>
      </c>
      <c r="AI203" s="2">
        <v>88.0</v>
      </c>
      <c r="AJ203" s="2">
        <v>0.0</v>
      </c>
      <c r="AK203" s="2">
        <v>2.0</v>
      </c>
      <c r="AL203" s="2" t="s">
        <v>3986</v>
      </c>
      <c r="AM203" s="2" t="s">
        <v>3987</v>
      </c>
      <c r="AN203" s="2" t="s">
        <v>3988</v>
      </c>
      <c r="AO203" s="2" t="s">
        <v>7943</v>
      </c>
      <c r="AP203" s="2" t="s">
        <v>7944</v>
      </c>
      <c r="AQ203" s="2" t="s">
        <v>3635</v>
      </c>
      <c r="AR203" s="2" t="s">
        <v>7945</v>
      </c>
      <c r="AS203" s="2" t="s">
        <v>7946</v>
      </c>
      <c r="AT203" s="2" t="s">
        <v>3635</v>
      </c>
      <c r="AU203" s="2">
        <v>2012.0</v>
      </c>
      <c r="AV203" s="2">
        <v>19.0</v>
      </c>
      <c r="AW203" s="2">
        <v>2.0</v>
      </c>
      <c r="AX203" s="2" t="s">
        <v>3635</v>
      </c>
      <c r="AY203" s="2" t="s">
        <v>3635</v>
      </c>
      <c r="AZ203" s="2" t="s">
        <v>3635</v>
      </c>
      <c r="BA203" s="2" t="s">
        <v>3635</v>
      </c>
      <c r="BB203" s="2">
        <v>92.0</v>
      </c>
      <c r="BC203" s="2" t="s">
        <v>3954</v>
      </c>
      <c r="BD203" s="2" t="s">
        <v>3635</v>
      </c>
      <c r="BE203" s="2" t="s">
        <v>7947</v>
      </c>
      <c r="BF203" s="3" t="str">
        <f>HYPERLINK("http://dx.doi.org/10.1108/09696471211201461","http://dx.doi.org/10.1108/09696471211201461")</f>
        <v>http://dx.doi.org/10.1108/09696471211201461</v>
      </c>
      <c r="BG203" s="2" t="s">
        <v>3635</v>
      </c>
      <c r="BH203" s="2" t="s">
        <v>3635</v>
      </c>
      <c r="BI203" s="2">
        <v>19.0</v>
      </c>
      <c r="BJ203" s="2" t="s">
        <v>5790</v>
      </c>
      <c r="BK203" s="2" t="s">
        <v>3993</v>
      </c>
      <c r="BL203" s="2" t="s">
        <v>3994</v>
      </c>
      <c r="BM203" s="2" t="s">
        <v>7948</v>
      </c>
      <c r="BN203" s="2" t="s">
        <v>3635</v>
      </c>
      <c r="BO203" s="2" t="s">
        <v>3635</v>
      </c>
      <c r="BP203" s="2" t="s">
        <v>3635</v>
      </c>
      <c r="BQ203" s="2" t="s">
        <v>3635</v>
      </c>
      <c r="BR203" s="2" t="s">
        <v>3662</v>
      </c>
      <c r="BS203" s="2" t="s">
        <v>7949</v>
      </c>
      <c r="BT203" s="2" t="str">
        <f>HYPERLINK("https%3A%2F%2Fwww.webofscience.com%2Fwos%2Fwoscc%2Ffull-record%2FWOS:000211582900001","View Full Record in Web of Science")</f>
        <v>View Full Record in Web of Science</v>
      </c>
    </row>
    <row r="204" ht="15.75" customHeight="1">
      <c r="A204" s="2" t="s">
        <v>3633</v>
      </c>
      <c r="B204" s="2" t="s">
        <v>7950</v>
      </c>
      <c r="C204" s="2" t="s">
        <v>3635</v>
      </c>
      <c r="D204" s="2" t="s">
        <v>3635</v>
      </c>
      <c r="E204" s="2" t="s">
        <v>3635</v>
      </c>
      <c r="F204" s="2" t="s">
        <v>7951</v>
      </c>
      <c r="G204" s="2" t="s">
        <v>3635</v>
      </c>
      <c r="H204" s="2" t="s">
        <v>3635</v>
      </c>
      <c r="I204" s="2" t="s">
        <v>3351</v>
      </c>
      <c r="J204" s="2" t="s">
        <v>7952</v>
      </c>
      <c r="K204" s="2" t="s">
        <v>3635</v>
      </c>
      <c r="L204" s="2" t="s">
        <v>3635</v>
      </c>
      <c r="M204" s="2" t="s">
        <v>3638</v>
      </c>
      <c r="N204" s="2" t="s">
        <v>21</v>
      </c>
      <c r="O204" s="2" t="s">
        <v>3635</v>
      </c>
      <c r="P204" s="2" t="s">
        <v>3635</v>
      </c>
      <c r="Q204" s="2" t="s">
        <v>3635</v>
      </c>
      <c r="R204" s="2" t="s">
        <v>3635</v>
      </c>
      <c r="S204" s="2" t="s">
        <v>3635</v>
      </c>
      <c r="T204" s="2" t="s">
        <v>7953</v>
      </c>
      <c r="U204" s="2" t="s">
        <v>7954</v>
      </c>
      <c r="V204" s="2" t="s">
        <v>7955</v>
      </c>
      <c r="W204" s="2" t="s">
        <v>7956</v>
      </c>
      <c r="X204" s="2" t="s">
        <v>7957</v>
      </c>
      <c r="Y204" s="2" t="s">
        <v>7958</v>
      </c>
      <c r="Z204" s="2" t="s">
        <v>7959</v>
      </c>
      <c r="AA204" s="2" t="s">
        <v>7960</v>
      </c>
      <c r="AB204" s="2" t="s">
        <v>7961</v>
      </c>
      <c r="AC204" s="2" t="s">
        <v>7962</v>
      </c>
      <c r="AD204" s="2" t="s">
        <v>7963</v>
      </c>
      <c r="AE204" s="2" t="s">
        <v>7964</v>
      </c>
      <c r="AF204" s="2" t="s">
        <v>3635</v>
      </c>
      <c r="AG204" s="2">
        <v>62.0</v>
      </c>
      <c r="AH204" s="2">
        <v>5.0</v>
      </c>
      <c r="AI204" s="2">
        <v>5.0</v>
      </c>
      <c r="AJ204" s="2">
        <v>0.0</v>
      </c>
      <c r="AK204" s="2">
        <v>19.0</v>
      </c>
      <c r="AL204" s="2" t="s">
        <v>3685</v>
      </c>
      <c r="AM204" s="2" t="s">
        <v>3686</v>
      </c>
      <c r="AN204" s="2" t="s">
        <v>3951</v>
      </c>
      <c r="AO204" s="2" t="s">
        <v>7965</v>
      </c>
      <c r="AP204" s="2" t="s">
        <v>7966</v>
      </c>
      <c r="AQ204" s="2" t="s">
        <v>3635</v>
      </c>
      <c r="AR204" s="2" t="s">
        <v>7967</v>
      </c>
      <c r="AS204" s="2" t="s">
        <v>7968</v>
      </c>
      <c r="AT204" s="2" t="s">
        <v>6267</v>
      </c>
      <c r="AU204" s="2">
        <v>2013.0</v>
      </c>
      <c r="AV204" s="2">
        <v>10.0</v>
      </c>
      <c r="AW204" s="2">
        <v>1.0</v>
      </c>
      <c r="AX204" s="2" t="s">
        <v>3635</v>
      </c>
      <c r="AY204" s="2" t="s">
        <v>3635</v>
      </c>
      <c r="AZ204" s="2" t="s">
        <v>3635</v>
      </c>
      <c r="BA204" s="2" t="s">
        <v>3635</v>
      </c>
      <c r="BB204" s="2">
        <v>50.0</v>
      </c>
      <c r="BC204" s="2">
        <v>60.0</v>
      </c>
      <c r="BD204" s="2" t="s">
        <v>3635</v>
      </c>
      <c r="BE204" s="2" t="s">
        <v>3353</v>
      </c>
      <c r="BF204" s="3" t="str">
        <f>HYPERLINK("http://dx.doi.org/10.1109/TCBB.2013.3","http://dx.doi.org/10.1109/TCBB.2013.3")</f>
        <v>http://dx.doi.org/10.1109/TCBB.2013.3</v>
      </c>
      <c r="BG204" s="2" t="s">
        <v>3635</v>
      </c>
      <c r="BH204" s="2" t="s">
        <v>3635</v>
      </c>
      <c r="BI204" s="2">
        <v>11.0</v>
      </c>
      <c r="BJ204" s="2" t="s">
        <v>7969</v>
      </c>
      <c r="BK204" s="2" t="s">
        <v>3658</v>
      </c>
      <c r="BL204" s="2" t="s">
        <v>7970</v>
      </c>
      <c r="BM204" s="2" t="s">
        <v>7971</v>
      </c>
      <c r="BN204" s="2">
        <v>2.3702543E7</v>
      </c>
      <c r="BO204" s="2" t="s">
        <v>4425</v>
      </c>
      <c r="BP204" s="2" t="s">
        <v>3635</v>
      </c>
      <c r="BQ204" s="2" t="s">
        <v>3635</v>
      </c>
      <c r="BR204" s="2" t="s">
        <v>3662</v>
      </c>
      <c r="BS204" s="2" t="s">
        <v>7972</v>
      </c>
      <c r="BT204" s="2" t="str">
        <f>HYPERLINK("https%3A%2F%2Fwww.webofscience.com%2Fwos%2Fwoscc%2Ffull-record%2FWOS:000319477300006","View Full Record in Web of Science")</f>
        <v>View Full Record in Web of Science</v>
      </c>
    </row>
    <row r="205" ht="15.75" customHeight="1">
      <c r="A205" s="2" t="s">
        <v>3633</v>
      </c>
      <c r="B205" s="2" t="s">
        <v>7973</v>
      </c>
      <c r="C205" s="2" t="s">
        <v>3635</v>
      </c>
      <c r="D205" s="2" t="s">
        <v>3635</v>
      </c>
      <c r="E205" s="2" t="s">
        <v>3635</v>
      </c>
      <c r="F205" s="2" t="s">
        <v>7974</v>
      </c>
      <c r="G205" s="2" t="s">
        <v>3635</v>
      </c>
      <c r="H205" s="2" t="s">
        <v>3635</v>
      </c>
      <c r="I205" s="2" t="s">
        <v>7975</v>
      </c>
      <c r="J205" s="2" t="s">
        <v>7976</v>
      </c>
      <c r="K205" s="2" t="s">
        <v>3635</v>
      </c>
      <c r="L205" s="2" t="s">
        <v>3635</v>
      </c>
      <c r="M205" s="2" t="s">
        <v>3638</v>
      </c>
      <c r="N205" s="2" t="s">
        <v>21</v>
      </c>
      <c r="O205" s="2" t="s">
        <v>3635</v>
      </c>
      <c r="P205" s="2" t="s">
        <v>3635</v>
      </c>
      <c r="Q205" s="2" t="s">
        <v>3635</v>
      </c>
      <c r="R205" s="2" t="s">
        <v>3635</v>
      </c>
      <c r="S205" s="2" t="s">
        <v>3635</v>
      </c>
      <c r="T205" s="2" t="s">
        <v>7977</v>
      </c>
      <c r="U205" s="2" t="s">
        <v>7978</v>
      </c>
      <c r="V205" s="2" t="s">
        <v>7979</v>
      </c>
      <c r="W205" s="2" t="s">
        <v>7980</v>
      </c>
      <c r="X205" s="2" t="s">
        <v>7981</v>
      </c>
      <c r="Y205" s="2" t="s">
        <v>7982</v>
      </c>
      <c r="Z205" s="2" t="s">
        <v>7983</v>
      </c>
      <c r="AA205" s="2" t="s">
        <v>3635</v>
      </c>
      <c r="AB205" s="2" t="s">
        <v>3635</v>
      </c>
      <c r="AC205" s="2" t="s">
        <v>3635</v>
      </c>
      <c r="AD205" s="2" t="s">
        <v>3635</v>
      </c>
      <c r="AE205" s="2" t="s">
        <v>3635</v>
      </c>
      <c r="AF205" s="2" t="s">
        <v>3635</v>
      </c>
      <c r="AG205" s="2">
        <v>70.0</v>
      </c>
      <c r="AH205" s="2">
        <v>0.0</v>
      </c>
      <c r="AI205" s="2">
        <v>0.0</v>
      </c>
      <c r="AJ205" s="2">
        <v>5.0</v>
      </c>
      <c r="AK205" s="2">
        <v>12.0</v>
      </c>
      <c r="AL205" s="2" t="s">
        <v>7984</v>
      </c>
      <c r="AM205" s="2" t="s">
        <v>4668</v>
      </c>
      <c r="AN205" s="2" t="s">
        <v>7985</v>
      </c>
      <c r="AO205" s="2" t="s">
        <v>7986</v>
      </c>
      <c r="AP205" s="2" t="s">
        <v>7987</v>
      </c>
      <c r="AQ205" s="2" t="s">
        <v>3635</v>
      </c>
      <c r="AR205" s="2" t="s">
        <v>7988</v>
      </c>
      <c r="AS205" s="2" t="s">
        <v>7989</v>
      </c>
      <c r="AT205" s="2" t="s">
        <v>5367</v>
      </c>
      <c r="AU205" s="2">
        <v>2023.0</v>
      </c>
      <c r="AV205" s="2">
        <v>13.0</v>
      </c>
      <c r="AW205" s="2">
        <v>1.0</v>
      </c>
      <c r="AX205" s="2" t="s">
        <v>3635</v>
      </c>
      <c r="AY205" s="2" t="s">
        <v>3635</v>
      </c>
      <c r="AZ205" s="2" t="s">
        <v>3635</v>
      </c>
      <c r="BA205" s="2" t="s">
        <v>3635</v>
      </c>
      <c r="BB205" s="2" t="s">
        <v>3635</v>
      </c>
      <c r="BC205" s="2" t="s">
        <v>3635</v>
      </c>
      <c r="BD205" s="2">
        <v>6.0</v>
      </c>
      <c r="BE205" s="2" t="s">
        <v>7990</v>
      </c>
      <c r="BF205" s="3" t="str">
        <f>HYPERLINK("http://dx.doi.org/10.1007/s40497-023-00348-2","http://dx.doi.org/10.1007/s40497-023-00348-2")</f>
        <v>http://dx.doi.org/10.1007/s40497-023-00348-2</v>
      </c>
      <c r="BG205" s="2" t="s">
        <v>3635</v>
      </c>
      <c r="BH205" s="2" t="s">
        <v>3635</v>
      </c>
      <c r="BI205" s="2">
        <v>25.0</v>
      </c>
      <c r="BJ205" s="2" t="s">
        <v>6545</v>
      </c>
      <c r="BK205" s="2" t="s">
        <v>3993</v>
      </c>
      <c r="BL205" s="2" t="s">
        <v>3994</v>
      </c>
      <c r="BM205" s="2" t="s">
        <v>7991</v>
      </c>
      <c r="BN205" s="2" t="s">
        <v>3635</v>
      </c>
      <c r="BO205" s="2" t="s">
        <v>3635</v>
      </c>
      <c r="BP205" s="2" t="s">
        <v>3635</v>
      </c>
      <c r="BQ205" s="2" t="s">
        <v>3635</v>
      </c>
      <c r="BR205" s="2" t="s">
        <v>3662</v>
      </c>
      <c r="BS205" s="2" t="s">
        <v>7992</v>
      </c>
      <c r="BT205" s="2" t="str">
        <f>HYPERLINK("https%3A%2F%2Fwww.webofscience.com%2Fwos%2Fwoscc%2Ffull-record%2FWOS:001040380500001","View Full Record in Web of Science")</f>
        <v>View Full Record in Web of Science</v>
      </c>
    </row>
    <row r="206" ht="15.75" customHeight="1">
      <c r="A206" s="2" t="s">
        <v>3664</v>
      </c>
      <c r="B206" s="2" t="s">
        <v>7993</v>
      </c>
      <c r="C206" s="2" t="s">
        <v>3635</v>
      </c>
      <c r="D206" s="2" t="s">
        <v>7994</v>
      </c>
      <c r="E206" s="2" t="s">
        <v>3635</v>
      </c>
      <c r="F206" s="2" t="s">
        <v>7995</v>
      </c>
      <c r="G206" s="2" t="s">
        <v>3635</v>
      </c>
      <c r="H206" s="2" t="s">
        <v>3635</v>
      </c>
      <c r="I206" s="2" t="s">
        <v>7996</v>
      </c>
      <c r="J206" s="2" t="s">
        <v>7997</v>
      </c>
      <c r="K206" s="2" t="s">
        <v>3635</v>
      </c>
      <c r="L206" s="2" t="s">
        <v>3635</v>
      </c>
      <c r="M206" s="2" t="s">
        <v>3638</v>
      </c>
      <c r="N206" s="2" t="s">
        <v>3669</v>
      </c>
      <c r="O206" s="2" t="s">
        <v>7998</v>
      </c>
      <c r="P206" s="2" t="s">
        <v>7999</v>
      </c>
      <c r="Q206" s="2" t="s">
        <v>8000</v>
      </c>
      <c r="R206" s="2" t="s">
        <v>8001</v>
      </c>
      <c r="S206" s="2" t="s">
        <v>3635</v>
      </c>
      <c r="T206" s="2" t="s">
        <v>8002</v>
      </c>
      <c r="U206" s="2" t="s">
        <v>3635</v>
      </c>
      <c r="V206" s="2" t="s">
        <v>8003</v>
      </c>
      <c r="W206" s="2" t="s">
        <v>8004</v>
      </c>
      <c r="X206" s="2" t="s">
        <v>8005</v>
      </c>
      <c r="Y206" s="2" t="s">
        <v>8006</v>
      </c>
      <c r="Z206" s="2" t="s">
        <v>8007</v>
      </c>
      <c r="AA206" s="2" t="s">
        <v>8008</v>
      </c>
      <c r="AB206" s="2" t="s">
        <v>8009</v>
      </c>
      <c r="AC206" s="2" t="s">
        <v>3635</v>
      </c>
      <c r="AD206" s="2" t="s">
        <v>3635</v>
      </c>
      <c r="AE206" s="2" t="s">
        <v>3635</v>
      </c>
      <c r="AF206" s="2" t="s">
        <v>3635</v>
      </c>
      <c r="AG206" s="2">
        <v>22.0</v>
      </c>
      <c r="AH206" s="2">
        <v>0.0</v>
      </c>
      <c r="AI206" s="2">
        <v>0.0</v>
      </c>
      <c r="AJ206" s="2">
        <v>0.0</v>
      </c>
      <c r="AK206" s="2">
        <v>0.0</v>
      </c>
      <c r="AL206" s="2" t="s">
        <v>1974</v>
      </c>
      <c r="AM206" s="2" t="s">
        <v>3651</v>
      </c>
      <c r="AN206" s="2" t="s">
        <v>3762</v>
      </c>
      <c r="AO206" s="2" t="s">
        <v>3635</v>
      </c>
      <c r="AP206" s="2" t="s">
        <v>3635</v>
      </c>
      <c r="AQ206" s="2" t="s">
        <v>8010</v>
      </c>
      <c r="AR206" s="2" t="s">
        <v>3635</v>
      </c>
      <c r="AS206" s="2" t="s">
        <v>3635</v>
      </c>
      <c r="AT206" s="2" t="s">
        <v>3635</v>
      </c>
      <c r="AU206" s="2">
        <v>2009.0</v>
      </c>
      <c r="AV206" s="2" t="s">
        <v>3635</v>
      </c>
      <c r="AW206" s="2" t="s">
        <v>3635</v>
      </c>
      <c r="AX206" s="2" t="s">
        <v>3635</v>
      </c>
      <c r="AY206" s="2" t="s">
        <v>3635</v>
      </c>
      <c r="AZ206" s="2" t="s">
        <v>3635</v>
      </c>
      <c r="BA206" s="2" t="s">
        <v>3635</v>
      </c>
      <c r="BB206" s="2">
        <v>100.0</v>
      </c>
      <c r="BC206" s="2">
        <v>107.0</v>
      </c>
      <c r="BD206" s="2" t="s">
        <v>3635</v>
      </c>
      <c r="BE206" s="2" t="s">
        <v>1608</v>
      </c>
      <c r="BF206" s="3" t="str">
        <f>HYPERLINK("http://dx.doi.org/10.1109/ICSAMOS.2009.5289220","http://dx.doi.org/10.1109/ICSAMOS.2009.5289220")</f>
        <v>http://dx.doi.org/10.1109/ICSAMOS.2009.5289220</v>
      </c>
      <c r="BG206" s="2" t="s">
        <v>3635</v>
      </c>
      <c r="BH206" s="2" t="s">
        <v>3635</v>
      </c>
      <c r="BI206" s="2">
        <v>8.0</v>
      </c>
      <c r="BJ206" s="2" t="s">
        <v>3955</v>
      </c>
      <c r="BK206" s="2" t="s">
        <v>3692</v>
      </c>
      <c r="BL206" s="2" t="s">
        <v>3659</v>
      </c>
      <c r="BM206" s="2" t="s">
        <v>8011</v>
      </c>
      <c r="BN206" s="2" t="s">
        <v>3635</v>
      </c>
      <c r="BO206" s="2" t="s">
        <v>3694</v>
      </c>
      <c r="BP206" s="2" t="s">
        <v>3635</v>
      </c>
      <c r="BQ206" s="2" t="s">
        <v>3635</v>
      </c>
      <c r="BR206" s="2" t="s">
        <v>3662</v>
      </c>
      <c r="BS206" s="2" t="s">
        <v>8012</v>
      </c>
      <c r="BT206" s="2" t="str">
        <f>HYPERLINK("https%3A%2F%2Fwww.webofscience.com%2Fwos%2Fwoscc%2Ffull-record%2FWOS:000276377000013","View Full Record in Web of Science")</f>
        <v>View Full Record in Web of Science</v>
      </c>
    </row>
    <row r="207" ht="15.75" customHeight="1">
      <c r="A207" s="2" t="s">
        <v>3633</v>
      </c>
      <c r="B207" s="2" t="s">
        <v>8013</v>
      </c>
      <c r="C207" s="2" t="s">
        <v>3635</v>
      </c>
      <c r="D207" s="2" t="s">
        <v>3635</v>
      </c>
      <c r="E207" s="2" t="s">
        <v>3635</v>
      </c>
      <c r="F207" s="2" t="s">
        <v>8014</v>
      </c>
      <c r="G207" s="2" t="s">
        <v>3635</v>
      </c>
      <c r="H207" s="2" t="s">
        <v>3635</v>
      </c>
      <c r="I207" s="2" t="s">
        <v>544</v>
      </c>
      <c r="J207" s="2" t="s">
        <v>7256</v>
      </c>
      <c r="K207" s="2" t="s">
        <v>3635</v>
      </c>
      <c r="L207" s="2" t="s">
        <v>3635</v>
      </c>
      <c r="M207" s="2" t="s">
        <v>3638</v>
      </c>
      <c r="N207" s="2" t="s">
        <v>21</v>
      </c>
      <c r="O207" s="2" t="s">
        <v>3635</v>
      </c>
      <c r="P207" s="2" t="s">
        <v>3635</v>
      </c>
      <c r="Q207" s="2" t="s">
        <v>3635</v>
      </c>
      <c r="R207" s="2" t="s">
        <v>3635</v>
      </c>
      <c r="S207" s="2" t="s">
        <v>3635</v>
      </c>
      <c r="T207" s="2" t="s">
        <v>8015</v>
      </c>
      <c r="U207" s="2" t="s">
        <v>8016</v>
      </c>
      <c r="V207" s="2" t="s">
        <v>8017</v>
      </c>
      <c r="W207" s="2" t="s">
        <v>8018</v>
      </c>
      <c r="X207" s="2" t="s">
        <v>8019</v>
      </c>
      <c r="Y207" s="2" t="s">
        <v>8020</v>
      </c>
      <c r="Z207" s="2" t="s">
        <v>8021</v>
      </c>
      <c r="AA207" s="2" t="s">
        <v>8022</v>
      </c>
      <c r="AB207" s="2" t="s">
        <v>8023</v>
      </c>
      <c r="AC207" s="2" t="s">
        <v>3635</v>
      </c>
      <c r="AD207" s="2" t="s">
        <v>3635</v>
      </c>
      <c r="AE207" s="2" t="s">
        <v>3635</v>
      </c>
      <c r="AF207" s="2" t="s">
        <v>3635</v>
      </c>
      <c r="AG207" s="2">
        <v>106.0</v>
      </c>
      <c r="AH207" s="2">
        <v>6.0</v>
      </c>
      <c r="AI207" s="2">
        <v>7.0</v>
      </c>
      <c r="AJ207" s="2">
        <v>4.0</v>
      </c>
      <c r="AK207" s="2">
        <v>18.0</v>
      </c>
      <c r="AL207" s="2" t="s">
        <v>3784</v>
      </c>
      <c r="AM207" s="2" t="s">
        <v>3785</v>
      </c>
      <c r="AN207" s="2" t="s">
        <v>3786</v>
      </c>
      <c r="AO207" s="2" t="s">
        <v>7269</v>
      </c>
      <c r="AP207" s="2" t="s">
        <v>3635</v>
      </c>
      <c r="AQ207" s="2" t="s">
        <v>3635</v>
      </c>
      <c r="AR207" s="2" t="s">
        <v>7256</v>
      </c>
      <c r="AS207" s="2" t="s">
        <v>129</v>
      </c>
      <c r="AT207" s="2" t="s">
        <v>3635</v>
      </c>
      <c r="AU207" s="2">
        <v>2020.0</v>
      </c>
      <c r="AV207" s="2">
        <v>8.0</v>
      </c>
      <c r="AW207" s="2" t="s">
        <v>3635</v>
      </c>
      <c r="AX207" s="2" t="s">
        <v>3635</v>
      </c>
      <c r="AY207" s="2" t="s">
        <v>3635</v>
      </c>
      <c r="AZ207" s="2" t="s">
        <v>3635</v>
      </c>
      <c r="BA207" s="2" t="s">
        <v>3635</v>
      </c>
      <c r="BB207" s="2">
        <v>213619.0</v>
      </c>
      <c r="BC207" s="2">
        <v>213635.0</v>
      </c>
      <c r="BD207" s="2" t="s">
        <v>3635</v>
      </c>
      <c r="BE207" s="2" t="s">
        <v>546</v>
      </c>
      <c r="BF207" s="3" t="str">
        <f>HYPERLINK("http://dx.doi.org/10.1109/ACCESS.2020.3040169","http://dx.doi.org/10.1109/ACCESS.2020.3040169")</f>
        <v>http://dx.doi.org/10.1109/ACCESS.2020.3040169</v>
      </c>
      <c r="BG207" s="2" t="s">
        <v>3635</v>
      </c>
      <c r="BH207" s="2" t="s">
        <v>3635</v>
      </c>
      <c r="BI207" s="2">
        <v>17.0</v>
      </c>
      <c r="BJ207" s="2" t="s">
        <v>5413</v>
      </c>
      <c r="BK207" s="2" t="s">
        <v>4378</v>
      </c>
      <c r="BL207" s="2" t="s">
        <v>3816</v>
      </c>
      <c r="BM207" s="2" t="s">
        <v>8024</v>
      </c>
      <c r="BN207" s="2" t="s">
        <v>3635</v>
      </c>
      <c r="BO207" s="2" t="s">
        <v>4251</v>
      </c>
      <c r="BP207" s="2" t="s">
        <v>3635</v>
      </c>
      <c r="BQ207" s="2" t="s">
        <v>3635</v>
      </c>
      <c r="BR207" s="2" t="s">
        <v>3662</v>
      </c>
      <c r="BS207" s="2" t="s">
        <v>8025</v>
      </c>
      <c r="BT207" s="2" t="str">
        <f>HYPERLINK("https%3A%2F%2Fwww.webofscience.com%2Fwos%2Fwoscc%2Ffull-record%2FWOS:000597970800001","View Full Record in Web of Science")</f>
        <v>View Full Record in Web of Science</v>
      </c>
    </row>
    <row r="208" ht="15.75" customHeight="1">
      <c r="A208" s="2" t="s">
        <v>3633</v>
      </c>
      <c r="B208" s="2" t="s">
        <v>8026</v>
      </c>
      <c r="C208" s="2" t="s">
        <v>3635</v>
      </c>
      <c r="D208" s="2" t="s">
        <v>3635</v>
      </c>
      <c r="E208" s="2" t="s">
        <v>3635</v>
      </c>
      <c r="F208" s="2" t="s">
        <v>8027</v>
      </c>
      <c r="G208" s="2" t="s">
        <v>3635</v>
      </c>
      <c r="H208" s="2" t="s">
        <v>3635</v>
      </c>
      <c r="I208" s="2" t="s">
        <v>957</v>
      </c>
      <c r="J208" s="2" t="s">
        <v>8028</v>
      </c>
      <c r="K208" s="2" t="s">
        <v>3635</v>
      </c>
      <c r="L208" s="2" t="s">
        <v>3635</v>
      </c>
      <c r="M208" s="2" t="s">
        <v>3638</v>
      </c>
      <c r="N208" s="2" t="s">
        <v>21</v>
      </c>
      <c r="O208" s="2" t="s">
        <v>3635</v>
      </c>
      <c r="P208" s="2" t="s">
        <v>3635</v>
      </c>
      <c r="Q208" s="2" t="s">
        <v>3635</v>
      </c>
      <c r="R208" s="2" t="s">
        <v>3635</v>
      </c>
      <c r="S208" s="2" t="s">
        <v>3635</v>
      </c>
      <c r="T208" s="2" t="s">
        <v>8029</v>
      </c>
      <c r="U208" s="2" t="s">
        <v>8030</v>
      </c>
      <c r="V208" s="2" t="s">
        <v>8031</v>
      </c>
      <c r="W208" s="2" t="s">
        <v>8032</v>
      </c>
      <c r="X208" s="2" t="s">
        <v>8033</v>
      </c>
      <c r="Y208" s="2" t="s">
        <v>8034</v>
      </c>
      <c r="Z208" s="2" t="s">
        <v>8035</v>
      </c>
      <c r="AA208" s="2" t="s">
        <v>8036</v>
      </c>
      <c r="AB208" s="2" t="s">
        <v>8037</v>
      </c>
      <c r="AC208" s="2" t="s">
        <v>3635</v>
      </c>
      <c r="AD208" s="2" t="s">
        <v>3635</v>
      </c>
      <c r="AE208" s="2" t="s">
        <v>3635</v>
      </c>
      <c r="AF208" s="2" t="s">
        <v>3635</v>
      </c>
      <c r="AG208" s="2">
        <v>43.0</v>
      </c>
      <c r="AH208" s="2">
        <v>4.0</v>
      </c>
      <c r="AI208" s="2">
        <v>5.0</v>
      </c>
      <c r="AJ208" s="2">
        <v>0.0</v>
      </c>
      <c r="AK208" s="2">
        <v>6.0</v>
      </c>
      <c r="AL208" s="2" t="s">
        <v>5862</v>
      </c>
      <c r="AM208" s="2" t="s">
        <v>3651</v>
      </c>
      <c r="AN208" s="2" t="s">
        <v>8038</v>
      </c>
      <c r="AO208" s="2" t="s">
        <v>8039</v>
      </c>
      <c r="AP208" s="2" t="s">
        <v>3635</v>
      </c>
      <c r="AQ208" s="2" t="s">
        <v>3635</v>
      </c>
      <c r="AR208" s="2" t="s">
        <v>8040</v>
      </c>
      <c r="AS208" s="2" t="s">
        <v>8041</v>
      </c>
      <c r="AT208" s="2" t="s">
        <v>3953</v>
      </c>
      <c r="AU208" s="2">
        <v>2015.0</v>
      </c>
      <c r="AV208" s="2">
        <v>1.0</v>
      </c>
      <c r="AW208" s="2" t="s">
        <v>3635</v>
      </c>
      <c r="AX208" s="2" t="s">
        <v>3635</v>
      </c>
      <c r="AY208" s="2" t="s">
        <v>3635</v>
      </c>
      <c r="AZ208" s="2" t="s">
        <v>3635</v>
      </c>
      <c r="BA208" s="2" t="s">
        <v>3635</v>
      </c>
      <c r="BB208" s="2" t="s">
        <v>3635</v>
      </c>
      <c r="BC208" s="2" t="s">
        <v>3635</v>
      </c>
      <c r="BD208" s="2" t="s">
        <v>8042</v>
      </c>
      <c r="BE208" s="2" t="s">
        <v>960</v>
      </c>
      <c r="BF208" s="3" t="str">
        <f>HYPERLINK("http://dx.doi.org/10.1017/dsj.2015.3","http://dx.doi.org/10.1017/dsj.2015.3")</f>
        <v>http://dx.doi.org/10.1017/dsj.2015.3</v>
      </c>
      <c r="BG208" s="2" t="s">
        <v>3635</v>
      </c>
      <c r="BH208" s="2" t="s">
        <v>3635</v>
      </c>
      <c r="BI208" s="2">
        <v>31.0</v>
      </c>
      <c r="BJ208" s="2" t="s">
        <v>8043</v>
      </c>
      <c r="BK208" s="2" t="s">
        <v>3993</v>
      </c>
      <c r="BL208" s="2" t="s">
        <v>3971</v>
      </c>
      <c r="BM208" s="2" t="s">
        <v>8044</v>
      </c>
      <c r="BN208" s="2" t="s">
        <v>3635</v>
      </c>
      <c r="BO208" s="2" t="s">
        <v>8045</v>
      </c>
      <c r="BP208" s="2" t="s">
        <v>3635</v>
      </c>
      <c r="BQ208" s="2" t="s">
        <v>3635</v>
      </c>
      <c r="BR208" s="2" t="s">
        <v>3662</v>
      </c>
      <c r="BS208" s="2" t="s">
        <v>8046</v>
      </c>
      <c r="BT208" s="2" t="str">
        <f>HYPERLINK("https%3A%2F%2Fwww.webofscience.com%2Fwos%2Fwoscc%2Ffull-record%2FWOS:000215797100003","View Full Record in Web of Science")</f>
        <v>View Full Record in Web of Science</v>
      </c>
    </row>
    <row r="209" ht="15.75" customHeight="1">
      <c r="A209" s="2" t="s">
        <v>3633</v>
      </c>
      <c r="B209" s="2" t="s">
        <v>8047</v>
      </c>
      <c r="C209" s="2" t="s">
        <v>3635</v>
      </c>
      <c r="D209" s="2" t="s">
        <v>3635</v>
      </c>
      <c r="E209" s="2" t="s">
        <v>3635</v>
      </c>
      <c r="F209" s="2" t="s">
        <v>8048</v>
      </c>
      <c r="G209" s="2" t="s">
        <v>3635</v>
      </c>
      <c r="H209" s="2" t="s">
        <v>3635</v>
      </c>
      <c r="I209" s="2" t="s">
        <v>8049</v>
      </c>
      <c r="J209" s="2" t="s">
        <v>8050</v>
      </c>
      <c r="K209" s="2" t="s">
        <v>3635</v>
      </c>
      <c r="L209" s="2" t="s">
        <v>3635</v>
      </c>
      <c r="M209" s="2" t="s">
        <v>3638</v>
      </c>
      <c r="N209" s="2" t="s">
        <v>21</v>
      </c>
      <c r="O209" s="2" t="s">
        <v>3635</v>
      </c>
      <c r="P209" s="2" t="s">
        <v>3635</v>
      </c>
      <c r="Q209" s="2" t="s">
        <v>3635</v>
      </c>
      <c r="R209" s="2" t="s">
        <v>3635</v>
      </c>
      <c r="S209" s="2" t="s">
        <v>3635</v>
      </c>
      <c r="T209" s="2" t="s">
        <v>8051</v>
      </c>
      <c r="U209" s="2" t="s">
        <v>8052</v>
      </c>
      <c r="V209" s="2" t="s">
        <v>8053</v>
      </c>
      <c r="W209" s="2" t="s">
        <v>8054</v>
      </c>
      <c r="X209" s="2" t="s">
        <v>8055</v>
      </c>
      <c r="Y209" s="2" t="s">
        <v>8056</v>
      </c>
      <c r="Z209" s="2" t="s">
        <v>8057</v>
      </c>
      <c r="AA209" s="2" t="s">
        <v>3635</v>
      </c>
      <c r="AB209" s="2" t="s">
        <v>3635</v>
      </c>
      <c r="AC209" s="2" t="s">
        <v>8058</v>
      </c>
      <c r="AD209" s="2" t="s">
        <v>8059</v>
      </c>
      <c r="AE209" s="2" t="s">
        <v>8060</v>
      </c>
      <c r="AF209" s="2" t="s">
        <v>3635</v>
      </c>
      <c r="AG209" s="2">
        <v>34.0</v>
      </c>
      <c r="AH209" s="2">
        <v>10.0</v>
      </c>
      <c r="AI209" s="2">
        <v>10.0</v>
      </c>
      <c r="AJ209" s="2">
        <v>0.0</v>
      </c>
      <c r="AK209" s="2">
        <v>11.0</v>
      </c>
      <c r="AL209" s="2" t="s">
        <v>4740</v>
      </c>
      <c r="AM209" s="2" t="s">
        <v>4668</v>
      </c>
      <c r="AN209" s="2" t="s">
        <v>4741</v>
      </c>
      <c r="AO209" s="2" t="s">
        <v>8061</v>
      </c>
      <c r="AP209" s="2" t="s">
        <v>3635</v>
      </c>
      <c r="AQ209" s="2" t="s">
        <v>3635</v>
      </c>
      <c r="AR209" s="2" t="s">
        <v>8062</v>
      </c>
      <c r="AS209" s="2" t="s">
        <v>8063</v>
      </c>
      <c r="AT209" s="2" t="s">
        <v>8064</v>
      </c>
      <c r="AU209" s="2">
        <v>2021.0</v>
      </c>
      <c r="AV209" s="2">
        <v>11.0</v>
      </c>
      <c r="AW209" s="2">
        <v>1.0</v>
      </c>
      <c r="AX209" s="2" t="s">
        <v>3635</v>
      </c>
      <c r="AY209" s="2" t="s">
        <v>3635</v>
      </c>
      <c r="AZ209" s="2" t="s">
        <v>3635</v>
      </c>
      <c r="BA209" s="2" t="s">
        <v>3635</v>
      </c>
      <c r="BB209" s="2" t="s">
        <v>3635</v>
      </c>
      <c r="BC209" s="2" t="s">
        <v>3635</v>
      </c>
      <c r="BD209" s="2">
        <v>39.0</v>
      </c>
      <c r="BE209" s="2" t="s">
        <v>8065</v>
      </c>
      <c r="BF209" s="3" t="str">
        <f>HYPERLINK("http://dx.doi.org/10.1186/s13705-021-00315-3","http://dx.doi.org/10.1186/s13705-021-00315-3")</f>
        <v>http://dx.doi.org/10.1186/s13705-021-00315-3</v>
      </c>
      <c r="BG209" s="2" t="s">
        <v>3635</v>
      </c>
      <c r="BH209" s="2" t="s">
        <v>3635</v>
      </c>
      <c r="BI209" s="2">
        <v>14.0</v>
      </c>
      <c r="BJ209" s="2" t="s">
        <v>8066</v>
      </c>
      <c r="BK209" s="2" t="s">
        <v>4378</v>
      </c>
      <c r="BL209" s="2" t="s">
        <v>8067</v>
      </c>
      <c r="BM209" s="2" t="s">
        <v>8068</v>
      </c>
      <c r="BN209" s="2" t="s">
        <v>3635</v>
      </c>
      <c r="BO209" s="2" t="s">
        <v>4748</v>
      </c>
      <c r="BP209" s="2" t="s">
        <v>3635</v>
      </c>
      <c r="BQ209" s="2" t="s">
        <v>3635</v>
      </c>
      <c r="BR209" s="2" t="s">
        <v>3662</v>
      </c>
      <c r="BS209" s="2" t="s">
        <v>8069</v>
      </c>
      <c r="BT209" s="2" t="str">
        <f>HYPERLINK("https%3A%2F%2Fwww.webofscience.com%2Fwos%2Fwoscc%2Ffull-record%2FWOS:000712823200001","View Full Record in Web of Science")</f>
        <v>View Full Record in Web of Science</v>
      </c>
    </row>
    <row r="210" ht="15.75" customHeight="1">
      <c r="A210" s="2" t="s">
        <v>3664</v>
      </c>
      <c r="B210" s="2" t="s">
        <v>8070</v>
      </c>
      <c r="C210" s="2" t="s">
        <v>3635</v>
      </c>
      <c r="D210" s="2" t="s">
        <v>3635</v>
      </c>
      <c r="E210" s="2" t="s">
        <v>1974</v>
      </c>
      <c r="F210" s="2" t="s">
        <v>8071</v>
      </c>
      <c r="G210" s="2" t="s">
        <v>3635</v>
      </c>
      <c r="H210" s="2" t="s">
        <v>3635</v>
      </c>
      <c r="I210" s="2" t="s">
        <v>8072</v>
      </c>
      <c r="J210" s="2" t="s">
        <v>8073</v>
      </c>
      <c r="K210" s="2" t="s">
        <v>3635</v>
      </c>
      <c r="L210" s="2" t="s">
        <v>3635</v>
      </c>
      <c r="M210" s="2" t="s">
        <v>3638</v>
      </c>
      <c r="N210" s="2" t="s">
        <v>3669</v>
      </c>
      <c r="O210" s="2" t="s">
        <v>555</v>
      </c>
      <c r="P210" s="2" t="s">
        <v>8074</v>
      </c>
      <c r="Q210" s="2" t="s">
        <v>4261</v>
      </c>
      <c r="R210" s="2" t="s">
        <v>8075</v>
      </c>
      <c r="S210" s="2" t="s">
        <v>3635</v>
      </c>
      <c r="T210" s="2" t="s">
        <v>8076</v>
      </c>
      <c r="U210" s="2" t="s">
        <v>8077</v>
      </c>
      <c r="V210" s="2" t="s">
        <v>8078</v>
      </c>
      <c r="W210" s="2" t="s">
        <v>8079</v>
      </c>
      <c r="X210" s="2" t="s">
        <v>8080</v>
      </c>
      <c r="Y210" s="2" t="s">
        <v>8081</v>
      </c>
      <c r="Z210" s="2" t="s">
        <v>8082</v>
      </c>
      <c r="AA210" s="2" t="s">
        <v>3635</v>
      </c>
      <c r="AB210" s="2" t="s">
        <v>3635</v>
      </c>
      <c r="AC210" s="2" t="s">
        <v>3635</v>
      </c>
      <c r="AD210" s="2" t="s">
        <v>3635</v>
      </c>
      <c r="AE210" s="2" t="s">
        <v>3635</v>
      </c>
      <c r="AF210" s="2" t="s">
        <v>3635</v>
      </c>
      <c r="AG210" s="2">
        <v>33.0</v>
      </c>
      <c r="AH210" s="2">
        <v>1.0</v>
      </c>
      <c r="AI210" s="2">
        <v>1.0</v>
      </c>
      <c r="AJ210" s="2">
        <v>0.0</v>
      </c>
      <c r="AK210" s="2">
        <v>0.0</v>
      </c>
      <c r="AL210" s="2" t="s">
        <v>1974</v>
      </c>
      <c r="AM210" s="2" t="s">
        <v>3651</v>
      </c>
      <c r="AN210" s="2" t="s">
        <v>3762</v>
      </c>
      <c r="AO210" s="2" t="s">
        <v>3635</v>
      </c>
      <c r="AP210" s="2" t="s">
        <v>3635</v>
      </c>
      <c r="AQ210" s="2" t="s">
        <v>8083</v>
      </c>
      <c r="AR210" s="2" t="s">
        <v>3635</v>
      </c>
      <c r="AS210" s="2" t="s">
        <v>3635</v>
      </c>
      <c r="AT210" s="2" t="s">
        <v>3635</v>
      </c>
      <c r="AU210" s="2">
        <v>2018.0</v>
      </c>
      <c r="AV210" s="2" t="s">
        <v>3635</v>
      </c>
      <c r="AW210" s="2" t="s">
        <v>3635</v>
      </c>
      <c r="AX210" s="2" t="s">
        <v>3635</v>
      </c>
      <c r="AY210" s="2" t="s">
        <v>3635</v>
      </c>
      <c r="AZ210" s="2" t="s">
        <v>3635</v>
      </c>
      <c r="BA210" s="2" t="s">
        <v>3635</v>
      </c>
      <c r="BB210" s="2" t="s">
        <v>3635</v>
      </c>
      <c r="BC210" s="2" t="s">
        <v>3635</v>
      </c>
      <c r="BD210" s="2" t="s">
        <v>3635</v>
      </c>
      <c r="BE210" s="2" t="s">
        <v>3635</v>
      </c>
      <c r="BF210" s="2" t="s">
        <v>3635</v>
      </c>
      <c r="BG210" s="2" t="s">
        <v>3635</v>
      </c>
      <c r="BH210" s="2" t="s">
        <v>3635</v>
      </c>
      <c r="BI210" s="2">
        <v>8.0</v>
      </c>
      <c r="BJ210" s="2" t="s">
        <v>3955</v>
      </c>
      <c r="BK210" s="2" t="s">
        <v>3692</v>
      </c>
      <c r="BL210" s="2" t="s">
        <v>3659</v>
      </c>
      <c r="BM210" s="2" t="s">
        <v>8084</v>
      </c>
      <c r="BN210" s="2" t="s">
        <v>3635</v>
      </c>
      <c r="BO210" s="2" t="s">
        <v>3635</v>
      </c>
      <c r="BP210" s="2" t="s">
        <v>3635</v>
      </c>
      <c r="BQ210" s="2" t="s">
        <v>3635</v>
      </c>
      <c r="BR210" s="2" t="s">
        <v>3662</v>
      </c>
      <c r="BS210" s="2" t="s">
        <v>8085</v>
      </c>
      <c r="BT210" s="2" t="str">
        <f>HYPERLINK("https%3A%2F%2Fwww.webofscience.com%2Fwos%2Fwoscc%2Ffull-record%2FWOS:000519731400009","View Full Record in Web of Science")</f>
        <v>View Full Record in Web of Science</v>
      </c>
    </row>
    <row r="211" ht="15.75" customHeight="1">
      <c r="A211" s="2" t="s">
        <v>3664</v>
      </c>
      <c r="B211" s="2" t="s">
        <v>8086</v>
      </c>
      <c r="C211" s="2" t="s">
        <v>3635</v>
      </c>
      <c r="D211" s="2" t="s">
        <v>8087</v>
      </c>
      <c r="E211" s="2" t="s">
        <v>3635</v>
      </c>
      <c r="F211" s="2" t="s">
        <v>8088</v>
      </c>
      <c r="G211" s="2" t="s">
        <v>3635</v>
      </c>
      <c r="H211" s="2" t="s">
        <v>3635</v>
      </c>
      <c r="I211" s="2" t="s">
        <v>8089</v>
      </c>
      <c r="J211" s="2" t="s">
        <v>8090</v>
      </c>
      <c r="K211" s="2" t="s">
        <v>8091</v>
      </c>
      <c r="L211" s="2" t="s">
        <v>3635</v>
      </c>
      <c r="M211" s="2" t="s">
        <v>3638</v>
      </c>
      <c r="N211" s="2" t="s">
        <v>3669</v>
      </c>
      <c r="O211" s="2" t="s">
        <v>8092</v>
      </c>
      <c r="P211" s="2" t="s">
        <v>8093</v>
      </c>
      <c r="Q211" s="2" t="s">
        <v>5735</v>
      </c>
      <c r="R211" s="2" t="s">
        <v>8094</v>
      </c>
      <c r="S211" s="2" t="s">
        <v>3635</v>
      </c>
      <c r="T211" s="2" t="s">
        <v>8095</v>
      </c>
      <c r="U211" s="2" t="s">
        <v>8096</v>
      </c>
      <c r="V211" s="2" t="s">
        <v>8097</v>
      </c>
      <c r="W211" s="2" t="s">
        <v>8098</v>
      </c>
      <c r="X211" s="2" t="s">
        <v>8099</v>
      </c>
      <c r="Y211" s="2" t="s">
        <v>8100</v>
      </c>
      <c r="Z211" s="2" t="s">
        <v>8101</v>
      </c>
      <c r="AA211" s="2" t="s">
        <v>8102</v>
      </c>
      <c r="AB211" s="2" t="s">
        <v>3635</v>
      </c>
      <c r="AC211" s="2" t="s">
        <v>3635</v>
      </c>
      <c r="AD211" s="2" t="s">
        <v>3635</v>
      </c>
      <c r="AE211" s="2" t="s">
        <v>3635</v>
      </c>
      <c r="AF211" s="2" t="s">
        <v>3635</v>
      </c>
      <c r="AG211" s="2">
        <v>29.0</v>
      </c>
      <c r="AH211" s="2">
        <v>0.0</v>
      </c>
      <c r="AI211" s="2">
        <v>0.0</v>
      </c>
      <c r="AJ211" s="2">
        <v>0.0</v>
      </c>
      <c r="AK211" s="2">
        <v>2.0</v>
      </c>
      <c r="AL211" s="2" t="s">
        <v>3685</v>
      </c>
      <c r="AM211" s="2" t="s">
        <v>3686</v>
      </c>
      <c r="AN211" s="2" t="s">
        <v>3687</v>
      </c>
      <c r="AO211" s="2" t="s">
        <v>8103</v>
      </c>
      <c r="AP211" s="2" t="s">
        <v>8104</v>
      </c>
      <c r="AQ211" s="2" t="s">
        <v>8105</v>
      </c>
      <c r="AR211" s="2" t="s">
        <v>8106</v>
      </c>
      <c r="AS211" s="2" t="s">
        <v>3635</v>
      </c>
      <c r="AT211" s="2" t="s">
        <v>3635</v>
      </c>
      <c r="AU211" s="2">
        <v>2013.0</v>
      </c>
      <c r="AV211" s="2" t="s">
        <v>3635</v>
      </c>
      <c r="AW211" s="2" t="s">
        <v>3635</v>
      </c>
      <c r="AX211" s="2" t="s">
        <v>3635</v>
      </c>
      <c r="AY211" s="2" t="s">
        <v>3635</v>
      </c>
      <c r="AZ211" s="2" t="s">
        <v>3635</v>
      </c>
      <c r="BA211" s="2" t="s">
        <v>3635</v>
      </c>
      <c r="BB211" s="2" t="s">
        <v>3635</v>
      </c>
      <c r="BC211" s="2" t="s">
        <v>3635</v>
      </c>
      <c r="BD211" s="2" t="s">
        <v>3635</v>
      </c>
      <c r="BE211" s="2" t="s">
        <v>3635</v>
      </c>
      <c r="BF211" s="2" t="s">
        <v>3635</v>
      </c>
      <c r="BG211" s="2" t="s">
        <v>3635</v>
      </c>
      <c r="BH211" s="2" t="s">
        <v>3635</v>
      </c>
      <c r="BI211" s="2">
        <v>4.0</v>
      </c>
      <c r="BJ211" s="2" t="s">
        <v>8107</v>
      </c>
      <c r="BK211" s="2" t="s">
        <v>3692</v>
      </c>
      <c r="BL211" s="2" t="s">
        <v>8108</v>
      </c>
      <c r="BM211" s="2" t="s">
        <v>8109</v>
      </c>
      <c r="BN211" s="2" t="s">
        <v>3635</v>
      </c>
      <c r="BO211" s="2" t="s">
        <v>3635</v>
      </c>
      <c r="BP211" s="2" t="s">
        <v>3635</v>
      </c>
      <c r="BQ211" s="2" t="s">
        <v>3635</v>
      </c>
      <c r="BR211" s="2" t="s">
        <v>3662</v>
      </c>
      <c r="BS211" s="2" t="s">
        <v>8110</v>
      </c>
      <c r="BT211" s="2" t="str">
        <f>HYPERLINK("https%3A%2F%2Fwww.webofscience.com%2Fwos%2Fwoscc%2Ffull-record%2FWOS:000348252400120","View Full Record in Web of Science")</f>
        <v>View Full Record in Web of Science</v>
      </c>
    </row>
    <row r="212" ht="15.75" customHeight="1">
      <c r="A212" s="2" t="s">
        <v>3664</v>
      </c>
      <c r="B212" s="2" t="s">
        <v>8111</v>
      </c>
      <c r="C212" s="2" t="s">
        <v>3635</v>
      </c>
      <c r="D212" s="2" t="s">
        <v>3635</v>
      </c>
      <c r="E212" s="2" t="s">
        <v>1974</v>
      </c>
      <c r="F212" s="2" t="s">
        <v>8112</v>
      </c>
      <c r="G212" s="2" t="s">
        <v>3635</v>
      </c>
      <c r="H212" s="2" t="s">
        <v>3635</v>
      </c>
      <c r="I212" s="2" t="s">
        <v>581</v>
      </c>
      <c r="J212" s="2" t="s">
        <v>8113</v>
      </c>
      <c r="K212" s="2" t="s">
        <v>8114</v>
      </c>
      <c r="L212" s="2" t="s">
        <v>3635</v>
      </c>
      <c r="M212" s="2" t="s">
        <v>3638</v>
      </c>
      <c r="N212" s="2" t="s">
        <v>3669</v>
      </c>
      <c r="O212" s="2" t="s">
        <v>8115</v>
      </c>
      <c r="P212" s="2" t="s">
        <v>8116</v>
      </c>
      <c r="Q212" s="2" t="s">
        <v>8117</v>
      </c>
      <c r="R212" s="2" t="s">
        <v>8118</v>
      </c>
      <c r="S212" s="2" t="s">
        <v>3635</v>
      </c>
      <c r="T212" s="2" t="s">
        <v>8119</v>
      </c>
      <c r="U212" s="2" t="s">
        <v>3635</v>
      </c>
      <c r="V212" s="2" t="s">
        <v>8120</v>
      </c>
      <c r="W212" s="2" t="s">
        <v>8121</v>
      </c>
      <c r="X212" s="2" t="s">
        <v>8122</v>
      </c>
      <c r="Y212" s="2" t="s">
        <v>8123</v>
      </c>
      <c r="Z212" s="2" t="s">
        <v>8124</v>
      </c>
      <c r="AA212" s="2" t="s">
        <v>8125</v>
      </c>
      <c r="AB212" s="2" t="s">
        <v>3635</v>
      </c>
      <c r="AC212" s="2" t="s">
        <v>8126</v>
      </c>
      <c r="AD212" s="2" t="s">
        <v>8127</v>
      </c>
      <c r="AE212" s="2" t="s">
        <v>8128</v>
      </c>
      <c r="AF212" s="2" t="s">
        <v>3635</v>
      </c>
      <c r="AG212" s="2">
        <v>14.0</v>
      </c>
      <c r="AH212" s="2">
        <v>0.0</v>
      </c>
      <c r="AI212" s="2">
        <v>0.0</v>
      </c>
      <c r="AJ212" s="2">
        <v>1.0</v>
      </c>
      <c r="AK212" s="2">
        <v>1.0</v>
      </c>
      <c r="AL212" s="2" t="s">
        <v>1974</v>
      </c>
      <c r="AM212" s="2" t="s">
        <v>3651</v>
      </c>
      <c r="AN212" s="2" t="s">
        <v>3762</v>
      </c>
      <c r="AO212" s="2" t="s">
        <v>8129</v>
      </c>
      <c r="AP212" s="2" t="s">
        <v>3635</v>
      </c>
      <c r="AQ212" s="2" t="s">
        <v>8130</v>
      </c>
      <c r="AR212" s="2" t="s">
        <v>8131</v>
      </c>
      <c r="AS212" s="2" t="s">
        <v>3635</v>
      </c>
      <c r="AT212" s="2" t="s">
        <v>3635</v>
      </c>
      <c r="AU212" s="2">
        <v>2020.0</v>
      </c>
      <c r="AV212" s="2" t="s">
        <v>3635</v>
      </c>
      <c r="AW212" s="2" t="s">
        <v>3635</v>
      </c>
      <c r="AX212" s="2" t="s">
        <v>3635</v>
      </c>
      <c r="AY212" s="2" t="s">
        <v>3635</v>
      </c>
      <c r="AZ212" s="2" t="s">
        <v>3635</v>
      </c>
      <c r="BA212" s="2" t="s">
        <v>3635</v>
      </c>
      <c r="BB212" s="2" t="s">
        <v>3635</v>
      </c>
      <c r="BC212" s="2" t="s">
        <v>3635</v>
      </c>
      <c r="BD212" s="2" t="s">
        <v>3635</v>
      </c>
      <c r="BE212" s="2" t="s">
        <v>8132</v>
      </c>
      <c r="BF212" s="3" t="str">
        <f>HYPERLINK("http://dx.doi.org/10.1109/fdl50818.2020.9232931","http://dx.doi.org/10.1109/fdl50818.2020.9232931")</f>
        <v>http://dx.doi.org/10.1109/fdl50818.2020.9232931</v>
      </c>
      <c r="BG212" s="2" t="s">
        <v>3635</v>
      </c>
      <c r="BH212" s="2" t="s">
        <v>3635</v>
      </c>
      <c r="BI212" s="2">
        <v>4.0</v>
      </c>
      <c r="BJ212" s="2" t="s">
        <v>8133</v>
      </c>
      <c r="BK212" s="2" t="s">
        <v>3692</v>
      </c>
      <c r="BL212" s="2" t="s">
        <v>3944</v>
      </c>
      <c r="BM212" s="2" t="s">
        <v>8134</v>
      </c>
      <c r="BN212" s="2" t="s">
        <v>3635</v>
      </c>
      <c r="BO212" s="2" t="s">
        <v>3694</v>
      </c>
      <c r="BP212" s="2" t="s">
        <v>3635</v>
      </c>
      <c r="BQ212" s="2" t="s">
        <v>3635</v>
      </c>
      <c r="BR212" s="2" t="s">
        <v>3662</v>
      </c>
      <c r="BS212" s="2" t="s">
        <v>8135</v>
      </c>
      <c r="BT212" s="2" t="str">
        <f>HYPERLINK("https%3A%2F%2Fwww.webofscience.com%2Fwos%2Fwoscc%2Ffull-record%2FWOS:000803059600001","View Full Record in Web of Science")</f>
        <v>View Full Record in Web of Science</v>
      </c>
    </row>
    <row r="213" ht="15.75" customHeight="1">
      <c r="A213" s="2" t="s">
        <v>3633</v>
      </c>
      <c r="B213" s="2" t="s">
        <v>8136</v>
      </c>
      <c r="C213" s="2" t="s">
        <v>3635</v>
      </c>
      <c r="D213" s="2" t="s">
        <v>3635</v>
      </c>
      <c r="E213" s="2" t="s">
        <v>3635</v>
      </c>
      <c r="F213" s="2" t="s">
        <v>8137</v>
      </c>
      <c r="G213" s="2" t="s">
        <v>3635</v>
      </c>
      <c r="H213" s="2" t="s">
        <v>3635</v>
      </c>
      <c r="I213" s="2" t="s">
        <v>439</v>
      </c>
      <c r="J213" s="2" t="s">
        <v>6676</v>
      </c>
      <c r="K213" s="2" t="s">
        <v>3635</v>
      </c>
      <c r="L213" s="2" t="s">
        <v>3635</v>
      </c>
      <c r="M213" s="2" t="s">
        <v>3638</v>
      </c>
      <c r="N213" s="2" t="s">
        <v>21</v>
      </c>
      <c r="O213" s="2" t="s">
        <v>3635</v>
      </c>
      <c r="P213" s="2" t="s">
        <v>3635</v>
      </c>
      <c r="Q213" s="2" t="s">
        <v>3635</v>
      </c>
      <c r="R213" s="2" t="s">
        <v>3635</v>
      </c>
      <c r="S213" s="2" t="s">
        <v>3635</v>
      </c>
      <c r="T213" s="2" t="s">
        <v>8138</v>
      </c>
      <c r="U213" s="2" t="s">
        <v>7275</v>
      </c>
      <c r="V213" s="2" t="s">
        <v>8139</v>
      </c>
      <c r="W213" s="2" t="s">
        <v>8140</v>
      </c>
      <c r="X213" s="2" t="s">
        <v>8141</v>
      </c>
      <c r="Y213" s="2" t="s">
        <v>8142</v>
      </c>
      <c r="Z213" s="2" t="s">
        <v>8143</v>
      </c>
      <c r="AA213" s="2" t="s">
        <v>8144</v>
      </c>
      <c r="AB213" s="2" t="s">
        <v>8145</v>
      </c>
      <c r="AC213" s="2" t="s">
        <v>3635</v>
      </c>
      <c r="AD213" s="2" t="s">
        <v>3635</v>
      </c>
      <c r="AE213" s="2" t="s">
        <v>3635</v>
      </c>
      <c r="AF213" s="2" t="s">
        <v>3635</v>
      </c>
      <c r="AG213" s="2">
        <v>40.0</v>
      </c>
      <c r="AH213" s="2">
        <v>5.0</v>
      </c>
      <c r="AI213" s="2">
        <v>5.0</v>
      </c>
      <c r="AJ213" s="2">
        <v>0.0</v>
      </c>
      <c r="AK213" s="2">
        <v>1.0</v>
      </c>
      <c r="AL213" s="2" t="s">
        <v>6687</v>
      </c>
      <c r="AM213" s="2" t="s">
        <v>3651</v>
      </c>
      <c r="AN213" s="2" t="s">
        <v>6897</v>
      </c>
      <c r="AO213" s="2" t="s">
        <v>6689</v>
      </c>
      <c r="AP213" s="2" t="s">
        <v>6690</v>
      </c>
      <c r="AQ213" s="2" t="s">
        <v>3635</v>
      </c>
      <c r="AR213" s="2" t="s">
        <v>6691</v>
      </c>
      <c r="AS213" s="2" t="s">
        <v>6692</v>
      </c>
      <c r="AT213" s="2" t="s">
        <v>3656</v>
      </c>
      <c r="AU213" s="2">
        <v>2022.0</v>
      </c>
      <c r="AV213" s="2">
        <v>183.0</v>
      </c>
      <c r="AW213" s="2" t="s">
        <v>3635</v>
      </c>
      <c r="AX213" s="2" t="s">
        <v>3635</v>
      </c>
      <c r="AY213" s="2" t="s">
        <v>3635</v>
      </c>
      <c r="AZ213" s="2" t="s">
        <v>3635</v>
      </c>
      <c r="BA213" s="2" t="s">
        <v>3635</v>
      </c>
      <c r="BB213" s="2" t="s">
        <v>3635</v>
      </c>
      <c r="BC213" s="2" t="s">
        <v>3635</v>
      </c>
      <c r="BD213" s="2">
        <v>111093.0</v>
      </c>
      <c r="BE213" s="2" t="s">
        <v>441</v>
      </c>
      <c r="BF213" s="3" t="str">
        <f>HYPERLINK("http://dx.doi.org/10.1016/j.jss.2021.111093","http://dx.doi.org/10.1016/j.jss.2021.111093")</f>
        <v>http://dx.doi.org/10.1016/j.jss.2021.111093</v>
      </c>
      <c r="BG213" s="2" t="s">
        <v>3635</v>
      </c>
      <c r="BH213" s="2" t="s">
        <v>5412</v>
      </c>
      <c r="BI213" s="2">
        <v>17.0</v>
      </c>
      <c r="BJ213" s="2" t="s">
        <v>3691</v>
      </c>
      <c r="BK213" s="2" t="s">
        <v>3658</v>
      </c>
      <c r="BL213" s="2" t="s">
        <v>3659</v>
      </c>
      <c r="BM213" s="2" t="s">
        <v>8146</v>
      </c>
      <c r="BN213" s="2" t="s">
        <v>3635</v>
      </c>
      <c r="BO213" s="2" t="s">
        <v>4519</v>
      </c>
      <c r="BP213" s="2" t="s">
        <v>3635</v>
      </c>
      <c r="BQ213" s="2" t="s">
        <v>3635</v>
      </c>
      <c r="BR213" s="2" t="s">
        <v>3662</v>
      </c>
      <c r="BS213" s="2" t="s">
        <v>8147</v>
      </c>
      <c r="BT213" s="2" t="str">
        <f>HYPERLINK("https%3A%2F%2Fwww.webofscience.com%2Fwos%2Fwoscc%2Ffull-record%2FWOS:000714524600008","View Full Record in Web of Science")</f>
        <v>View Full Record in Web of Science</v>
      </c>
    </row>
    <row r="214" ht="15.75" customHeight="1">
      <c r="A214" s="2" t="s">
        <v>3633</v>
      </c>
      <c r="B214" s="2" t="s">
        <v>8148</v>
      </c>
      <c r="C214" s="2" t="s">
        <v>3635</v>
      </c>
      <c r="D214" s="2" t="s">
        <v>3635</v>
      </c>
      <c r="E214" s="2" t="s">
        <v>3635</v>
      </c>
      <c r="F214" s="2" t="s">
        <v>8148</v>
      </c>
      <c r="G214" s="2" t="s">
        <v>3635</v>
      </c>
      <c r="H214" s="2" t="s">
        <v>3635</v>
      </c>
      <c r="I214" s="2" t="s">
        <v>8149</v>
      </c>
      <c r="J214" s="2" t="s">
        <v>8150</v>
      </c>
      <c r="K214" s="2" t="s">
        <v>3635</v>
      </c>
      <c r="L214" s="2" t="s">
        <v>3635</v>
      </c>
      <c r="M214" s="2" t="s">
        <v>3638</v>
      </c>
      <c r="N214" s="2" t="s">
        <v>21</v>
      </c>
      <c r="O214" s="2" t="s">
        <v>3635</v>
      </c>
      <c r="P214" s="2" t="s">
        <v>3635</v>
      </c>
      <c r="Q214" s="2" t="s">
        <v>3635</v>
      </c>
      <c r="R214" s="2" t="s">
        <v>3635</v>
      </c>
      <c r="S214" s="2" t="s">
        <v>3635</v>
      </c>
      <c r="T214" s="2" t="s">
        <v>3635</v>
      </c>
      <c r="U214" s="2" t="s">
        <v>8151</v>
      </c>
      <c r="V214" s="2" t="s">
        <v>8152</v>
      </c>
      <c r="W214" s="2" t="s">
        <v>8153</v>
      </c>
      <c r="X214" s="2" t="s">
        <v>8154</v>
      </c>
      <c r="Y214" s="2" t="s">
        <v>8155</v>
      </c>
      <c r="Z214" s="2" t="s">
        <v>8156</v>
      </c>
      <c r="AA214" s="2" t="s">
        <v>8157</v>
      </c>
      <c r="AB214" s="2" t="s">
        <v>3635</v>
      </c>
      <c r="AC214" s="2" t="s">
        <v>3635</v>
      </c>
      <c r="AD214" s="2" t="s">
        <v>3635</v>
      </c>
      <c r="AE214" s="2" t="s">
        <v>3635</v>
      </c>
      <c r="AF214" s="2" t="s">
        <v>3635</v>
      </c>
      <c r="AG214" s="2">
        <v>36.0</v>
      </c>
      <c r="AH214" s="2">
        <v>5.0</v>
      </c>
      <c r="AI214" s="2">
        <v>6.0</v>
      </c>
      <c r="AJ214" s="2">
        <v>0.0</v>
      </c>
      <c r="AK214" s="2">
        <v>3.0</v>
      </c>
      <c r="AL214" s="2" t="s">
        <v>8158</v>
      </c>
      <c r="AM214" s="2" t="s">
        <v>8159</v>
      </c>
      <c r="AN214" s="2" t="s">
        <v>8160</v>
      </c>
      <c r="AO214" s="2" t="s">
        <v>8161</v>
      </c>
      <c r="AP214" s="2" t="s">
        <v>8162</v>
      </c>
      <c r="AQ214" s="2" t="s">
        <v>3635</v>
      </c>
      <c r="AR214" s="2" t="s">
        <v>8163</v>
      </c>
      <c r="AS214" s="2" t="s">
        <v>8164</v>
      </c>
      <c r="AT214" s="2" t="s">
        <v>7563</v>
      </c>
      <c r="AU214" s="2">
        <v>2005.0</v>
      </c>
      <c r="AV214" s="2">
        <v>60.0</v>
      </c>
      <c r="AW214" s="2">
        <v>4.0</v>
      </c>
      <c r="AX214" s="2" t="s">
        <v>3635</v>
      </c>
      <c r="AY214" s="2" t="s">
        <v>3635</v>
      </c>
      <c r="AZ214" s="2" t="s">
        <v>3635</v>
      </c>
      <c r="BA214" s="2" t="s">
        <v>3635</v>
      </c>
      <c r="BB214" s="2">
        <v>661.0</v>
      </c>
      <c r="BC214" s="2">
        <v>679.0</v>
      </c>
      <c r="BD214" s="2" t="s">
        <v>3635</v>
      </c>
      <c r="BE214" s="2" t="s">
        <v>8165</v>
      </c>
      <c r="BF214" s="3" t="str">
        <f>HYPERLINK("http://dx.doi.org/10.2516/ogst:2005047","http://dx.doi.org/10.2516/ogst:2005047")</f>
        <v>http://dx.doi.org/10.2516/ogst:2005047</v>
      </c>
      <c r="BG214" s="2" t="s">
        <v>3635</v>
      </c>
      <c r="BH214" s="2" t="s">
        <v>3635</v>
      </c>
      <c r="BI214" s="2">
        <v>19.0</v>
      </c>
      <c r="BJ214" s="2" t="s">
        <v>8166</v>
      </c>
      <c r="BK214" s="2" t="s">
        <v>3658</v>
      </c>
      <c r="BL214" s="2" t="s">
        <v>8167</v>
      </c>
      <c r="BM214" s="2" t="s">
        <v>8168</v>
      </c>
      <c r="BN214" s="2" t="s">
        <v>3635</v>
      </c>
      <c r="BO214" s="2" t="s">
        <v>4251</v>
      </c>
      <c r="BP214" s="2" t="s">
        <v>3635</v>
      </c>
      <c r="BQ214" s="2" t="s">
        <v>3635</v>
      </c>
      <c r="BR214" s="2" t="s">
        <v>3662</v>
      </c>
      <c r="BS214" s="2" t="s">
        <v>8169</v>
      </c>
      <c r="BT214" s="2" t="str">
        <f>HYPERLINK("https%3A%2F%2Fwww.webofscience.com%2Fwos%2Fwoscc%2Ffull-record%2FWOS:000232516000007","View Full Record in Web of Science")</f>
        <v>View Full Record in Web of Science</v>
      </c>
    </row>
    <row r="215" ht="15.75" customHeight="1">
      <c r="A215" s="2" t="s">
        <v>3633</v>
      </c>
      <c r="B215" s="2" t="s">
        <v>8170</v>
      </c>
      <c r="C215" s="2" t="s">
        <v>3635</v>
      </c>
      <c r="D215" s="2" t="s">
        <v>3635</v>
      </c>
      <c r="E215" s="2" t="s">
        <v>3635</v>
      </c>
      <c r="F215" s="2" t="s">
        <v>8171</v>
      </c>
      <c r="G215" s="2" t="s">
        <v>3635</v>
      </c>
      <c r="H215" s="2" t="s">
        <v>3635</v>
      </c>
      <c r="I215" s="2" t="s">
        <v>8172</v>
      </c>
      <c r="J215" s="2" t="s">
        <v>8173</v>
      </c>
      <c r="K215" s="2" t="s">
        <v>3635</v>
      </c>
      <c r="L215" s="2" t="s">
        <v>3635</v>
      </c>
      <c r="M215" s="2" t="s">
        <v>3638</v>
      </c>
      <c r="N215" s="2" t="s">
        <v>21</v>
      </c>
      <c r="O215" s="2" t="s">
        <v>3635</v>
      </c>
      <c r="P215" s="2" t="s">
        <v>3635</v>
      </c>
      <c r="Q215" s="2" t="s">
        <v>3635</v>
      </c>
      <c r="R215" s="2" t="s">
        <v>3635</v>
      </c>
      <c r="S215" s="2" t="s">
        <v>3635</v>
      </c>
      <c r="T215" s="2" t="s">
        <v>8174</v>
      </c>
      <c r="U215" s="2" t="s">
        <v>8175</v>
      </c>
      <c r="V215" s="2" t="s">
        <v>8176</v>
      </c>
      <c r="W215" s="2" t="s">
        <v>8177</v>
      </c>
      <c r="X215" s="2" t="s">
        <v>8178</v>
      </c>
      <c r="Y215" s="2" t="s">
        <v>8179</v>
      </c>
      <c r="Z215" s="2" t="s">
        <v>8180</v>
      </c>
      <c r="AA215" s="2" t="s">
        <v>8181</v>
      </c>
      <c r="AB215" s="2" t="s">
        <v>8182</v>
      </c>
      <c r="AC215" s="2" t="s">
        <v>3635</v>
      </c>
      <c r="AD215" s="2" t="s">
        <v>3635</v>
      </c>
      <c r="AE215" s="2" t="s">
        <v>3635</v>
      </c>
      <c r="AF215" s="2" t="s">
        <v>3635</v>
      </c>
      <c r="AG215" s="2">
        <v>29.0</v>
      </c>
      <c r="AH215" s="2">
        <v>4.0</v>
      </c>
      <c r="AI215" s="2">
        <v>4.0</v>
      </c>
      <c r="AJ215" s="2">
        <v>0.0</v>
      </c>
      <c r="AK215" s="2">
        <v>3.0</v>
      </c>
      <c r="AL215" s="2" t="s">
        <v>4644</v>
      </c>
      <c r="AM215" s="2" t="s">
        <v>4645</v>
      </c>
      <c r="AN215" s="2" t="s">
        <v>4646</v>
      </c>
      <c r="AO215" s="2" t="s">
        <v>3635</v>
      </c>
      <c r="AP215" s="2" t="s">
        <v>8183</v>
      </c>
      <c r="AQ215" s="2" t="s">
        <v>3635</v>
      </c>
      <c r="AR215" s="2" t="s">
        <v>8173</v>
      </c>
      <c r="AS215" s="2" t="s">
        <v>8184</v>
      </c>
      <c r="AT215" s="2" t="s">
        <v>5367</v>
      </c>
      <c r="AU215" s="2">
        <v>2020.0</v>
      </c>
      <c r="AV215" s="2">
        <v>11.0</v>
      </c>
      <c r="AW215" s="2">
        <v>12.0</v>
      </c>
      <c r="AX215" s="2" t="s">
        <v>3635</v>
      </c>
      <c r="AY215" s="2" t="s">
        <v>3635</v>
      </c>
      <c r="AZ215" s="2" t="s">
        <v>3635</v>
      </c>
      <c r="BA215" s="2" t="s">
        <v>3635</v>
      </c>
      <c r="BB215" s="2" t="s">
        <v>3635</v>
      </c>
      <c r="BC215" s="2" t="s">
        <v>3635</v>
      </c>
      <c r="BD215" s="2">
        <v>550.0</v>
      </c>
      <c r="BE215" s="2" t="s">
        <v>782</v>
      </c>
      <c r="BF215" s="3" t="str">
        <f>HYPERLINK("http://dx.doi.org/10.3390/info11120550","http://dx.doi.org/10.3390/info11120550")</f>
        <v>http://dx.doi.org/10.3390/info11120550</v>
      </c>
      <c r="BG215" s="2" t="s">
        <v>3635</v>
      </c>
      <c r="BH215" s="2" t="s">
        <v>3635</v>
      </c>
      <c r="BI215" s="2">
        <v>15.0</v>
      </c>
      <c r="BJ215" s="2" t="s">
        <v>3896</v>
      </c>
      <c r="BK215" s="2" t="s">
        <v>3993</v>
      </c>
      <c r="BL215" s="2" t="s">
        <v>3659</v>
      </c>
      <c r="BM215" s="2" t="s">
        <v>8185</v>
      </c>
      <c r="BN215" s="2" t="s">
        <v>3635</v>
      </c>
      <c r="BO215" s="2" t="s">
        <v>4115</v>
      </c>
      <c r="BP215" s="2" t="s">
        <v>3635</v>
      </c>
      <c r="BQ215" s="2" t="s">
        <v>3635</v>
      </c>
      <c r="BR215" s="2" t="s">
        <v>3662</v>
      </c>
      <c r="BS215" s="2" t="s">
        <v>8186</v>
      </c>
      <c r="BT215" s="2" t="str">
        <f>HYPERLINK("https%3A%2F%2Fwww.webofscience.com%2Fwos%2Fwoscc%2Ffull-record%2FWOS:000601983100001","View Full Record in Web of Science")</f>
        <v>View Full Record in Web of Science</v>
      </c>
    </row>
    <row r="216" ht="15.75" customHeight="1">
      <c r="A216" s="2" t="s">
        <v>3633</v>
      </c>
      <c r="B216" s="2" t="s">
        <v>8187</v>
      </c>
      <c r="C216" s="2" t="s">
        <v>3635</v>
      </c>
      <c r="D216" s="2" t="s">
        <v>3635</v>
      </c>
      <c r="E216" s="2" t="s">
        <v>3635</v>
      </c>
      <c r="F216" s="2" t="s">
        <v>8188</v>
      </c>
      <c r="G216" s="2" t="s">
        <v>3635</v>
      </c>
      <c r="H216" s="2" t="s">
        <v>3635</v>
      </c>
      <c r="I216" s="2" t="s">
        <v>285</v>
      </c>
      <c r="J216" s="2" t="s">
        <v>8189</v>
      </c>
      <c r="K216" s="2" t="s">
        <v>3635</v>
      </c>
      <c r="L216" s="2" t="s">
        <v>3635</v>
      </c>
      <c r="M216" s="2" t="s">
        <v>3638</v>
      </c>
      <c r="N216" s="2" t="s">
        <v>21</v>
      </c>
      <c r="O216" s="2" t="s">
        <v>3635</v>
      </c>
      <c r="P216" s="2" t="s">
        <v>3635</v>
      </c>
      <c r="Q216" s="2" t="s">
        <v>3635</v>
      </c>
      <c r="R216" s="2" t="s">
        <v>3635</v>
      </c>
      <c r="S216" s="2" t="s">
        <v>3635</v>
      </c>
      <c r="T216" s="2" t="s">
        <v>8190</v>
      </c>
      <c r="U216" s="2" t="s">
        <v>8191</v>
      </c>
      <c r="V216" s="2" t="s">
        <v>8192</v>
      </c>
      <c r="W216" s="2" t="s">
        <v>8193</v>
      </c>
      <c r="X216" s="2" t="s">
        <v>8194</v>
      </c>
      <c r="Y216" s="2" t="s">
        <v>8195</v>
      </c>
      <c r="Z216" s="2" t="s">
        <v>8196</v>
      </c>
      <c r="AA216" s="2" t="s">
        <v>8197</v>
      </c>
      <c r="AB216" s="2" t="s">
        <v>8198</v>
      </c>
      <c r="AC216" s="2" t="s">
        <v>8199</v>
      </c>
      <c r="AD216" s="2" t="s">
        <v>8200</v>
      </c>
      <c r="AE216" s="2" t="s">
        <v>8201</v>
      </c>
      <c r="AF216" s="2" t="s">
        <v>3635</v>
      </c>
      <c r="AG216" s="2">
        <v>52.0</v>
      </c>
      <c r="AH216" s="2">
        <v>2.0</v>
      </c>
      <c r="AI216" s="2">
        <v>2.0</v>
      </c>
      <c r="AJ216" s="2">
        <v>0.0</v>
      </c>
      <c r="AK216" s="2">
        <v>1.0</v>
      </c>
      <c r="AL216" s="2" t="s">
        <v>3807</v>
      </c>
      <c r="AM216" s="2" t="s">
        <v>3808</v>
      </c>
      <c r="AN216" s="2" t="s">
        <v>3809</v>
      </c>
      <c r="AO216" s="2" t="s">
        <v>8202</v>
      </c>
      <c r="AP216" s="2" t="s">
        <v>8203</v>
      </c>
      <c r="AQ216" s="2" t="s">
        <v>3635</v>
      </c>
      <c r="AR216" s="2" t="s">
        <v>8204</v>
      </c>
      <c r="AS216" s="2" t="s">
        <v>8205</v>
      </c>
      <c r="AT216" s="2" t="s">
        <v>7928</v>
      </c>
      <c r="AU216" s="2">
        <v>2022.0</v>
      </c>
      <c r="AV216" s="2">
        <v>191.0</v>
      </c>
      <c r="AW216" s="2" t="s">
        <v>3635</v>
      </c>
      <c r="AX216" s="2" t="s">
        <v>3635</v>
      </c>
      <c r="AY216" s="2" t="s">
        <v>3635</v>
      </c>
      <c r="AZ216" s="2" t="s">
        <v>3635</v>
      </c>
      <c r="BA216" s="2" t="s">
        <v>3635</v>
      </c>
      <c r="BB216" s="2">
        <v>327.0</v>
      </c>
      <c r="BC216" s="2">
        <v>348.0</v>
      </c>
      <c r="BD216" s="2" t="s">
        <v>3635</v>
      </c>
      <c r="BE216" s="2" t="s">
        <v>288</v>
      </c>
      <c r="BF216" s="3" t="str">
        <f>HYPERLINK("http://dx.doi.org/10.1016/j.comcom.2022.05.013","http://dx.doi.org/10.1016/j.comcom.2022.05.013")</f>
        <v>http://dx.doi.org/10.1016/j.comcom.2022.05.013</v>
      </c>
      <c r="BG216" s="2" t="s">
        <v>3635</v>
      </c>
      <c r="BH216" s="2" t="s">
        <v>8206</v>
      </c>
      <c r="BI216" s="2">
        <v>22.0</v>
      </c>
      <c r="BJ216" s="2" t="s">
        <v>5413</v>
      </c>
      <c r="BK216" s="2" t="s">
        <v>3658</v>
      </c>
      <c r="BL216" s="2" t="s">
        <v>3816</v>
      </c>
      <c r="BM216" s="2" t="s">
        <v>8207</v>
      </c>
      <c r="BN216" s="2" t="s">
        <v>3635</v>
      </c>
      <c r="BO216" s="2" t="s">
        <v>3635</v>
      </c>
      <c r="BP216" s="2" t="s">
        <v>3635</v>
      </c>
      <c r="BQ216" s="2" t="s">
        <v>3635</v>
      </c>
      <c r="BR216" s="2" t="s">
        <v>3662</v>
      </c>
      <c r="BS216" s="2" t="s">
        <v>8208</v>
      </c>
      <c r="BT216" s="2" t="str">
        <f>HYPERLINK("https%3A%2F%2Fwww.webofscience.com%2Fwos%2Fwoscc%2Ffull-record%2FWOS:000809815000005","View Full Record in Web of Science")</f>
        <v>View Full Record in Web of Science</v>
      </c>
    </row>
    <row r="217" ht="15.75" customHeight="1">
      <c r="A217" s="2" t="s">
        <v>3633</v>
      </c>
      <c r="B217" s="2" t="s">
        <v>8209</v>
      </c>
      <c r="C217" s="2" t="s">
        <v>3635</v>
      </c>
      <c r="D217" s="2" t="s">
        <v>3635</v>
      </c>
      <c r="E217" s="2" t="s">
        <v>3635</v>
      </c>
      <c r="F217" s="2" t="s">
        <v>8210</v>
      </c>
      <c r="G217" s="2" t="s">
        <v>3635</v>
      </c>
      <c r="H217" s="2" t="s">
        <v>3635</v>
      </c>
      <c r="I217" s="2" t="s">
        <v>8211</v>
      </c>
      <c r="J217" s="2" t="s">
        <v>8212</v>
      </c>
      <c r="K217" s="2" t="s">
        <v>3635</v>
      </c>
      <c r="L217" s="2" t="s">
        <v>3635</v>
      </c>
      <c r="M217" s="2" t="s">
        <v>3638</v>
      </c>
      <c r="N217" s="2" t="s">
        <v>4207</v>
      </c>
      <c r="O217" s="2" t="s">
        <v>3635</v>
      </c>
      <c r="P217" s="2" t="s">
        <v>3635</v>
      </c>
      <c r="Q217" s="2" t="s">
        <v>3635</v>
      </c>
      <c r="R217" s="2" t="s">
        <v>3635</v>
      </c>
      <c r="S217" s="2" t="s">
        <v>3635</v>
      </c>
      <c r="T217" s="2" t="s">
        <v>8213</v>
      </c>
      <c r="U217" s="2" t="s">
        <v>8214</v>
      </c>
      <c r="V217" s="2" t="s">
        <v>8215</v>
      </c>
      <c r="W217" s="2" t="s">
        <v>8216</v>
      </c>
      <c r="X217" s="2" t="s">
        <v>8217</v>
      </c>
      <c r="Y217" s="2" t="s">
        <v>8218</v>
      </c>
      <c r="Z217" s="2" t="s">
        <v>8219</v>
      </c>
      <c r="AA217" s="2" t="s">
        <v>3635</v>
      </c>
      <c r="AB217" s="2" t="s">
        <v>8220</v>
      </c>
      <c r="AC217" s="2" t="s">
        <v>3635</v>
      </c>
      <c r="AD217" s="2" t="s">
        <v>3635</v>
      </c>
      <c r="AE217" s="2" t="s">
        <v>3635</v>
      </c>
      <c r="AF217" s="2" t="s">
        <v>3635</v>
      </c>
      <c r="AG217" s="2">
        <v>70.0</v>
      </c>
      <c r="AH217" s="2">
        <v>4.0</v>
      </c>
      <c r="AI217" s="2">
        <v>4.0</v>
      </c>
      <c r="AJ217" s="2">
        <v>3.0</v>
      </c>
      <c r="AK217" s="2">
        <v>24.0</v>
      </c>
      <c r="AL217" s="2" t="s">
        <v>3709</v>
      </c>
      <c r="AM217" s="2" t="s">
        <v>3710</v>
      </c>
      <c r="AN217" s="2" t="s">
        <v>3711</v>
      </c>
      <c r="AO217" s="2" t="s">
        <v>8221</v>
      </c>
      <c r="AP217" s="2" t="s">
        <v>8222</v>
      </c>
      <c r="AQ217" s="2" t="s">
        <v>3635</v>
      </c>
      <c r="AR217" s="2" t="s">
        <v>8223</v>
      </c>
      <c r="AS217" s="2" t="s">
        <v>8224</v>
      </c>
      <c r="AT217" s="2" t="s">
        <v>3656</v>
      </c>
      <c r="AU217" s="2">
        <v>2023.0</v>
      </c>
      <c r="AV217" s="2">
        <v>30.0</v>
      </c>
      <c r="AW217" s="2">
        <v>1.0</v>
      </c>
      <c r="AX217" s="2" t="s">
        <v>3635</v>
      </c>
      <c r="AY217" s="2" t="s">
        <v>3635</v>
      </c>
      <c r="AZ217" s="2" t="s">
        <v>3635</v>
      </c>
      <c r="BA217" s="2" t="s">
        <v>3635</v>
      </c>
      <c r="BB217" s="2">
        <v>10.0</v>
      </c>
      <c r="BC217" s="2">
        <v>23.0</v>
      </c>
      <c r="BD217" s="2" t="s">
        <v>3635</v>
      </c>
      <c r="BE217" s="2" t="s">
        <v>8225</v>
      </c>
      <c r="BF217" s="3" t="str">
        <f>HYPERLINK("http://dx.doi.org/10.1002/cpp.2776","http://dx.doi.org/10.1002/cpp.2776")</f>
        <v>http://dx.doi.org/10.1002/cpp.2776</v>
      </c>
      <c r="BG217" s="2" t="s">
        <v>3635</v>
      </c>
      <c r="BH217" s="2" t="s">
        <v>6499</v>
      </c>
      <c r="BI217" s="2">
        <v>14.0</v>
      </c>
      <c r="BJ217" s="2" t="s">
        <v>8226</v>
      </c>
      <c r="BK217" s="2" t="s">
        <v>5726</v>
      </c>
      <c r="BL217" s="2" t="s">
        <v>6316</v>
      </c>
      <c r="BM217" s="2" t="s">
        <v>8227</v>
      </c>
      <c r="BN217" s="2">
        <v>3.5927065E7</v>
      </c>
      <c r="BO217" s="2" t="s">
        <v>6800</v>
      </c>
      <c r="BP217" s="2" t="s">
        <v>3635</v>
      </c>
      <c r="BQ217" s="2" t="s">
        <v>3635</v>
      </c>
      <c r="BR217" s="2" t="s">
        <v>3662</v>
      </c>
      <c r="BS217" s="2" t="s">
        <v>8228</v>
      </c>
      <c r="BT217" s="2" t="str">
        <f>HYPERLINK("https%3A%2F%2Fwww.webofscience.com%2Fwos%2Fwoscc%2Ffull-record%2FWOS:000840750200001","View Full Record in Web of Science")</f>
        <v>View Full Record in Web of Science</v>
      </c>
    </row>
    <row r="218" ht="15.75" customHeight="1">
      <c r="A218" s="2" t="s">
        <v>3633</v>
      </c>
      <c r="B218" s="2" t="s">
        <v>8229</v>
      </c>
      <c r="C218" s="2" t="s">
        <v>3635</v>
      </c>
      <c r="D218" s="2" t="s">
        <v>3635</v>
      </c>
      <c r="E218" s="2" t="s">
        <v>3635</v>
      </c>
      <c r="F218" s="2" t="s">
        <v>8230</v>
      </c>
      <c r="G218" s="2" t="s">
        <v>3635</v>
      </c>
      <c r="H218" s="2" t="s">
        <v>3635</v>
      </c>
      <c r="I218" s="2" t="s">
        <v>1498</v>
      </c>
      <c r="J218" s="2" t="s">
        <v>8231</v>
      </c>
      <c r="K218" s="2" t="s">
        <v>3635</v>
      </c>
      <c r="L218" s="2" t="s">
        <v>3635</v>
      </c>
      <c r="M218" s="2" t="s">
        <v>3638</v>
      </c>
      <c r="N218" s="2" t="s">
        <v>21</v>
      </c>
      <c r="O218" s="2" t="s">
        <v>3635</v>
      </c>
      <c r="P218" s="2" t="s">
        <v>3635</v>
      </c>
      <c r="Q218" s="2" t="s">
        <v>3635</v>
      </c>
      <c r="R218" s="2" t="s">
        <v>3635</v>
      </c>
      <c r="S218" s="2" t="s">
        <v>3635</v>
      </c>
      <c r="T218" s="2" t="s">
        <v>8232</v>
      </c>
      <c r="U218" s="2" t="s">
        <v>3635</v>
      </c>
      <c r="V218" s="2" t="s">
        <v>8233</v>
      </c>
      <c r="W218" s="2" t="s">
        <v>8234</v>
      </c>
      <c r="X218" s="2" t="s">
        <v>8235</v>
      </c>
      <c r="Y218" s="2" t="s">
        <v>8236</v>
      </c>
      <c r="Z218" s="2" t="s">
        <v>8237</v>
      </c>
      <c r="AA218" s="2" t="s">
        <v>8238</v>
      </c>
      <c r="AB218" s="2" t="s">
        <v>8239</v>
      </c>
      <c r="AC218" s="2" t="s">
        <v>8240</v>
      </c>
      <c r="AD218" s="2" t="s">
        <v>8241</v>
      </c>
      <c r="AE218" s="2" t="s">
        <v>8242</v>
      </c>
      <c r="AF218" s="2" t="s">
        <v>3635</v>
      </c>
      <c r="AG218" s="2">
        <v>16.0</v>
      </c>
      <c r="AH218" s="2">
        <v>1.0</v>
      </c>
      <c r="AI218" s="2">
        <v>2.0</v>
      </c>
      <c r="AJ218" s="2">
        <v>0.0</v>
      </c>
      <c r="AK218" s="2">
        <v>0.0</v>
      </c>
      <c r="AL218" s="2" t="s">
        <v>5840</v>
      </c>
      <c r="AM218" s="2" t="s">
        <v>3808</v>
      </c>
      <c r="AN218" s="2" t="s">
        <v>5841</v>
      </c>
      <c r="AO218" s="2" t="s">
        <v>8243</v>
      </c>
      <c r="AP218" s="2" t="s">
        <v>3635</v>
      </c>
      <c r="AQ218" s="2" t="s">
        <v>3635</v>
      </c>
      <c r="AR218" s="2" t="s">
        <v>8244</v>
      </c>
      <c r="AS218" s="2" t="s">
        <v>8245</v>
      </c>
      <c r="AT218" s="2" t="s">
        <v>3919</v>
      </c>
      <c r="AU218" s="2">
        <v>2009.0</v>
      </c>
      <c r="AV218" s="2">
        <v>245.0</v>
      </c>
      <c r="AW218" s="2" t="s">
        <v>3635</v>
      </c>
      <c r="AX218" s="2" t="s">
        <v>3635</v>
      </c>
      <c r="AY218" s="2" t="s">
        <v>3635</v>
      </c>
      <c r="AZ218" s="2" t="s">
        <v>3635</v>
      </c>
      <c r="BA218" s="2" t="s">
        <v>3635</v>
      </c>
      <c r="BB218" s="2">
        <v>69.0</v>
      </c>
      <c r="BC218" s="2">
        <v>84.0</v>
      </c>
      <c r="BD218" s="2" t="s">
        <v>3635</v>
      </c>
      <c r="BE218" s="2" t="s">
        <v>1501</v>
      </c>
      <c r="BF218" s="3" t="str">
        <f>HYPERLINK("http://dx.doi.org/10.1016/j.entcs.2009.07.029","http://dx.doi.org/10.1016/j.entcs.2009.07.029")</f>
        <v>http://dx.doi.org/10.1016/j.entcs.2009.07.029</v>
      </c>
      <c r="BG218" s="2" t="s">
        <v>3635</v>
      </c>
      <c r="BH218" s="2" t="s">
        <v>3635</v>
      </c>
      <c r="BI218" s="2">
        <v>16.0</v>
      </c>
      <c r="BJ218" s="2" t="s">
        <v>4447</v>
      </c>
      <c r="BK218" s="2" t="s">
        <v>3993</v>
      </c>
      <c r="BL218" s="2" t="s">
        <v>3659</v>
      </c>
      <c r="BM218" s="2" t="s">
        <v>8246</v>
      </c>
      <c r="BN218" s="2" t="s">
        <v>3635</v>
      </c>
      <c r="BO218" s="2" t="s">
        <v>4115</v>
      </c>
      <c r="BP218" s="2" t="s">
        <v>3635</v>
      </c>
      <c r="BQ218" s="2" t="s">
        <v>3635</v>
      </c>
      <c r="BR218" s="2" t="s">
        <v>3662</v>
      </c>
      <c r="BS218" s="2" t="s">
        <v>8247</v>
      </c>
      <c r="BT218" s="2" t="str">
        <f>HYPERLINK("https%3A%2F%2Fwww.webofscience.com%2Fwos%2Fwoscc%2Ffull-record%2FWOS:000216913400005","View Full Record in Web of Science")</f>
        <v>View Full Record in Web of Science</v>
      </c>
    </row>
    <row r="219" ht="15.75" customHeight="1">
      <c r="A219" s="2" t="s">
        <v>7409</v>
      </c>
      <c r="B219" s="2" t="s">
        <v>8248</v>
      </c>
      <c r="C219" s="2" t="s">
        <v>8249</v>
      </c>
      <c r="D219" s="2" t="s">
        <v>3635</v>
      </c>
      <c r="E219" s="2" t="s">
        <v>3635</v>
      </c>
      <c r="F219" s="2" t="s">
        <v>8250</v>
      </c>
      <c r="G219" s="2" t="s">
        <v>8249</v>
      </c>
      <c r="H219" s="2" t="s">
        <v>3635</v>
      </c>
      <c r="I219" s="2" t="s">
        <v>8251</v>
      </c>
      <c r="J219" s="2" t="s">
        <v>8252</v>
      </c>
      <c r="K219" s="2" t="s">
        <v>3635</v>
      </c>
      <c r="L219" s="2" t="s">
        <v>3635</v>
      </c>
      <c r="M219" s="2" t="s">
        <v>3638</v>
      </c>
      <c r="N219" s="2" t="s">
        <v>8253</v>
      </c>
      <c r="O219" s="2" t="s">
        <v>3635</v>
      </c>
      <c r="P219" s="2" t="s">
        <v>3635</v>
      </c>
      <c r="Q219" s="2" t="s">
        <v>3635</v>
      </c>
      <c r="R219" s="2" t="s">
        <v>3635</v>
      </c>
      <c r="S219" s="2" t="s">
        <v>3635</v>
      </c>
      <c r="T219" s="2" t="s">
        <v>3635</v>
      </c>
      <c r="U219" s="2" t="s">
        <v>3635</v>
      </c>
      <c r="V219" s="2" t="s">
        <v>8254</v>
      </c>
      <c r="W219" s="2" t="s">
        <v>8255</v>
      </c>
      <c r="X219" s="2" t="s">
        <v>8256</v>
      </c>
      <c r="Y219" s="2" t="s">
        <v>8257</v>
      </c>
      <c r="Z219" s="2" t="s">
        <v>3635</v>
      </c>
      <c r="AA219" s="2" t="s">
        <v>8258</v>
      </c>
      <c r="AB219" s="2" t="s">
        <v>8259</v>
      </c>
      <c r="AC219" s="2" t="s">
        <v>3635</v>
      </c>
      <c r="AD219" s="2" t="s">
        <v>3635</v>
      </c>
      <c r="AE219" s="2" t="s">
        <v>3635</v>
      </c>
      <c r="AF219" s="2" t="s">
        <v>3635</v>
      </c>
      <c r="AG219" s="2">
        <v>19.0</v>
      </c>
      <c r="AH219" s="2">
        <v>0.0</v>
      </c>
      <c r="AI219" s="2">
        <v>0.0</v>
      </c>
      <c r="AJ219" s="2">
        <v>0.0</v>
      </c>
      <c r="AK219" s="2">
        <v>5.0</v>
      </c>
      <c r="AL219" s="2" t="s">
        <v>5276</v>
      </c>
      <c r="AM219" s="2" t="s">
        <v>8260</v>
      </c>
      <c r="AN219" s="2" t="s">
        <v>8261</v>
      </c>
      <c r="AO219" s="2" t="s">
        <v>3635</v>
      </c>
      <c r="AP219" s="2" t="s">
        <v>3635</v>
      </c>
      <c r="AQ219" s="2" t="s">
        <v>8262</v>
      </c>
      <c r="AR219" s="2" t="s">
        <v>3635</v>
      </c>
      <c r="AS219" s="2" t="s">
        <v>3635</v>
      </c>
      <c r="AT219" s="2" t="s">
        <v>3635</v>
      </c>
      <c r="AU219" s="2">
        <v>2012.0</v>
      </c>
      <c r="AV219" s="2" t="s">
        <v>3635</v>
      </c>
      <c r="AW219" s="2" t="s">
        <v>3635</v>
      </c>
      <c r="AX219" s="2" t="s">
        <v>3635</v>
      </c>
      <c r="AY219" s="2" t="s">
        <v>3635</v>
      </c>
      <c r="AZ219" s="2" t="s">
        <v>3635</v>
      </c>
      <c r="BA219" s="2" t="s">
        <v>3635</v>
      </c>
      <c r="BB219" s="2">
        <v>202.0</v>
      </c>
      <c r="BC219" s="2">
        <v>219.0</v>
      </c>
      <c r="BD219" s="2" t="s">
        <v>3635</v>
      </c>
      <c r="BE219" s="2" t="s">
        <v>8263</v>
      </c>
      <c r="BF219" s="3" t="str">
        <f>HYPERLINK("http://dx.doi.org/10.4018/978-1-4666-0309-7.ch012","http://dx.doi.org/10.4018/978-1-4666-0309-7.ch012")</f>
        <v>http://dx.doi.org/10.4018/978-1-4666-0309-7.ch012</v>
      </c>
      <c r="BG219" s="2" t="s">
        <v>8264</v>
      </c>
      <c r="BH219" s="2" t="s">
        <v>3635</v>
      </c>
      <c r="BI219" s="2">
        <v>18.0</v>
      </c>
      <c r="BJ219" s="2" t="s">
        <v>8265</v>
      </c>
      <c r="BK219" s="2" t="s">
        <v>8266</v>
      </c>
      <c r="BL219" s="2" t="s">
        <v>8267</v>
      </c>
      <c r="BM219" s="2" t="s">
        <v>8268</v>
      </c>
      <c r="BN219" s="2" t="s">
        <v>3635</v>
      </c>
      <c r="BO219" s="2" t="s">
        <v>3635</v>
      </c>
      <c r="BP219" s="2" t="s">
        <v>3635</v>
      </c>
      <c r="BQ219" s="2" t="s">
        <v>3635</v>
      </c>
      <c r="BR219" s="2" t="s">
        <v>3662</v>
      </c>
      <c r="BS219" s="2" t="s">
        <v>8269</v>
      </c>
      <c r="BT219" s="2" t="str">
        <f>HYPERLINK("https%3A%2F%2Fwww.webofscience.com%2Fwos%2Fwoscc%2Ffull-record%2FWOS:000315269000012","View Full Record in Web of Science")</f>
        <v>View Full Record in Web of Science</v>
      </c>
    </row>
    <row r="220" ht="15.75" customHeight="1">
      <c r="A220" s="2" t="s">
        <v>3664</v>
      </c>
      <c r="B220" s="2" t="s">
        <v>8270</v>
      </c>
      <c r="C220" s="2" t="s">
        <v>3635</v>
      </c>
      <c r="D220" s="2" t="s">
        <v>8271</v>
      </c>
      <c r="E220" s="2" t="s">
        <v>3635</v>
      </c>
      <c r="F220" s="2" t="s">
        <v>8272</v>
      </c>
      <c r="G220" s="2" t="s">
        <v>3635</v>
      </c>
      <c r="H220" s="2" t="s">
        <v>3635</v>
      </c>
      <c r="I220" s="2" t="s">
        <v>8273</v>
      </c>
      <c r="J220" s="2" t="s">
        <v>8274</v>
      </c>
      <c r="K220" s="2" t="s">
        <v>8275</v>
      </c>
      <c r="L220" s="2" t="s">
        <v>3635</v>
      </c>
      <c r="M220" s="2" t="s">
        <v>3638</v>
      </c>
      <c r="N220" s="2" t="s">
        <v>3669</v>
      </c>
      <c r="O220" s="2" t="s">
        <v>8276</v>
      </c>
      <c r="P220" s="2">
        <v>2015.0</v>
      </c>
      <c r="Q220" s="2" t="s">
        <v>8277</v>
      </c>
      <c r="R220" s="2" t="s">
        <v>3635</v>
      </c>
      <c r="S220" s="2" t="s">
        <v>8278</v>
      </c>
      <c r="T220" s="2" t="s">
        <v>8279</v>
      </c>
      <c r="U220" s="2" t="s">
        <v>3635</v>
      </c>
      <c r="V220" s="2" t="s">
        <v>8280</v>
      </c>
      <c r="W220" s="2" t="s">
        <v>8281</v>
      </c>
      <c r="X220" s="2" t="s">
        <v>8282</v>
      </c>
      <c r="Y220" s="2" t="s">
        <v>8283</v>
      </c>
      <c r="Z220" s="2" t="s">
        <v>8284</v>
      </c>
      <c r="AA220" s="2" t="s">
        <v>3635</v>
      </c>
      <c r="AB220" s="2" t="s">
        <v>3635</v>
      </c>
      <c r="AC220" s="2" t="s">
        <v>3635</v>
      </c>
      <c r="AD220" s="2" t="s">
        <v>3635</v>
      </c>
      <c r="AE220" s="2" t="s">
        <v>3635</v>
      </c>
      <c r="AF220" s="2" t="s">
        <v>3635</v>
      </c>
      <c r="AG220" s="2">
        <v>7.0</v>
      </c>
      <c r="AH220" s="2">
        <v>0.0</v>
      </c>
      <c r="AI220" s="2">
        <v>1.0</v>
      </c>
      <c r="AJ220" s="2">
        <v>0.0</v>
      </c>
      <c r="AK220" s="2">
        <v>1.0</v>
      </c>
      <c r="AL220" s="2" t="s">
        <v>5840</v>
      </c>
      <c r="AM220" s="2" t="s">
        <v>3808</v>
      </c>
      <c r="AN220" s="2" t="s">
        <v>7178</v>
      </c>
      <c r="AO220" s="2" t="s">
        <v>8285</v>
      </c>
      <c r="AP220" s="2" t="s">
        <v>3635</v>
      </c>
      <c r="AQ220" s="2" t="s">
        <v>3635</v>
      </c>
      <c r="AR220" s="2" t="s">
        <v>8286</v>
      </c>
      <c r="AS220" s="2" t="s">
        <v>3635</v>
      </c>
      <c r="AT220" s="2" t="s">
        <v>3635</v>
      </c>
      <c r="AU220" s="2">
        <v>2016.0</v>
      </c>
      <c r="AV220" s="2">
        <v>6.0</v>
      </c>
      <c r="AW220" s="2" t="s">
        <v>3635</v>
      </c>
      <c r="AX220" s="2" t="s">
        <v>3635</v>
      </c>
      <c r="AY220" s="2" t="s">
        <v>3635</v>
      </c>
      <c r="AZ220" s="2" t="s">
        <v>3635</v>
      </c>
      <c r="BA220" s="2" t="s">
        <v>3635</v>
      </c>
      <c r="BB220" s="2">
        <v>275.0</v>
      </c>
      <c r="BC220" s="2">
        <v>278.0</v>
      </c>
      <c r="BD220" s="2" t="s">
        <v>3635</v>
      </c>
      <c r="BE220" s="2" t="s">
        <v>8287</v>
      </c>
      <c r="BF220" s="3" t="str">
        <f>HYPERLINK("http://dx.doi.org/10.1016/j.profoo.2016.02.054","http://dx.doi.org/10.1016/j.profoo.2016.02.054")</f>
        <v>http://dx.doi.org/10.1016/j.profoo.2016.02.054</v>
      </c>
      <c r="BG220" s="2" t="s">
        <v>3635</v>
      </c>
      <c r="BH220" s="2" t="s">
        <v>3635</v>
      </c>
      <c r="BI220" s="2">
        <v>4.0</v>
      </c>
      <c r="BJ220" s="2" t="s">
        <v>8288</v>
      </c>
      <c r="BK220" s="2" t="s">
        <v>3692</v>
      </c>
      <c r="BL220" s="2" t="s">
        <v>8289</v>
      </c>
      <c r="BM220" s="2" t="s">
        <v>8290</v>
      </c>
      <c r="BN220" s="2" t="s">
        <v>3635</v>
      </c>
      <c r="BO220" s="2" t="s">
        <v>4519</v>
      </c>
      <c r="BP220" s="2" t="s">
        <v>3635</v>
      </c>
      <c r="BQ220" s="2" t="s">
        <v>3635</v>
      </c>
      <c r="BR220" s="2" t="s">
        <v>3662</v>
      </c>
      <c r="BS220" s="2" t="s">
        <v>8291</v>
      </c>
      <c r="BT220" s="2" t="str">
        <f>HYPERLINK("https%3A%2F%2Fwww.webofscience.com%2Fwos%2Fwoscc%2Ffull-record%2FWOS:000387491600053","View Full Record in Web of Science")</f>
        <v>View Full Record in Web of Science</v>
      </c>
    </row>
    <row r="221" ht="15.75" customHeight="1">
      <c r="A221" s="2" t="s">
        <v>3633</v>
      </c>
      <c r="B221" s="2" t="s">
        <v>8292</v>
      </c>
      <c r="C221" s="2" t="s">
        <v>3635</v>
      </c>
      <c r="D221" s="2" t="s">
        <v>3635</v>
      </c>
      <c r="E221" s="2" t="s">
        <v>3635</v>
      </c>
      <c r="F221" s="2" t="s">
        <v>8293</v>
      </c>
      <c r="G221" s="2" t="s">
        <v>3635</v>
      </c>
      <c r="H221" s="2" t="s">
        <v>3635</v>
      </c>
      <c r="I221" s="2" t="s">
        <v>8294</v>
      </c>
      <c r="J221" s="2" t="s">
        <v>8295</v>
      </c>
      <c r="K221" s="2" t="s">
        <v>3635</v>
      </c>
      <c r="L221" s="2" t="s">
        <v>3635</v>
      </c>
      <c r="M221" s="2" t="s">
        <v>3638</v>
      </c>
      <c r="N221" s="2" t="s">
        <v>21</v>
      </c>
      <c r="O221" s="2" t="s">
        <v>3635</v>
      </c>
      <c r="P221" s="2" t="s">
        <v>3635</v>
      </c>
      <c r="Q221" s="2" t="s">
        <v>3635</v>
      </c>
      <c r="R221" s="2" t="s">
        <v>3635</v>
      </c>
      <c r="S221" s="2" t="s">
        <v>3635</v>
      </c>
      <c r="T221" s="2" t="s">
        <v>8296</v>
      </c>
      <c r="U221" s="2" t="s">
        <v>8297</v>
      </c>
      <c r="V221" s="2" t="s">
        <v>8298</v>
      </c>
      <c r="W221" s="2" t="s">
        <v>8299</v>
      </c>
      <c r="X221" s="2" t="s">
        <v>8300</v>
      </c>
      <c r="Y221" s="2" t="s">
        <v>8301</v>
      </c>
      <c r="Z221" s="2" t="s">
        <v>8302</v>
      </c>
      <c r="AA221" s="2" t="s">
        <v>8303</v>
      </c>
      <c r="AB221" s="2" t="s">
        <v>8304</v>
      </c>
      <c r="AC221" s="2" t="s">
        <v>3635</v>
      </c>
      <c r="AD221" s="2" t="s">
        <v>3635</v>
      </c>
      <c r="AE221" s="2" t="s">
        <v>3635</v>
      </c>
      <c r="AF221" s="2" t="s">
        <v>3635</v>
      </c>
      <c r="AG221" s="2">
        <v>55.0</v>
      </c>
      <c r="AH221" s="2">
        <v>5.0</v>
      </c>
      <c r="AI221" s="2">
        <v>5.0</v>
      </c>
      <c r="AJ221" s="2">
        <v>0.0</v>
      </c>
      <c r="AK221" s="2">
        <v>10.0</v>
      </c>
      <c r="AL221" s="2" t="s">
        <v>3986</v>
      </c>
      <c r="AM221" s="2" t="s">
        <v>3987</v>
      </c>
      <c r="AN221" s="2" t="s">
        <v>3988</v>
      </c>
      <c r="AO221" s="2" t="s">
        <v>8305</v>
      </c>
      <c r="AP221" s="2" t="s">
        <v>8306</v>
      </c>
      <c r="AQ221" s="2" t="s">
        <v>3635</v>
      </c>
      <c r="AR221" s="2" t="s">
        <v>8307</v>
      </c>
      <c r="AS221" s="2" t="s">
        <v>8308</v>
      </c>
      <c r="AT221" s="2" t="s">
        <v>3635</v>
      </c>
      <c r="AU221" s="2">
        <v>2015.0</v>
      </c>
      <c r="AV221" s="2">
        <v>34.0</v>
      </c>
      <c r="AW221" s="2">
        <v>8.0</v>
      </c>
      <c r="AX221" s="2" t="s">
        <v>3635</v>
      </c>
      <c r="AY221" s="2" t="s">
        <v>3635</v>
      </c>
      <c r="AZ221" s="2" t="s">
        <v>3635</v>
      </c>
      <c r="BA221" s="2" t="s">
        <v>3635</v>
      </c>
      <c r="BB221" s="2">
        <v>901.0</v>
      </c>
      <c r="BC221" s="2">
        <v>921.0</v>
      </c>
      <c r="BD221" s="2" t="s">
        <v>3635</v>
      </c>
      <c r="BE221" s="2" t="s">
        <v>8309</v>
      </c>
      <c r="BF221" s="3" t="str">
        <f>HYPERLINK("http://dx.doi.org/10.1108/JMD-05-2014-0041","http://dx.doi.org/10.1108/JMD-05-2014-0041")</f>
        <v>http://dx.doi.org/10.1108/JMD-05-2014-0041</v>
      </c>
      <c r="BG221" s="2" t="s">
        <v>3635</v>
      </c>
      <c r="BH221" s="2" t="s">
        <v>3635</v>
      </c>
      <c r="BI221" s="2">
        <v>21.0</v>
      </c>
      <c r="BJ221" s="2" t="s">
        <v>5790</v>
      </c>
      <c r="BK221" s="2" t="s">
        <v>3993</v>
      </c>
      <c r="BL221" s="2" t="s">
        <v>3994</v>
      </c>
      <c r="BM221" s="2" t="s">
        <v>8310</v>
      </c>
      <c r="BN221" s="2" t="s">
        <v>3635</v>
      </c>
      <c r="BO221" s="2" t="s">
        <v>3635</v>
      </c>
      <c r="BP221" s="2" t="s">
        <v>3635</v>
      </c>
      <c r="BQ221" s="2" t="s">
        <v>3635</v>
      </c>
      <c r="BR221" s="2" t="s">
        <v>3662</v>
      </c>
      <c r="BS221" s="2" t="s">
        <v>8311</v>
      </c>
      <c r="BT221" s="2" t="str">
        <f>HYPERLINK("https%3A%2F%2Fwww.webofscience.com%2Fwos%2Fwoscc%2Ffull-record%2FWOS:000360577400002","View Full Record in Web of Science")</f>
        <v>View Full Record in Web of Science</v>
      </c>
    </row>
    <row r="222" ht="15.75" customHeight="1">
      <c r="A222" s="2" t="s">
        <v>3633</v>
      </c>
      <c r="B222" s="2" t="s">
        <v>8312</v>
      </c>
      <c r="C222" s="2" t="s">
        <v>3635</v>
      </c>
      <c r="D222" s="2" t="s">
        <v>3635</v>
      </c>
      <c r="E222" s="2" t="s">
        <v>3635</v>
      </c>
      <c r="F222" s="2" t="s">
        <v>8313</v>
      </c>
      <c r="G222" s="2" t="s">
        <v>3635</v>
      </c>
      <c r="H222" s="2" t="s">
        <v>3635</v>
      </c>
      <c r="I222" s="2" t="s">
        <v>8314</v>
      </c>
      <c r="J222" s="2" t="s">
        <v>8315</v>
      </c>
      <c r="K222" s="2" t="s">
        <v>3635</v>
      </c>
      <c r="L222" s="2" t="s">
        <v>3635</v>
      </c>
      <c r="M222" s="2" t="s">
        <v>3638</v>
      </c>
      <c r="N222" s="2" t="s">
        <v>21</v>
      </c>
      <c r="O222" s="2" t="s">
        <v>3635</v>
      </c>
      <c r="P222" s="2" t="s">
        <v>3635</v>
      </c>
      <c r="Q222" s="2" t="s">
        <v>3635</v>
      </c>
      <c r="R222" s="2" t="s">
        <v>3635</v>
      </c>
      <c r="S222" s="2" t="s">
        <v>3635</v>
      </c>
      <c r="T222" s="2" t="s">
        <v>8316</v>
      </c>
      <c r="U222" s="2" t="s">
        <v>8317</v>
      </c>
      <c r="V222" s="2" t="s">
        <v>8318</v>
      </c>
      <c r="W222" s="2" t="s">
        <v>8319</v>
      </c>
      <c r="X222" s="2" t="s">
        <v>8320</v>
      </c>
      <c r="Y222" s="2" t="s">
        <v>8321</v>
      </c>
      <c r="Z222" s="2" t="s">
        <v>8322</v>
      </c>
      <c r="AA222" s="2" t="s">
        <v>3635</v>
      </c>
      <c r="AB222" s="2" t="s">
        <v>3635</v>
      </c>
      <c r="AC222" s="2" t="s">
        <v>8323</v>
      </c>
      <c r="AD222" s="2" t="s">
        <v>8324</v>
      </c>
      <c r="AE222" s="2" t="s">
        <v>8325</v>
      </c>
      <c r="AF222" s="2" t="s">
        <v>3635</v>
      </c>
      <c r="AG222" s="2">
        <v>43.0</v>
      </c>
      <c r="AH222" s="2">
        <v>5.0</v>
      </c>
      <c r="AI222" s="2">
        <v>5.0</v>
      </c>
      <c r="AJ222" s="2">
        <v>3.0</v>
      </c>
      <c r="AK222" s="2">
        <v>22.0</v>
      </c>
      <c r="AL222" s="2" t="s">
        <v>3986</v>
      </c>
      <c r="AM222" s="2" t="s">
        <v>3987</v>
      </c>
      <c r="AN222" s="2" t="s">
        <v>3988</v>
      </c>
      <c r="AO222" s="2" t="s">
        <v>8326</v>
      </c>
      <c r="AP222" s="2" t="s">
        <v>8327</v>
      </c>
      <c r="AQ222" s="2" t="s">
        <v>3635</v>
      </c>
      <c r="AR222" s="2" t="s">
        <v>8315</v>
      </c>
      <c r="AS222" s="2" t="s">
        <v>344</v>
      </c>
      <c r="AT222" s="2" t="s">
        <v>8328</v>
      </c>
      <c r="AU222" s="2">
        <v>2021.0</v>
      </c>
      <c r="AV222" s="2">
        <v>50.0</v>
      </c>
      <c r="AW222" s="2">
        <v>1.0</v>
      </c>
      <c r="AX222" s="2" t="s">
        <v>3635</v>
      </c>
      <c r="AY222" s="2" t="s">
        <v>3635</v>
      </c>
      <c r="AZ222" s="2" t="s">
        <v>3635</v>
      </c>
      <c r="BA222" s="2" t="s">
        <v>3635</v>
      </c>
      <c r="BB222" s="2">
        <v>100.0</v>
      </c>
      <c r="BC222" s="2">
        <v>117.0</v>
      </c>
      <c r="BD222" s="2" t="s">
        <v>3635</v>
      </c>
      <c r="BE222" s="2" t="s">
        <v>874</v>
      </c>
      <c r="BF222" s="3" t="str">
        <f>HYPERLINK("http://dx.doi.org/10.1108/K-10-2019-0712","http://dx.doi.org/10.1108/K-10-2019-0712")</f>
        <v>http://dx.doi.org/10.1108/K-10-2019-0712</v>
      </c>
      <c r="BG222" s="2" t="s">
        <v>3635</v>
      </c>
      <c r="BH222" s="2" t="s">
        <v>8329</v>
      </c>
      <c r="BI222" s="2">
        <v>18.0</v>
      </c>
      <c r="BJ222" s="2" t="s">
        <v>8330</v>
      </c>
      <c r="BK222" s="2" t="s">
        <v>4378</v>
      </c>
      <c r="BL222" s="2" t="s">
        <v>3659</v>
      </c>
      <c r="BM222" s="2" t="s">
        <v>8331</v>
      </c>
      <c r="BN222" s="2" t="s">
        <v>3635</v>
      </c>
      <c r="BO222" s="2" t="s">
        <v>3635</v>
      </c>
      <c r="BP222" s="2" t="s">
        <v>3635</v>
      </c>
      <c r="BQ222" s="2" t="s">
        <v>3635</v>
      </c>
      <c r="BR222" s="2" t="s">
        <v>3662</v>
      </c>
      <c r="BS222" s="2" t="s">
        <v>8332</v>
      </c>
      <c r="BT222" s="2" t="str">
        <f>HYPERLINK("https%3A%2F%2Fwww.webofscience.com%2Fwos%2Fwoscc%2Ffull-record%2FWOS:000525136400001","View Full Record in Web of Science")</f>
        <v>View Full Record in Web of Science</v>
      </c>
    </row>
    <row r="223" ht="15.75" customHeight="1">
      <c r="A223" s="2" t="s">
        <v>3633</v>
      </c>
      <c r="B223" s="2" t="s">
        <v>8333</v>
      </c>
      <c r="C223" s="2" t="s">
        <v>3635</v>
      </c>
      <c r="D223" s="2" t="s">
        <v>3635</v>
      </c>
      <c r="E223" s="2" t="s">
        <v>3635</v>
      </c>
      <c r="F223" s="2" t="s">
        <v>8334</v>
      </c>
      <c r="G223" s="2" t="s">
        <v>3635</v>
      </c>
      <c r="H223" s="2" t="s">
        <v>3635</v>
      </c>
      <c r="I223" s="2" t="s">
        <v>8335</v>
      </c>
      <c r="J223" s="2" t="s">
        <v>8336</v>
      </c>
      <c r="K223" s="2" t="s">
        <v>3635</v>
      </c>
      <c r="L223" s="2" t="s">
        <v>3635</v>
      </c>
      <c r="M223" s="2" t="s">
        <v>3638</v>
      </c>
      <c r="N223" s="2" t="s">
        <v>21</v>
      </c>
      <c r="O223" s="2" t="s">
        <v>3635</v>
      </c>
      <c r="P223" s="2" t="s">
        <v>3635</v>
      </c>
      <c r="Q223" s="2" t="s">
        <v>3635</v>
      </c>
      <c r="R223" s="2" t="s">
        <v>3635</v>
      </c>
      <c r="S223" s="2" t="s">
        <v>3635</v>
      </c>
      <c r="T223" s="2" t="s">
        <v>8337</v>
      </c>
      <c r="U223" s="2" t="s">
        <v>8338</v>
      </c>
      <c r="V223" s="2" t="s">
        <v>8339</v>
      </c>
      <c r="W223" s="2" t="s">
        <v>8340</v>
      </c>
      <c r="X223" s="2" t="s">
        <v>8341</v>
      </c>
      <c r="Y223" s="2" t="s">
        <v>8342</v>
      </c>
      <c r="Z223" s="2" t="s">
        <v>8343</v>
      </c>
      <c r="AA223" s="2" t="s">
        <v>8344</v>
      </c>
      <c r="AB223" s="2" t="s">
        <v>8345</v>
      </c>
      <c r="AC223" s="2" t="s">
        <v>3635</v>
      </c>
      <c r="AD223" s="2" t="s">
        <v>3635</v>
      </c>
      <c r="AE223" s="2" t="s">
        <v>3635</v>
      </c>
      <c r="AF223" s="2" t="s">
        <v>3635</v>
      </c>
      <c r="AG223" s="2">
        <v>43.0</v>
      </c>
      <c r="AH223" s="2">
        <v>31.0</v>
      </c>
      <c r="AI223" s="2">
        <v>33.0</v>
      </c>
      <c r="AJ223" s="2">
        <v>0.0</v>
      </c>
      <c r="AK223" s="2">
        <v>11.0</v>
      </c>
      <c r="AL223" s="2" t="s">
        <v>4369</v>
      </c>
      <c r="AM223" s="2" t="s">
        <v>4370</v>
      </c>
      <c r="AN223" s="2" t="s">
        <v>4371</v>
      </c>
      <c r="AO223" s="2" t="s">
        <v>8346</v>
      </c>
      <c r="AP223" s="2" t="s">
        <v>8347</v>
      </c>
      <c r="AQ223" s="2" t="s">
        <v>3635</v>
      </c>
      <c r="AR223" s="2" t="s">
        <v>8348</v>
      </c>
      <c r="AS223" s="2" t="s">
        <v>8349</v>
      </c>
      <c r="AT223" s="2" t="s">
        <v>3716</v>
      </c>
      <c r="AU223" s="2">
        <v>2013.0</v>
      </c>
      <c r="AV223" s="2">
        <v>69.0</v>
      </c>
      <c r="AW223" s="2">
        <v>9.0</v>
      </c>
      <c r="AX223" s="2" t="s">
        <v>3635</v>
      </c>
      <c r="AY223" s="2" t="s">
        <v>3635</v>
      </c>
      <c r="AZ223" s="2" t="s">
        <v>3635</v>
      </c>
      <c r="BA223" s="2" t="s">
        <v>3635</v>
      </c>
      <c r="BB223" s="2">
        <v>1717.0</v>
      </c>
      <c r="BC223" s="2">
        <v>1724.0</v>
      </c>
      <c r="BD223" s="2" t="s">
        <v>3635</v>
      </c>
      <c r="BE223" s="2" t="s">
        <v>8350</v>
      </c>
      <c r="BF223" s="3" t="str">
        <f>HYPERLINK("http://dx.doi.org/10.1007/s00228-013-1531-7","http://dx.doi.org/10.1007/s00228-013-1531-7")</f>
        <v>http://dx.doi.org/10.1007/s00228-013-1531-7</v>
      </c>
      <c r="BG223" s="2" t="s">
        <v>3635</v>
      </c>
      <c r="BH223" s="2" t="s">
        <v>3635</v>
      </c>
      <c r="BI223" s="2">
        <v>8.0</v>
      </c>
      <c r="BJ223" s="2" t="s">
        <v>5390</v>
      </c>
      <c r="BK223" s="2" t="s">
        <v>3658</v>
      </c>
      <c r="BL223" s="2" t="s">
        <v>5390</v>
      </c>
      <c r="BM223" s="2" t="s">
        <v>8351</v>
      </c>
      <c r="BN223" s="2">
        <v>2.3739998E7</v>
      </c>
      <c r="BO223" s="2" t="s">
        <v>3635</v>
      </c>
      <c r="BP223" s="2" t="s">
        <v>3635</v>
      </c>
      <c r="BQ223" s="2" t="s">
        <v>3635</v>
      </c>
      <c r="BR223" s="2" t="s">
        <v>3662</v>
      </c>
      <c r="BS223" s="2" t="s">
        <v>8352</v>
      </c>
      <c r="BT223" s="2" t="str">
        <f>HYPERLINK("https%3A%2F%2Fwww.webofscience.com%2Fwos%2Fwoscc%2Ffull-record%2FWOS:000323429900012","View Full Record in Web of Science")</f>
        <v>View Full Record in Web of Science</v>
      </c>
    </row>
    <row r="224" ht="15.75" customHeight="1">
      <c r="A224" s="2" t="s">
        <v>3664</v>
      </c>
      <c r="B224" s="2" t="s">
        <v>8353</v>
      </c>
      <c r="C224" s="2" t="s">
        <v>3635</v>
      </c>
      <c r="D224" s="2" t="s">
        <v>3635</v>
      </c>
      <c r="E224" s="2" t="s">
        <v>4144</v>
      </c>
      <c r="F224" s="2" t="s">
        <v>8354</v>
      </c>
      <c r="G224" s="2" t="s">
        <v>3635</v>
      </c>
      <c r="H224" s="2" t="s">
        <v>3635</v>
      </c>
      <c r="I224" s="2" t="s">
        <v>834</v>
      </c>
      <c r="J224" s="2" t="s">
        <v>8355</v>
      </c>
      <c r="K224" s="2" t="s">
        <v>8356</v>
      </c>
      <c r="L224" s="2" t="s">
        <v>3635</v>
      </c>
      <c r="M224" s="2" t="s">
        <v>3638</v>
      </c>
      <c r="N224" s="2" t="s">
        <v>3669</v>
      </c>
      <c r="O224" s="2" t="s">
        <v>8357</v>
      </c>
      <c r="P224" s="2" t="s">
        <v>8358</v>
      </c>
      <c r="Q224" s="2" t="s">
        <v>3843</v>
      </c>
      <c r="R224" s="2" t="s">
        <v>8359</v>
      </c>
      <c r="S224" s="2" t="s">
        <v>3635</v>
      </c>
      <c r="T224" s="2" t="s">
        <v>3635</v>
      </c>
      <c r="U224" s="2" t="s">
        <v>3635</v>
      </c>
      <c r="V224" s="2" t="s">
        <v>8360</v>
      </c>
      <c r="W224" s="2" t="s">
        <v>8361</v>
      </c>
      <c r="X224" s="2" t="s">
        <v>8362</v>
      </c>
      <c r="Y224" s="2" t="s">
        <v>8363</v>
      </c>
      <c r="Z224" s="2" t="s">
        <v>3635</v>
      </c>
      <c r="AA224" s="2" t="s">
        <v>8364</v>
      </c>
      <c r="AB224" s="2" t="s">
        <v>3635</v>
      </c>
      <c r="AC224" s="2" t="s">
        <v>8365</v>
      </c>
      <c r="AD224" s="2" t="s">
        <v>8366</v>
      </c>
      <c r="AE224" s="2" t="s">
        <v>8367</v>
      </c>
      <c r="AF224" s="2" t="s">
        <v>3635</v>
      </c>
      <c r="AG224" s="2">
        <v>36.0</v>
      </c>
      <c r="AH224" s="2">
        <v>3.0</v>
      </c>
      <c r="AI224" s="2">
        <v>3.0</v>
      </c>
      <c r="AJ224" s="2">
        <v>0.0</v>
      </c>
      <c r="AK224" s="2">
        <v>0.0</v>
      </c>
      <c r="AL224" s="2" t="s">
        <v>3685</v>
      </c>
      <c r="AM224" s="2" t="s">
        <v>3686</v>
      </c>
      <c r="AN224" s="2" t="s">
        <v>3687</v>
      </c>
      <c r="AO224" s="2" t="s">
        <v>8368</v>
      </c>
      <c r="AP224" s="2" t="s">
        <v>3635</v>
      </c>
      <c r="AQ224" s="2" t="s">
        <v>8369</v>
      </c>
      <c r="AR224" s="2" t="s">
        <v>8370</v>
      </c>
      <c r="AS224" s="2" t="s">
        <v>3635</v>
      </c>
      <c r="AT224" s="2" t="s">
        <v>3635</v>
      </c>
      <c r="AU224" s="2">
        <v>2021.0</v>
      </c>
      <c r="AV224" s="2" t="s">
        <v>3635</v>
      </c>
      <c r="AW224" s="2" t="s">
        <v>3635</v>
      </c>
      <c r="AX224" s="2" t="s">
        <v>3635</v>
      </c>
      <c r="AY224" s="2" t="s">
        <v>3635</v>
      </c>
      <c r="AZ224" s="2" t="s">
        <v>3635</v>
      </c>
      <c r="BA224" s="2" t="s">
        <v>3635</v>
      </c>
      <c r="BB224" s="2" t="s">
        <v>3635</v>
      </c>
      <c r="BC224" s="2" t="s">
        <v>3635</v>
      </c>
      <c r="BD224" s="2" t="s">
        <v>3635</v>
      </c>
      <c r="BE224" s="2" t="s">
        <v>837</v>
      </c>
      <c r="BF224" s="3" t="str">
        <f>HYPERLINK("http://dx.doi.org/10.1109/ICNP52444.2021.9651986","http://dx.doi.org/10.1109/ICNP52444.2021.9651986")</f>
        <v>http://dx.doi.org/10.1109/ICNP52444.2021.9651986</v>
      </c>
      <c r="BG224" s="2" t="s">
        <v>3635</v>
      </c>
      <c r="BH224" s="2" t="s">
        <v>3635</v>
      </c>
      <c r="BI224" s="2">
        <v>11.0</v>
      </c>
      <c r="BJ224" s="2" t="s">
        <v>8371</v>
      </c>
      <c r="BK224" s="2" t="s">
        <v>3692</v>
      </c>
      <c r="BL224" s="2" t="s">
        <v>5220</v>
      </c>
      <c r="BM224" s="2" t="s">
        <v>8372</v>
      </c>
      <c r="BN224" s="2" t="s">
        <v>3635</v>
      </c>
      <c r="BO224" s="2" t="s">
        <v>3635</v>
      </c>
      <c r="BP224" s="2" t="s">
        <v>3635</v>
      </c>
      <c r="BQ224" s="2" t="s">
        <v>3635</v>
      </c>
      <c r="BR224" s="2" t="s">
        <v>3662</v>
      </c>
      <c r="BS224" s="2" t="s">
        <v>8373</v>
      </c>
      <c r="BT224" s="2" t="str">
        <f>HYPERLINK("https%3A%2F%2Fwww.webofscience.com%2Fwos%2Fwoscc%2Ffull-record%2FWOS:000749316400071","View Full Record in Web of Science")</f>
        <v>View Full Record in Web of Science</v>
      </c>
    </row>
    <row r="225" ht="15.75" customHeight="1">
      <c r="A225" s="2" t="s">
        <v>3633</v>
      </c>
      <c r="B225" s="2" t="s">
        <v>8374</v>
      </c>
      <c r="C225" s="2" t="s">
        <v>3635</v>
      </c>
      <c r="D225" s="2" t="s">
        <v>3635</v>
      </c>
      <c r="E225" s="2" t="s">
        <v>3635</v>
      </c>
      <c r="F225" s="2" t="s">
        <v>8375</v>
      </c>
      <c r="G225" s="2" t="s">
        <v>3635</v>
      </c>
      <c r="H225" s="2" t="s">
        <v>3635</v>
      </c>
      <c r="I225" s="2" t="s">
        <v>8376</v>
      </c>
      <c r="J225" s="2" t="s">
        <v>8377</v>
      </c>
      <c r="K225" s="2" t="s">
        <v>3635</v>
      </c>
      <c r="L225" s="2" t="s">
        <v>3635</v>
      </c>
      <c r="M225" s="2" t="s">
        <v>3638</v>
      </c>
      <c r="N225" s="2" t="s">
        <v>21</v>
      </c>
      <c r="O225" s="2" t="s">
        <v>3635</v>
      </c>
      <c r="P225" s="2" t="s">
        <v>3635</v>
      </c>
      <c r="Q225" s="2" t="s">
        <v>3635</v>
      </c>
      <c r="R225" s="2" t="s">
        <v>3635</v>
      </c>
      <c r="S225" s="2" t="s">
        <v>3635</v>
      </c>
      <c r="T225" s="2" t="s">
        <v>8378</v>
      </c>
      <c r="U225" s="2" t="s">
        <v>8379</v>
      </c>
      <c r="V225" s="2" t="s">
        <v>8380</v>
      </c>
      <c r="W225" s="2" t="s">
        <v>8381</v>
      </c>
      <c r="X225" s="2" t="s">
        <v>8382</v>
      </c>
      <c r="Y225" s="2" t="s">
        <v>8383</v>
      </c>
      <c r="Z225" s="2" t="s">
        <v>8384</v>
      </c>
      <c r="AA225" s="2" t="s">
        <v>8385</v>
      </c>
      <c r="AB225" s="2" t="s">
        <v>3635</v>
      </c>
      <c r="AC225" s="2" t="s">
        <v>3635</v>
      </c>
      <c r="AD225" s="2" t="s">
        <v>3635</v>
      </c>
      <c r="AE225" s="2" t="s">
        <v>3635</v>
      </c>
      <c r="AF225" s="2" t="s">
        <v>3635</v>
      </c>
      <c r="AG225" s="2">
        <v>88.0</v>
      </c>
      <c r="AH225" s="2">
        <v>1.0</v>
      </c>
      <c r="AI225" s="2">
        <v>1.0</v>
      </c>
      <c r="AJ225" s="2">
        <v>6.0</v>
      </c>
      <c r="AK225" s="2">
        <v>13.0</v>
      </c>
      <c r="AL225" s="2" t="s">
        <v>4104</v>
      </c>
      <c r="AM225" s="2" t="s">
        <v>4105</v>
      </c>
      <c r="AN225" s="2" t="s">
        <v>4106</v>
      </c>
      <c r="AO225" s="2" t="s">
        <v>8386</v>
      </c>
      <c r="AP225" s="2" t="s">
        <v>3635</v>
      </c>
      <c r="AQ225" s="2" t="s">
        <v>3635</v>
      </c>
      <c r="AR225" s="2" t="s">
        <v>8387</v>
      </c>
      <c r="AS225" s="2" t="s">
        <v>8388</v>
      </c>
      <c r="AT225" s="2" t="s">
        <v>8389</v>
      </c>
      <c r="AU225" s="2">
        <v>2023.0</v>
      </c>
      <c r="AV225" s="2">
        <v>14.0</v>
      </c>
      <c r="AW225" s="2" t="s">
        <v>3635</v>
      </c>
      <c r="AX225" s="2" t="s">
        <v>3635</v>
      </c>
      <c r="AY225" s="2" t="s">
        <v>3635</v>
      </c>
      <c r="AZ225" s="2" t="s">
        <v>3635</v>
      </c>
      <c r="BA225" s="2" t="s">
        <v>3635</v>
      </c>
      <c r="BB225" s="2" t="s">
        <v>3635</v>
      </c>
      <c r="BC225" s="2" t="s">
        <v>3635</v>
      </c>
      <c r="BD225" s="2">
        <v>1102946.0</v>
      </c>
      <c r="BE225" s="2" t="s">
        <v>8390</v>
      </c>
      <c r="BF225" s="3" t="str">
        <f>HYPERLINK("http://dx.doi.org/10.3389/fpsyt.2023.1102946","http://dx.doi.org/10.3389/fpsyt.2023.1102946")</f>
        <v>http://dx.doi.org/10.3389/fpsyt.2023.1102946</v>
      </c>
      <c r="BG225" s="2" t="s">
        <v>3635</v>
      </c>
      <c r="BH225" s="2" t="s">
        <v>3635</v>
      </c>
      <c r="BI225" s="2">
        <v>12.0</v>
      </c>
      <c r="BJ225" s="2" t="s">
        <v>8391</v>
      </c>
      <c r="BK225" s="2" t="s">
        <v>4378</v>
      </c>
      <c r="BL225" s="2" t="s">
        <v>8391</v>
      </c>
      <c r="BM225" s="2" t="s">
        <v>8392</v>
      </c>
      <c r="BN225" s="2">
        <v>3.7215662E7</v>
      </c>
      <c r="BO225" s="2" t="s">
        <v>4748</v>
      </c>
      <c r="BP225" s="2" t="s">
        <v>3635</v>
      </c>
      <c r="BQ225" s="2" t="s">
        <v>3635</v>
      </c>
      <c r="BR225" s="2" t="s">
        <v>3662</v>
      </c>
      <c r="BS225" s="2" t="s">
        <v>8393</v>
      </c>
      <c r="BT225" s="2" t="str">
        <f>HYPERLINK("https%3A%2F%2Fwww.webofscience.com%2Fwos%2Fwoscc%2Ffull-record%2FWOS:000988948600001","View Full Record in Web of Science")</f>
        <v>View Full Record in Web of Science</v>
      </c>
    </row>
    <row r="226" ht="15.75" customHeight="1">
      <c r="A226" s="2" t="s">
        <v>3633</v>
      </c>
      <c r="B226" s="2" t="s">
        <v>7865</v>
      </c>
      <c r="C226" s="2" t="s">
        <v>3635</v>
      </c>
      <c r="D226" s="2" t="s">
        <v>3635</v>
      </c>
      <c r="E226" s="2" t="s">
        <v>3635</v>
      </c>
      <c r="F226" s="2" t="s">
        <v>7867</v>
      </c>
      <c r="G226" s="2" t="s">
        <v>3635</v>
      </c>
      <c r="H226" s="2" t="s">
        <v>3635</v>
      </c>
      <c r="I226" s="2" t="s">
        <v>8394</v>
      </c>
      <c r="J226" s="2" t="s">
        <v>8395</v>
      </c>
      <c r="K226" s="2" t="s">
        <v>3635</v>
      </c>
      <c r="L226" s="2" t="s">
        <v>3635</v>
      </c>
      <c r="M226" s="2" t="s">
        <v>3638</v>
      </c>
      <c r="N226" s="2" t="s">
        <v>21</v>
      </c>
      <c r="O226" s="2" t="s">
        <v>3635</v>
      </c>
      <c r="P226" s="2" t="s">
        <v>3635</v>
      </c>
      <c r="Q226" s="2" t="s">
        <v>3635</v>
      </c>
      <c r="R226" s="2" t="s">
        <v>3635</v>
      </c>
      <c r="S226" s="2" t="s">
        <v>3635</v>
      </c>
      <c r="T226" s="2" t="s">
        <v>8396</v>
      </c>
      <c r="U226" s="2" t="s">
        <v>8397</v>
      </c>
      <c r="V226" s="2" t="s">
        <v>8398</v>
      </c>
      <c r="W226" s="2" t="s">
        <v>7877</v>
      </c>
      <c r="X226" s="2" t="s">
        <v>7878</v>
      </c>
      <c r="Y226" s="2" t="s">
        <v>8399</v>
      </c>
      <c r="Z226" s="2" t="s">
        <v>3635</v>
      </c>
      <c r="AA226" s="2" t="s">
        <v>8400</v>
      </c>
      <c r="AB226" s="2" t="s">
        <v>8401</v>
      </c>
      <c r="AC226" s="2" t="s">
        <v>3635</v>
      </c>
      <c r="AD226" s="2" t="s">
        <v>3635</v>
      </c>
      <c r="AE226" s="2" t="s">
        <v>3635</v>
      </c>
      <c r="AF226" s="2" t="s">
        <v>3635</v>
      </c>
      <c r="AG226" s="2">
        <v>32.0</v>
      </c>
      <c r="AH226" s="2">
        <v>11.0</v>
      </c>
      <c r="AI226" s="2">
        <v>12.0</v>
      </c>
      <c r="AJ226" s="2">
        <v>0.0</v>
      </c>
      <c r="AK226" s="2">
        <v>15.0</v>
      </c>
      <c r="AL226" s="2" t="s">
        <v>3807</v>
      </c>
      <c r="AM226" s="2" t="s">
        <v>3808</v>
      </c>
      <c r="AN226" s="2" t="s">
        <v>3809</v>
      </c>
      <c r="AO226" s="2" t="s">
        <v>8402</v>
      </c>
      <c r="AP226" s="2" t="s">
        <v>8403</v>
      </c>
      <c r="AQ226" s="2" t="s">
        <v>3635</v>
      </c>
      <c r="AR226" s="2" t="s">
        <v>8404</v>
      </c>
      <c r="AS226" s="2" t="s">
        <v>8405</v>
      </c>
      <c r="AT226" s="2" t="s">
        <v>3656</v>
      </c>
      <c r="AU226" s="2">
        <v>2011.0</v>
      </c>
      <c r="AV226" s="2">
        <v>19.0</v>
      </c>
      <c r="AW226" s="2">
        <v>1.0</v>
      </c>
      <c r="AX226" s="2" t="s">
        <v>3635</v>
      </c>
      <c r="AY226" s="2" t="s">
        <v>3635</v>
      </c>
      <c r="AZ226" s="2" t="s">
        <v>3635</v>
      </c>
      <c r="BA226" s="2" t="s">
        <v>3635</v>
      </c>
      <c r="BB226" s="2">
        <v>283.0</v>
      </c>
      <c r="BC226" s="2">
        <v>300.0</v>
      </c>
      <c r="BD226" s="2" t="s">
        <v>3635</v>
      </c>
      <c r="BE226" s="2" t="s">
        <v>1579</v>
      </c>
      <c r="BF226" s="3" t="str">
        <f>HYPERLINK("http://dx.doi.org/10.1016/j.simpat.2010.06.013","http://dx.doi.org/10.1016/j.simpat.2010.06.013")</f>
        <v>http://dx.doi.org/10.1016/j.simpat.2010.06.013</v>
      </c>
      <c r="BG226" s="2" t="s">
        <v>3635</v>
      </c>
      <c r="BH226" s="2" t="s">
        <v>3635</v>
      </c>
      <c r="BI226" s="2">
        <v>18.0</v>
      </c>
      <c r="BJ226" s="2" t="s">
        <v>8406</v>
      </c>
      <c r="BK226" s="2" t="s">
        <v>3658</v>
      </c>
      <c r="BL226" s="2" t="s">
        <v>3659</v>
      </c>
      <c r="BM226" s="2" t="s">
        <v>8407</v>
      </c>
      <c r="BN226" s="2" t="s">
        <v>3635</v>
      </c>
      <c r="BO226" s="2" t="s">
        <v>3635</v>
      </c>
      <c r="BP226" s="2" t="s">
        <v>3635</v>
      </c>
      <c r="BQ226" s="2" t="s">
        <v>3635</v>
      </c>
      <c r="BR226" s="2" t="s">
        <v>3662</v>
      </c>
      <c r="BS226" s="2" t="s">
        <v>8408</v>
      </c>
      <c r="BT226" s="2" t="str">
        <f>HYPERLINK("https%3A%2F%2Fwww.webofscience.com%2Fwos%2Fwoscc%2Ffull-record%2FWOS:000284987900022","View Full Record in Web of Science")</f>
        <v>View Full Record in Web of Science</v>
      </c>
    </row>
    <row r="227" ht="15.75" customHeight="1">
      <c r="A227" s="2" t="s">
        <v>3633</v>
      </c>
      <c r="B227" s="2" t="s">
        <v>8409</v>
      </c>
      <c r="C227" s="2" t="s">
        <v>3635</v>
      </c>
      <c r="D227" s="2" t="s">
        <v>3635</v>
      </c>
      <c r="E227" s="2" t="s">
        <v>3635</v>
      </c>
      <c r="F227" s="2" t="s">
        <v>8410</v>
      </c>
      <c r="G227" s="2" t="s">
        <v>3635</v>
      </c>
      <c r="H227" s="2" t="s">
        <v>3635</v>
      </c>
      <c r="I227" s="2" t="s">
        <v>347</v>
      </c>
      <c r="J227" s="2" t="s">
        <v>8411</v>
      </c>
      <c r="K227" s="2" t="s">
        <v>3635</v>
      </c>
      <c r="L227" s="2" t="s">
        <v>3635</v>
      </c>
      <c r="M227" s="2" t="s">
        <v>3638</v>
      </c>
      <c r="N227" s="2" t="s">
        <v>5035</v>
      </c>
      <c r="O227" s="2" t="s">
        <v>3635</v>
      </c>
      <c r="P227" s="2" t="s">
        <v>3635</v>
      </c>
      <c r="Q227" s="2" t="s">
        <v>3635</v>
      </c>
      <c r="R227" s="2" t="s">
        <v>3635</v>
      </c>
      <c r="S227" s="2" t="s">
        <v>3635</v>
      </c>
      <c r="T227" s="2" t="s">
        <v>8412</v>
      </c>
      <c r="U227" s="2" t="s">
        <v>8413</v>
      </c>
      <c r="V227" s="2" t="s">
        <v>8414</v>
      </c>
      <c r="W227" s="2" t="s">
        <v>8415</v>
      </c>
      <c r="X227" s="2" t="s">
        <v>5234</v>
      </c>
      <c r="Y227" s="2" t="s">
        <v>8416</v>
      </c>
      <c r="Z227" s="2" t="s">
        <v>8417</v>
      </c>
      <c r="AA227" s="2" t="s">
        <v>3635</v>
      </c>
      <c r="AB227" s="2" t="s">
        <v>8418</v>
      </c>
      <c r="AC227" s="2" t="s">
        <v>3635</v>
      </c>
      <c r="AD227" s="2" t="s">
        <v>3635</v>
      </c>
      <c r="AE227" s="2" t="s">
        <v>3635</v>
      </c>
      <c r="AF227" s="2" t="s">
        <v>3635</v>
      </c>
      <c r="AG227" s="2">
        <v>26.0</v>
      </c>
      <c r="AH227" s="2">
        <v>0.0</v>
      </c>
      <c r="AI227" s="2">
        <v>0.0</v>
      </c>
      <c r="AJ227" s="2">
        <v>6.0</v>
      </c>
      <c r="AK227" s="2">
        <v>6.0</v>
      </c>
      <c r="AL227" s="2" t="s">
        <v>6154</v>
      </c>
      <c r="AM227" s="2" t="s">
        <v>6429</v>
      </c>
      <c r="AN227" s="2" t="s">
        <v>6430</v>
      </c>
      <c r="AO227" s="2" t="s">
        <v>8419</v>
      </c>
      <c r="AP227" s="2" t="s">
        <v>8420</v>
      </c>
      <c r="AQ227" s="2" t="s">
        <v>3635</v>
      </c>
      <c r="AR227" s="2" t="s">
        <v>8421</v>
      </c>
      <c r="AS227" s="2" t="s">
        <v>8422</v>
      </c>
      <c r="AT227" s="2" t="s">
        <v>8423</v>
      </c>
      <c r="AU227" s="2">
        <v>2023.0</v>
      </c>
      <c r="AV227" s="2" t="s">
        <v>3635</v>
      </c>
      <c r="AW227" s="2" t="s">
        <v>3635</v>
      </c>
      <c r="AX227" s="2" t="s">
        <v>3635</v>
      </c>
      <c r="AY227" s="2" t="s">
        <v>3635</v>
      </c>
      <c r="AZ227" s="2" t="s">
        <v>3635</v>
      </c>
      <c r="BA227" s="2" t="s">
        <v>3635</v>
      </c>
      <c r="BB227" s="2" t="s">
        <v>3635</v>
      </c>
      <c r="BC227" s="2" t="s">
        <v>3635</v>
      </c>
      <c r="BD227" s="2" t="s">
        <v>3635</v>
      </c>
      <c r="BE227" s="2" t="s">
        <v>350</v>
      </c>
      <c r="BF227" s="3" t="str">
        <f>HYPERLINK("http://dx.doi.org/10.1007/s10614-023-10504-1","http://dx.doi.org/10.1007/s10614-023-10504-1")</f>
        <v>http://dx.doi.org/10.1007/s10614-023-10504-1</v>
      </c>
      <c r="BG227" s="2" t="s">
        <v>3635</v>
      </c>
      <c r="BH227" s="2" t="s">
        <v>8424</v>
      </c>
      <c r="BI227" s="2">
        <v>29.0</v>
      </c>
      <c r="BJ227" s="2" t="s">
        <v>8425</v>
      </c>
      <c r="BK227" s="2" t="s">
        <v>4378</v>
      </c>
      <c r="BL227" s="2" t="s">
        <v>8426</v>
      </c>
      <c r="BM227" s="2" t="s">
        <v>8427</v>
      </c>
      <c r="BN227" s="2" t="s">
        <v>3635</v>
      </c>
      <c r="BO227" s="2" t="s">
        <v>3635</v>
      </c>
      <c r="BP227" s="2" t="s">
        <v>3635</v>
      </c>
      <c r="BQ227" s="2" t="s">
        <v>3635</v>
      </c>
      <c r="BR227" s="2" t="s">
        <v>3662</v>
      </c>
      <c r="BS227" s="2" t="s">
        <v>8428</v>
      </c>
      <c r="BT227" s="2" t="str">
        <f>HYPERLINK("https%3A%2F%2Fwww.webofscience.com%2Fwos%2Fwoscc%2Ffull-record%2FWOS:001111217400001","View Full Record in Web of Science")</f>
        <v>View Full Record in Web of Science</v>
      </c>
    </row>
    <row r="228" ht="15.75" customHeight="1">
      <c r="A228" s="2" t="s">
        <v>3633</v>
      </c>
      <c r="B228" s="2" t="s">
        <v>8429</v>
      </c>
      <c r="C228" s="2" t="s">
        <v>3635</v>
      </c>
      <c r="D228" s="2" t="s">
        <v>3635</v>
      </c>
      <c r="E228" s="2" t="s">
        <v>3635</v>
      </c>
      <c r="F228" s="2" t="s">
        <v>8430</v>
      </c>
      <c r="G228" s="2" t="s">
        <v>3635</v>
      </c>
      <c r="H228" s="2" t="s">
        <v>3635</v>
      </c>
      <c r="I228" s="2" t="s">
        <v>8431</v>
      </c>
      <c r="J228" s="2" t="s">
        <v>8432</v>
      </c>
      <c r="K228" s="2" t="s">
        <v>3635</v>
      </c>
      <c r="L228" s="2" t="s">
        <v>3635</v>
      </c>
      <c r="M228" s="2" t="s">
        <v>3638</v>
      </c>
      <c r="N228" s="2" t="s">
        <v>21</v>
      </c>
      <c r="O228" s="2" t="s">
        <v>3635</v>
      </c>
      <c r="P228" s="2" t="s">
        <v>3635</v>
      </c>
      <c r="Q228" s="2" t="s">
        <v>3635</v>
      </c>
      <c r="R228" s="2" t="s">
        <v>3635</v>
      </c>
      <c r="S228" s="2" t="s">
        <v>3635</v>
      </c>
      <c r="T228" s="2" t="s">
        <v>8433</v>
      </c>
      <c r="U228" s="2" t="s">
        <v>8434</v>
      </c>
      <c r="V228" s="2" t="s">
        <v>8435</v>
      </c>
      <c r="W228" s="2" t="s">
        <v>8436</v>
      </c>
      <c r="X228" s="2" t="s">
        <v>8437</v>
      </c>
      <c r="Y228" s="2" t="s">
        <v>8438</v>
      </c>
      <c r="Z228" s="2" t="s">
        <v>8439</v>
      </c>
      <c r="AA228" s="2" t="s">
        <v>8440</v>
      </c>
      <c r="AB228" s="2" t="s">
        <v>8441</v>
      </c>
      <c r="AC228" s="2" t="s">
        <v>3635</v>
      </c>
      <c r="AD228" s="2" t="s">
        <v>3635</v>
      </c>
      <c r="AE228" s="2" t="s">
        <v>3635</v>
      </c>
      <c r="AF228" s="2" t="s">
        <v>3635</v>
      </c>
      <c r="AG228" s="2">
        <v>94.0</v>
      </c>
      <c r="AH228" s="2">
        <v>36.0</v>
      </c>
      <c r="AI228" s="2">
        <v>39.0</v>
      </c>
      <c r="AJ228" s="2">
        <v>1.0</v>
      </c>
      <c r="AK228" s="2">
        <v>32.0</v>
      </c>
      <c r="AL228" s="2" t="s">
        <v>3986</v>
      </c>
      <c r="AM228" s="2" t="s">
        <v>3987</v>
      </c>
      <c r="AN228" s="2" t="s">
        <v>3988</v>
      </c>
      <c r="AO228" s="2" t="s">
        <v>8442</v>
      </c>
      <c r="AP228" s="2" t="s">
        <v>8443</v>
      </c>
      <c r="AQ228" s="2" t="s">
        <v>3635</v>
      </c>
      <c r="AR228" s="2" t="s">
        <v>8444</v>
      </c>
      <c r="AS228" s="2" t="s">
        <v>8445</v>
      </c>
      <c r="AT228" s="2" t="s">
        <v>8446</v>
      </c>
      <c r="AU228" s="2">
        <v>2019.0</v>
      </c>
      <c r="AV228" s="2">
        <v>33.0</v>
      </c>
      <c r="AW228" s="2">
        <v>1.0</v>
      </c>
      <c r="AX228" s="2" t="s">
        <v>3635</v>
      </c>
      <c r="AY228" s="2" t="s">
        <v>3635</v>
      </c>
      <c r="AZ228" s="2" t="s">
        <v>3717</v>
      </c>
      <c r="BA228" s="2" t="s">
        <v>3635</v>
      </c>
      <c r="BB228" s="2">
        <v>45.0</v>
      </c>
      <c r="BC228" s="2">
        <v>65.0</v>
      </c>
      <c r="BD228" s="2" t="s">
        <v>3635</v>
      </c>
      <c r="BE228" s="2" t="s">
        <v>8447</v>
      </c>
      <c r="BF228" s="3" t="str">
        <f>HYPERLINK("http://dx.doi.org/10.1108/IJEM-02-2018-0072","http://dx.doi.org/10.1108/IJEM-02-2018-0072")</f>
        <v>http://dx.doi.org/10.1108/IJEM-02-2018-0072</v>
      </c>
      <c r="BG228" s="2" t="s">
        <v>3635</v>
      </c>
      <c r="BH228" s="2" t="s">
        <v>3635</v>
      </c>
      <c r="BI228" s="2">
        <v>21.0</v>
      </c>
      <c r="BJ228" s="2" t="s">
        <v>5790</v>
      </c>
      <c r="BK228" s="2" t="s">
        <v>3993</v>
      </c>
      <c r="BL228" s="2" t="s">
        <v>3994</v>
      </c>
      <c r="BM228" s="2" t="s">
        <v>8448</v>
      </c>
      <c r="BN228" s="2" t="s">
        <v>3635</v>
      </c>
      <c r="BO228" s="2" t="s">
        <v>4701</v>
      </c>
      <c r="BP228" s="2" t="s">
        <v>3635</v>
      </c>
      <c r="BQ228" s="2" t="s">
        <v>3635</v>
      </c>
      <c r="BR228" s="2" t="s">
        <v>3662</v>
      </c>
      <c r="BS228" s="2" t="s">
        <v>8449</v>
      </c>
      <c r="BT228" s="2" t="str">
        <f>HYPERLINK("https%3A%2F%2Fwww.webofscience.com%2Fwos%2Fwoscc%2Ffull-record%2FWOS:000458209500004","View Full Record in Web of Science")</f>
        <v>View Full Record in Web of Science</v>
      </c>
    </row>
    <row r="229" ht="15.75" customHeight="1">
      <c r="A229" s="2" t="s">
        <v>3633</v>
      </c>
      <c r="B229" s="2" t="s">
        <v>8450</v>
      </c>
      <c r="C229" s="2" t="s">
        <v>3635</v>
      </c>
      <c r="D229" s="2" t="s">
        <v>3635</v>
      </c>
      <c r="E229" s="2" t="s">
        <v>3635</v>
      </c>
      <c r="F229" s="2" t="s">
        <v>8451</v>
      </c>
      <c r="G229" s="2" t="s">
        <v>3635</v>
      </c>
      <c r="H229" s="2" t="s">
        <v>3635</v>
      </c>
      <c r="I229" s="2" t="s">
        <v>8452</v>
      </c>
      <c r="J229" s="2" t="s">
        <v>8453</v>
      </c>
      <c r="K229" s="2" t="s">
        <v>3635</v>
      </c>
      <c r="L229" s="2" t="s">
        <v>3635</v>
      </c>
      <c r="M229" s="2" t="s">
        <v>3638</v>
      </c>
      <c r="N229" s="2" t="s">
        <v>21</v>
      </c>
      <c r="O229" s="2" t="s">
        <v>3635</v>
      </c>
      <c r="P229" s="2" t="s">
        <v>3635</v>
      </c>
      <c r="Q229" s="2" t="s">
        <v>3635</v>
      </c>
      <c r="R229" s="2" t="s">
        <v>3635</v>
      </c>
      <c r="S229" s="2" t="s">
        <v>3635</v>
      </c>
      <c r="T229" s="2" t="s">
        <v>3635</v>
      </c>
      <c r="U229" s="2" t="s">
        <v>8454</v>
      </c>
      <c r="V229" s="2" t="s">
        <v>8455</v>
      </c>
      <c r="W229" s="2" t="s">
        <v>8456</v>
      </c>
      <c r="X229" s="2" t="s">
        <v>8457</v>
      </c>
      <c r="Y229" s="2" t="s">
        <v>8458</v>
      </c>
      <c r="Z229" s="2" t="s">
        <v>8459</v>
      </c>
      <c r="AA229" s="2" t="s">
        <v>3635</v>
      </c>
      <c r="AB229" s="2" t="s">
        <v>8460</v>
      </c>
      <c r="AC229" s="2" t="s">
        <v>3635</v>
      </c>
      <c r="AD229" s="2" t="s">
        <v>3635</v>
      </c>
      <c r="AE229" s="2" t="s">
        <v>3635</v>
      </c>
      <c r="AF229" s="2" t="s">
        <v>3635</v>
      </c>
      <c r="AG229" s="2">
        <v>52.0</v>
      </c>
      <c r="AH229" s="2">
        <v>0.0</v>
      </c>
      <c r="AI229" s="2">
        <v>0.0</v>
      </c>
      <c r="AJ229" s="2">
        <v>3.0</v>
      </c>
      <c r="AK229" s="2">
        <v>3.0</v>
      </c>
      <c r="AL229" s="2" t="s">
        <v>8461</v>
      </c>
      <c r="AM229" s="2" t="s">
        <v>8462</v>
      </c>
      <c r="AN229" s="2" t="s">
        <v>8463</v>
      </c>
      <c r="AO229" s="2" t="s">
        <v>8464</v>
      </c>
      <c r="AP229" s="2" t="s">
        <v>3635</v>
      </c>
      <c r="AQ229" s="2" t="s">
        <v>3635</v>
      </c>
      <c r="AR229" s="2" t="s">
        <v>8453</v>
      </c>
      <c r="AS229" s="2" t="s">
        <v>8465</v>
      </c>
      <c r="AT229" s="2" t="s">
        <v>8466</v>
      </c>
      <c r="AU229" s="2">
        <v>2024.0</v>
      </c>
      <c r="AV229" s="2">
        <v>19.0</v>
      </c>
      <c r="AW229" s="2">
        <v>1.0</v>
      </c>
      <c r="AX229" s="2" t="s">
        <v>3635</v>
      </c>
      <c r="AY229" s="2" t="s">
        <v>3635</v>
      </c>
      <c r="AZ229" s="2" t="s">
        <v>3635</v>
      </c>
      <c r="BA229" s="2" t="s">
        <v>3635</v>
      </c>
      <c r="BB229" s="2" t="s">
        <v>3635</v>
      </c>
      <c r="BC229" s="2" t="s">
        <v>3635</v>
      </c>
      <c r="BD229" s="2" t="s">
        <v>8467</v>
      </c>
      <c r="BE229" s="2" t="s">
        <v>8468</v>
      </c>
      <c r="BF229" s="3" t="str">
        <f>HYPERLINK("http://dx.doi.org/10.1371/journal.pone.0295982","http://dx.doi.org/10.1371/journal.pone.0295982")</f>
        <v>http://dx.doi.org/10.1371/journal.pone.0295982</v>
      </c>
      <c r="BG229" s="2" t="s">
        <v>3635</v>
      </c>
      <c r="BH229" s="2" t="s">
        <v>3635</v>
      </c>
      <c r="BI229" s="2">
        <v>16.0</v>
      </c>
      <c r="BJ229" s="2" t="s">
        <v>4319</v>
      </c>
      <c r="BK229" s="2" t="s">
        <v>3658</v>
      </c>
      <c r="BL229" s="2" t="s">
        <v>4320</v>
      </c>
      <c r="BM229" s="2" t="s">
        <v>8469</v>
      </c>
      <c r="BN229" s="2">
        <v>3.8241342E7</v>
      </c>
      <c r="BO229" s="2" t="s">
        <v>4748</v>
      </c>
      <c r="BP229" s="2" t="s">
        <v>3635</v>
      </c>
      <c r="BQ229" s="2" t="s">
        <v>3635</v>
      </c>
      <c r="BR229" s="2" t="s">
        <v>3662</v>
      </c>
      <c r="BS229" s="2" t="s">
        <v>8470</v>
      </c>
      <c r="BT229" s="2" t="str">
        <f>HYPERLINK("https%3A%2F%2Fwww.webofscience.com%2Fwos%2Fwoscc%2Ffull-record%2FWOS:001150526800050","View Full Record in Web of Science")</f>
        <v>View Full Record in Web of Science</v>
      </c>
    </row>
    <row r="230" ht="15.75" customHeight="1">
      <c r="A230" s="2" t="s">
        <v>3633</v>
      </c>
      <c r="B230" s="2" t="s">
        <v>8471</v>
      </c>
      <c r="C230" s="2" t="s">
        <v>3635</v>
      </c>
      <c r="D230" s="2" t="s">
        <v>3635</v>
      </c>
      <c r="E230" s="2" t="s">
        <v>3635</v>
      </c>
      <c r="F230" s="2" t="s">
        <v>8472</v>
      </c>
      <c r="G230" s="2" t="s">
        <v>3635</v>
      </c>
      <c r="H230" s="2" t="s">
        <v>3635</v>
      </c>
      <c r="I230" s="2" t="s">
        <v>8473</v>
      </c>
      <c r="J230" s="2" t="s">
        <v>5921</v>
      </c>
      <c r="K230" s="2" t="s">
        <v>3635</v>
      </c>
      <c r="L230" s="2" t="s">
        <v>3635</v>
      </c>
      <c r="M230" s="2" t="s">
        <v>3638</v>
      </c>
      <c r="N230" s="2" t="s">
        <v>21</v>
      </c>
      <c r="O230" s="2" t="s">
        <v>3635</v>
      </c>
      <c r="P230" s="2" t="s">
        <v>3635</v>
      </c>
      <c r="Q230" s="2" t="s">
        <v>3635</v>
      </c>
      <c r="R230" s="2" t="s">
        <v>3635</v>
      </c>
      <c r="S230" s="2" t="s">
        <v>3635</v>
      </c>
      <c r="T230" s="2" t="s">
        <v>8474</v>
      </c>
      <c r="U230" s="2" t="s">
        <v>8475</v>
      </c>
      <c r="V230" s="2" t="s">
        <v>8476</v>
      </c>
      <c r="W230" s="2" t="s">
        <v>8477</v>
      </c>
      <c r="X230" s="2" t="s">
        <v>8478</v>
      </c>
      <c r="Y230" s="2" t="s">
        <v>8479</v>
      </c>
      <c r="Z230" s="2" t="s">
        <v>8480</v>
      </c>
      <c r="AA230" s="2" t="s">
        <v>8481</v>
      </c>
      <c r="AB230" s="2" t="s">
        <v>8482</v>
      </c>
      <c r="AC230" s="2" t="s">
        <v>3635</v>
      </c>
      <c r="AD230" s="2" t="s">
        <v>3635</v>
      </c>
      <c r="AE230" s="2" t="s">
        <v>3635</v>
      </c>
      <c r="AF230" s="2" t="s">
        <v>3635</v>
      </c>
      <c r="AG230" s="2">
        <v>68.0</v>
      </c>
      <c r="AH230" s="2">
        <v>11.0</v>
      </c>
      <c r="AI230" s="2">
        <v>11.0</v>
      </c>
      <c r="AJ230" s="2">
        <v>0.0</v>
      </c>
      <c r="AK230" s="2">
        <v>7.0</v>
      </c>
      <c r="AL230" s="2" t="s">
        <v>5933</v>
      </c>
      <c r="AM230" s="2" t="s">
        <v>5934</v>
      </c>
      <c r="AN230" s="2" t="s">
        <v>5935</v>
      </c>
      <c r="AO230" s="2" t="s">
        <v>5936</v>
      </c>
      <c r="AP230" s="2" t="s">
        <v>3635</v>
      </c>
      <c r="AQ230" s="2" t="s">
        <v>3635</v>
      </c>
      <c r="AR230" s="2" t="s">
        <v>5937</v>
      </c>
      <c r="AS230" s="2" t="s">
        <v>5938</v>
      </c>
      <c r="AT230" s="2" t="s">
        <v>3635</v>
      </c>
      <c r="AU230" s="2">
        <v>2018.0</v>
      </c>
      <c r="AV230" s="2">
        <v>12.0</v>
      </c>
      <c r="AW230" s="2" t="s">
        <v>3635</v>
      </c>
      <c r="AX230" s="2" t="s">
        <v>3635</v>
      </c>
      <c r="AY230" s="2" t="s">
        <v>3635</v>
      </c>
      <c r="AZ230" s="2" t="s">
        <v>3635</v>
      </c>
      <c r="BA230" s="2" t="s">
        <v>3635</v>
      </c>
      <c r="BB230" s="2">
        <v>539.0</v>
      </c>
      <c r="BC230" s="2">
        <v>549.0</v>
      </c>
      <c r="BD230" s="2" t="s">
        <v>3635</v>
      </c>
      <c r="BE230" s="2" t="s">
        <v>8483</v>
      </c>
      <c r="BF230" s="3" t="str">
        <f>HYPERLINK("http://dx.doi.org/10.2147/PPA.S159621","http://dx.doi.org/10.2147/PPA.S159621")</f>
        <v>http://dx.doi.org/10.2147/PPA.S159621</v>
      </c>
      <c r="BG230" s="2" t="s">
        <v>3635</v>
      </c>
      <c r="BH230" s="2" t="s">
        <v>3635</v>
      </c>
      <c r="BI230" s="2">
        <v>11.0</v>
      </c>
      <c r="BJ230" s="2" t="s">
        <v>5940</v>
      </c>
      <c r="BK230" s="2" t="s">
        <v>4378</v>
      </c>
      <c r="BL230" s="2" t="s">
        <v>5941</v>
      </c>
      <c r="BM230" s="2" t="s">
        <v>8484</v>
      </c>
      <c r="BN230" s="2">
        <v>2.9695896E7</v>
      </c>
      <c r="BO230" s="2" t="s">
        <v>8045</v>
      </c>
      <c r="BP230" s="2" t="s">
        <v>3635</v>
      </c>
      <c r="BQ230" s="2" t="s">
        <v>3635</v>
      </c>
      <c r="BR230" s="2" t="s">
        <v>3662</v>
      </c>
      <c r="BS230" s="2" t="s">
        <v>8485</v>
      </c>
      <c r="BT230" s="2" t="str">
        <f>HYPERLINK("https%3A%2F%2Fwww.webofscience.com%2Fwos%2Fwoscc%2Ffull-record%2FWOS:000430018300001","View Full Record in Web of Science")</f>
        <v>View Full Record in Web of Science</v>
      </c>
    </row>
    <row r="231" ht="15.75" customHeight="1">
      <c r="A231" s="2" t="s">
        <v>3633</v>
      </c>
      <c r="B231" s="2" t="s">
        <v>8486</v>
      </c>
      <c r="C231" s="2" t="s">
        <v>3635</v>
      </c>
      <c r="D231" s="2" t="s">
        <v>3635</v>
      </c>
      <c r="E231" s="2" t="s">
        <v>3635</v>
      </c>
      <c r="F231" s="2" t="s">
        <v>8487</v>
      </c>
      <c r="G231" s="2" t="s">
        <v>3635</v>
      </c>
      <c r="H231" s="2" t="s">
        <v>3635</v>
      </c>
      <c r="I231" s="2" t="s">
        <v>8488</v>
      </c>
      <c r="J231" s="2" t="s">
        <v>8489</v>
      </c>
      <c r="K231" s="2" t="s">
        <v>3635</v>
      </c>
      <c r="L231" s="2" t="s">
        <v>3635</v>
      </c>
      <c r="M231" s="2" t="s">
        <v>3638</v>
      </c>
      <c r="N231" s="2" t="s">
        <v>4207</v>
      </c>
      <c r="O231" s="2" t="s">
        <v>3635</v>
      </c>
      <c r="P231" s="2" t="s">
        <v>3635</v>
      </c>
      <c r="Q231" s="2" t="s">
        <v>3635</v>
      </c>
      <c r="R231" s="2" t="s">
        <v>3635</v>
      </c>
      <c r="S231" s="2" t="s">
        <v>3635</v>
      </c>
      <c r="T231" s="2" t="s">
        <v>8490</v>
      </c>
      <c r="U231" s="2" t="s">
        <v>8491</v>
      </c>
      <c r="V231" s="2" t="s">
        <v>8492</v>
      </c>
      <c r="W231" s="2" t="s">
        <v>8493</v>
      </c>
      <c r="X231" s="2" t="s">
        <v>7704</v>
      </c>
      <c r="Y231" s="2" t="s">
        <v>8494</v>
      </c>
      <c r="Z231" s="2" t="s">
        <v>8495</v>
      </c>
      <c r="AA231" s="2" t="s">
        <v>8496</v>
      </c>
      <c r="AB231" s="2" t="s">
        <v>3635</v>
      </c>
      <c r="AC231" s="2" t="s">
        <v>3635</v>
      </c>
      <c r="AD231" s="2" t="s">
        <v>3635</v>
      </c>
      <c r="AE231" s="2" t="s">
        <v>3635</v>
      </c>
      <c r="AF231" s="2" t="s">
        <v>3635</v>
      </c>
      <c r="AG231" s="2">
        <v>111.0</v>
      </c>
      <c r="AH231" s="2">
        <v>86.0</v>
      </c>
      <c r="AI231" s="2">
        <v>93.0</v>
      </c>
      <c r="AJ231" s="2">
        <v>1.0</v>
      </c>
      <c r="AK231" s="2">
        <v>32.0</v>
      </c>
      <c r="AL231" s="2" t="s">
        <v>8497</v>
      </c>
      <c r="AM231" s="2" t="s">
        <v>8498</v>
      </c>
      <c r="AN231" s="2" t="s">
        <v>8499</v>
      </c>
      <c r="AO231" s="2" t="s">
        <v>3635</v>
      </c>
      <c r="AP231" s="2" t="s">
        <v>8500</v>
      </c>
      <c r="AQ231" s="2" t="s">
        <v>3635</v>
      </c>
      <c r="AR231" s="2" t="s">
        <v>8501</v>
      </c>
      <c r="AS231" s="2" t="s">
        <v>8502</v>
      </c>
      <c r="AT231" s="2" t="s">
        <v>8503</v>
      </c>
      <c r="AU231" s="2">
        <v>2014.0</v>
      </c>
      <c r="AV231" s="2">
        <v>2.0</v>
      </c>
      <c r="AW231" s="2">
        <v>1.0</v>
      </c>
      <c r="AX231" s="2" t="s">
        <v>3635</v>
      </c>
      <c r="AY231" s="2" t="s">
        <v>3635</v>
      </c>
      <c r="AZ231" s="2" t="s">
        <v>3635</v>
      </c>
      <c r="BA231" s="2" t="s">
        <v>3635</v>
      </c>
      <c r="BB231" s="2">
        <v>100.0</v>
      </c>
      <c r="BC231" s="2">
        <v>110.0</v>
      </c>
      <c r="BD231" s="2" t="s">
        <v>8504</v>
      </c>
      <c r="BE231" s="2" t="s">
        <v>8505</v>
      </c>
      <c r="BF231" s="3" t="str">
        <f>HYPERLINK("http://dx.doi.org/10.2196/medinform.2913","http://dx.doi.org/10.2196/medinform.2913")</f>
        <v>http://dx.doi.org/10.2196/medinform.2913</v>
      </c>
      <c r="BG231" s="2" t="s">
        <v>3635</v>
      </c>
      <c r="BH231" s="2" t="s">
        <v>3635</v>
      </c>
      <c r="BI231" s="2">
        <v>11.0</v>
      </c>
      <c r="BJ231" s="2" t="s">
        <v>4746</v>
      </c>
      <c r="BK231" s="2" t="s">
        <v>3993</v>
      </c>
      <c r="BL231" s="2" t="s">
        <v>4746</v>
      </c>
      <c r="BM231" s="2" t="s">
        <v>8506</v>
      </c>
      <c r="BN231" s="2">
        <v>2.5600256E7</v>
      </c>
      <c r="BO231" s="2" t="s">
        <v>4251</v>
      </c>
      <c r="BP231" s="2" t="s">
        <v>3635</v>
      </c>
      <c r="BQ231" s="2" t="s">
        <v>3635</v>
      </c>
      <c r="BR231" s="2" t="s">
        <v>3662</v>
      </c>
      <c r="BS231" s="2" t="s">
        <v>8507</v>
      </c>
      <c r="BT231" s="2" t="str">
        <f>HYPERLINK("https%3A%2F%2Fwww.webofscience.com%2Fwos%2Fwoscc%2Ffull-record%2FWOS:000218801200009","View Full Record in Web of Science")</f>
        <v>View Full Record in Web of Science</v>
      </c>
    </row>
    <row r="232" ht="15.75" customHeight="1">
      <c r="A232" s="2" t="s">
        <v>3633</v>
      </c>
      <c r="B232" s="2" t="s">
        <v>8508</v>
      </c>
      <c r="C232" s="2" t="s">
        <v>3635</v>
      </c>
      <c r="D232" s="2" t="s">
        <v>3635</v>
      </c>
      <c r="E232" s="2" t="s">
        <v>3635</v>
      </c>
      <c r="F232" s="2" t="s">
        <v>8509</v>
      </c>
      <c r="G232" s="2" t="s">
        <v>3635</v>
      </c>
      <c r="H232" s="2" t="s">
        <v>3635</v>
      </c>
      <c r="I232" s="2" t="s">
        <v>8510</v>
      </c>
      <c r="J232" s="2" t="s">
        <v>7039</v>
      </c>
      <c r="K232" s="2" t="s">
        <v>3635</v>
      </c>
      <c r="L232" s="2" t="s">
        <v>3635</v>
      </c>
      <c r="M232" s="2" t="s">
        <v>3638</v>
      </c>
      <c r="N232" s="2" t="s">
        <v>21</v>
      </c>
      <c r="O232" s="2" t="s">
        <v>3635</v>
      </c>
      <c r="P232" s="2" t="s">
        <v>3635</v>
      </c>
      <c r="Q232" s="2" t="s">
        <v>3635</v>
      </c>
      <c r="R232" s="2" t="s">
        <v>3635</v>
      </c>
      <c r="S232" s="2" t="s">
        <v>3635</v>
      </c>
      <c r="T232" s="2" t="s">
        <v>8511</v>
      </c>
      <c r="U232" s="2" t="s">
        <v>8512</v>
      </c>
      <c r="V232" s="2" t="s">
        <v>8513</v>
      </c>
      <c r="W232" s="2" t="s">
        <v>8514</v>
      </c>
      <c r="X232" s="2" t="s">
        <v>8515</v>
      </c>
      <c r="Y232" s="2" t="s">
        <v>8516</v>
      </c>
      <c r="Z232" s="2" t="s">
        <v>8517</v>
      </c>
      <c r="AA232" s="2" t="s">
        <v>8518</v>
      </c>
      <c r="AB232" s="2" t="s">
        <v>3635</v>
      </c>
      <c r="AC232" s="2" t="s">
        <v>3635</v>
      </c>
      <c r="AD232" s="2" t="s">
        <v>3635</v>
      </c>
      <c r="AE232" s="2" t="s">
        <v>3635</v>
      </c>
      <c r="AF232" s="2" t="s">
        <v>3635</v>
      </c>
      <c r="AG232" s="2">
        <v>50.0</v>
      </c>
      <c r="AH232" s="2">
        <v>35.0</v>
      </c>
      <c r="AI232" s="2">
        <v>44.0</v>
      </c>
      <c r="AJ232" s="2">
        <v>7.0</v>
      </c>
      <c r="AK232" s="2">
        <v>76.0</v>
      </c>
      <c r="AL232" s="2" t="s">
        <v>7049</v>
      </c>
      <c r="AM232" s="2" t="s">
        <v>8519</v>
      </c>
      <c r="AN232" s="2" t="s">
        <v>8520</v>
      </c>
      <c r="AO232" s="2" t="s">
        <v>7052</v>
      </c>
      <c r="AP232" s="2" t="s">
        <v>3635</v>
      </c>
      <c r="AQ232" s="2" t="s">
        <v>3635</v>
      </c>
      <c r="AR232" s="2" t="s">
        <v>7054</v>
      </c>
      <c r="AS232" s="2" t="s">
        <v>7055</v>
      </c>
      <c r="AT232" s="2" t="s">
        <v>6693</v>
      </c>
      <c r="AU232" s="2">
        <v>2012.0</v>
      </c>
      <c r="AV232" s="2">
        <v>58.0</v>
      </c>
      <c r="AW232" s="2">
        <v>4.0</v>
      </c>
      <c r="AX232" s="2" t="s">
        <v>3635</v>
      </c>
      <c r="AY232" s="2" t="s">
        <v>3635</v>
      </c>
      <c r="AZ232" s="2" t="s">
        <v>3635</v>
      </c>
      <c r="BA232" s="2" t="s">
        <v>3635</v>
      </c>
      <c r="BB232" s="2">
        <v>678.0</v>
      </c>
      <c r="BC232" s="2">
        <v>695.0</v>
      </c>
      <c r="BD232" s="2" t="s">
        <v>3635</v>
      </c>
      <c r="BE232" s="2" t="s">
        <v>8521</v>
      </c>
      <c r="BF232" s="3" t="str">
        <f>HYPERLINK("http://dx.doi.org/10.1287/mnsc.1110.1445","http://dx.doi.org/10.1287/mnsc.1110.1445")</f>
        <v>http://dx.doi.org/10.1287/mnsc.1110.1445</v>
      </c>
      <c r="BG232" s="2" t="s">
        <v>3635</v>
      </c>
      <c r="BH232" s="2" t="s">
        <v>3635</v>
      </c>
      <c r="BI232" s="2">
        <v>18.0</v>
      </c>
      <c r="BJ232" s="2" t="s">
        <v>7057</v>
      </c>
      <c r="BK232" s="2" t="s">
        <v>4378</v>
      </c>
      <c r="BL232" s="2" t="s">
        <v>6248</v>
      </c>
      <c r="BM232" s="2" t="s">
        <v>8522</v>
      </c>
      <c r="BN232" s="2" t="s">
        <v>3635</v>
      </c>
      <c r="BO232" s="2" t="s">
        <v>3694</v>
      </c>
      <c r="BP232" s="2" t="s">
        <v>3635</v>
      </c>
      <c r="BQ232" s="2" t="s">
        <v>3635</v>
      </c>
      <c r="BR232" s="2" t="s">
        <v>3662</v>
      </c>
      <c r="BS232" s="2" t="s">
        <v>8523</v>
      </c>
      <c r="BT232" s="2" t="str">
        <f>HYPERLINK("https%3A%2F%2Fwww.webofscience.com%2Fwos%2Fwoscc%2Ffull-record%2FWOS:000302908200002","View Full Record in Web of Science")</f>
        <v>View Full Record in Web of Science</v>
      </c>
    </row>
    <row r="233" ht="15.75" customHeight="1">
      <c r="A233" s="2" t="s">
        <v>3633</v>
      </c>
      <c r="B233" s="2" t="s">
        <v>8524</v>
      </c>
      <c r="C233" s="2" t="s">
        <v>3635</v>
      </c>
      <c r="D233" s="2" t="s">
        <v>3635</v>
      </c>
      <c r="E233" s="2" t="s">
        <v>3635</v>
      </c>
      <c r="F233" s="2" t="s">
        <v>8525</v>
      </c>
      <c r="G233" s="2" t="s">
        <v>3635</v>
      </c>
      <c r="H233" s="2" t="s">
        <v>3635</v>
      </c>
      <c r="I233" s="2" t="s">
        <v>8526</v>
      </c>
      <c r="J233" s="2" t="s">
        <v>8527</v>
      </c>
      <c r="K233" s="2" t="s">
        <v>3635</v>
      </c>
      <c r="L233" s="2" t="s">
        <v>3635</v>
      </c>
      <c r="M233" s="2" t="s">
        <v>3638</v>
      </c>
      <c r="N233" s="2" t="s">
        <v>21</v>
      </c>
      <c r="O233" s="2" t="s">
        <v>3635</v>
      </c>
      <c r="P233" s="2" t="s">
        <v>3635</v>
      </c>
      <c r="Q233" s="2" t="s">
        <v>3635</v>
      </c>
      <c r="R233" s="2" t="s">
        <v>3635</v>
      </c>
      <c r="S233" s="2" t="s">
        <v>3635</v>
      </c>
      <c r="T233" s="2" t="s">
        <v>8528</v>
      </c>
      <c r="U233" s="2" t="s">
        <v>8529</v>
      </c>
      <c r="V233" s="2" t="s">
        <v>8530</v>
      </c>
      <c r="W233" s="2" t="s">
        <v>8531</v>
      </c>
      <c r="X233" s="2" t="s">
        <v>8532</v>
      </c>
      <c r="Y233" s="2" t="s">
        <v>8533</v>
      </c>
      <c r="Z233" s="2" t="s">
        <v>8534</v>
      </c>
      <c r="AA233" s="2" t="s">
        <v>8535</v>
      </c>
      <c r="AB233" s="2" t="s">
        <v>8536</v>
      </c>
      <c r="AC233" s="2" t="s">
        <v>3635</v>
      </c>
      <c r="AD233" s="2" t="s">
        <v>3635</v>
      </c>
      <c r="AE233" s="2" t="s">
        <v>3635</v>
      </c>
      <c r="AF233" s="2" t="s">
        <v>3635</v>
      </c>
      <c r="AG233" s="2">
        <v>60.0</v>
      </c>
      <c r="AH233" s="2">
        <v>7.0</v>
      </c>
      <c r="AI233" s="2">
        <v>8.0</v>
      </c>
      <c r="AJ233" s="2">
        <v>3.0</v>
      </c>
      <c r="AK233" s="2">
        <v>13.0</v>
      </c>
      <c r="AL233" s="2" t="s">
        <v>4824</v>
      </c>
      <c r="AM233" s="2" t="s">
        <v>3915</v>
      </c>
      <c r="AN233" s="2" t="s">
        <v>4825</v>
      </c>
      <c r="AO233" s="2" t="s">
        <v>8537</v>
      </c>
      <c r="AP233" s="2" t="s">
        <v>8538</v>
      </c>
      <c r="AQ233" s="2" t="s">
        <v>3635</v>
      </c>
      <c r="AR233" s="2" t="s">
        <v>8539</v>
      </c>
      <c r="AS233" s="2" t="s">
        <v>8540</v>
      </c>
      <c r="AT233" s="2" t="s">
        <v>3716</v>
      </c>
      <c r="AU233" s="2">
        <v>2021.0</v>
      </c>
      <c r="AV233" s="2">
        <v>62.0</v>
      </c>
      <c r="AW233" s="2" t="s">
        <v>3635</v>
      </c>
      <c r="AX233" s="2" t="s">
        <v>3635</v>
      </c>
      <c r="AY233" s="2" t="s">
        <v>3635</v>
      </c>
      <c r="AZ233" s="2" t="s">
        <v>3635</v>
      </c>
      <c r="BA233" s="2" t="s">
        <v>3635</v>
      </c>
      <c r="BB233" s="2" t="s">
        <v>3635</v>
      </c>
      <c r="BC233" s="2" t="s">
        <v>3635</v>
      </c>
      <c r="BD233" s="2">
        <v>102656.0</v>
      </c>
      <c r="BE233" s="2" t="s">
        <v>8541</v>
      </c>
      <c r="BF233" s="3" t="str">
        <f>HYPERLINK("http://dx.doi.org/10.1016/j.jretconser.2021.102656","http://dx.doi.org/10.1016/j.jretconser.2021.102656")</f>
        <v>http://dx.doi.org/10.1016/j.jretconser.2021.102656</v>
      </c>
      <c r="BG233" s="2" t="s">
        <v>3635</v>
      </c>
      <c r="BH233" s="2" t="s">
        <v>5007</v>
      </c>
      <c r="BI233" s="2">
        <v>11.0</v>
      </c>
      <c r="BJ233" s="2" t="s">
        <v>6545</v>
      </c>
      <c r="BK233" s="2" t="s">
        <v>5726</v>
      </c>
      <c r="BL233" s="2" t="s">
        <v>3994</v>
      </c>
      <c r="BM233" s="2" t="s">
        <v>8542</v>
      </c>
      <c r="BN233" s="2" t="s">
        <v>3635</v>
      </c>
      <c r="BO233" s="2" t="s">
        <v>3635</v>
      </c>
      <c r="BP233" s="2" t="s">
        <v>3635</v>
      </c>
      <c r="BQ233" s="2" t="s">
        <v>3635</v>
      </c>
      <c r="BR233" s="2" t="s">
        <v>3662</v>
      </c>
      <c r="BS233" s="2" t="s">
        <v>8543</v>
      </c>
      <c r="BT233" s="2" t="str">
        <f>HYPERLINK("https%3A%2F%2Fwww.webofscience.com%2Fwos%2Fwoscc%2Ffull-record%2FWOS:000698653000015","View Full Record in Web of Science")</f>
        <v>View Full Record in Web of Science</v>
      </c>
    </row>
    <row r="234" ht="15.75" customHeight="1">
      <c r="A234" s="2" t="s">
        <v>3633</v>
      </c>
      <c r="B234" s="2" t="s">
        <v>8544</v>
      </c>
      <c r="C234" s="2" t="s">
        <v>3635</v>
      </c>
      <c r="D234" s="2" t="s">
        <v>3635</v>
      </c>
      <c r="E234" s="2" t="s">
        <v>3635</v>
      </c>
      <c r="F234" s="2" t="s">
        <v>8544</v>
      </c>
      <c r="G234" s="2" t="s">
        <v>3635</v>
      </c>
      <c r="H234" s="2" t="s">
        <v>3635</v>
      </c>
      <c r="I234" s="2" t="s">
        <v>1730</v>
      </c>
      <c r="J234" s="2" t="s">
        <v>8545</v>
      </c>
      <c r="K234" s="2" t="s">
        <v>3635</v>
      </c>
      <c r="L234" s="2" t="s">
        <v>3635</v>
      </c>
      <c r="M234" s="2" t="s">
        <v>3638</v>
      </c>
      <c r="N234" s="2" t="s">
        <v>21</v>
      </c>
      <c r="O234" s="2" t="s">
        <v>3635</v>
      </c>
      <c r="P234" s="2" t="s">
        <v>3635</v>
      </c>
      <c r="Q234" s="2" t="s">
        <v>3635</v>
      </c>
      <c r="R234" s="2" t="s">
        <v>3635</v>
      </c>
      <c r="S234" s="2" t="s">
        <v>3635</v>
      </c>
      <c r="T234" s="2" t="s">
        <v>8546</v>
      </c>
      <c r="U234" s="2" t="s">
        <v>3635</v>
      </c>
      <c r="V234" s="2" t="s">
        <v>8547</v>
      </c>
      <c r="W234" s="2" t="s">
        <v>8548</v>
      </c>
      <c r="X234" s="2" t="s">
        <v>8549</v>
      </c>
      <c r="Y234" s="2" t="s">
        <v>8550</v>
      </c>
      <c r="Z234" s="2" t="s">
        <v>8551</v>
      </c>
      <c r="AA234" s="2" t="s">
        <v>3635</v>
      </c>
      <c r="AB234" s="2" t="s">
        <v>3635</v>
      </c>
      <c r="AC234" s="2" t="s">
        <v>3635</v>
      </c>
      <c r="AD234" s="2" t="s">
        <v>3635</v>
      </c>
      <c r="AE234" s="2" t="s">
        <v>3635</v>
      </c>
      <c r="AF234" s="2" t="s">
        <v>3635</v>
      </c>
      <c r="AG234" s="2">
        <v>14.0</v>
      </c>
      <c r="AH234" s="2">
        <v>0.0</v>
      </c>
      <c r="AI234" s="2">
        <v>0.0</v>
      </c>
      <c r="AJ234" s="2">
        <v>0.0</v>
      </c>
      <c r="AK234" s="2">
        <v>1.0</v>
      </c>
      <c r="AL234" s="2" t="s">
        <v>3784</v>
      </c>
      <c r="AM234" s="2" t="s">
        <v>3785</v>
      </c>
      <c r="AN234" s="2" t="s">
        <v>3786</v>
      </c>
      <c r="AO234" s="2" t="s">
        <v>8552</v>
      </c>
      <c r="AP234" s="2" t="s">
        <v>8553</v>
      </c>
      <c r="AQ234" s="2" t="s">
        <v>3635</v>
      </c>
      <c r="AR234" s="2" t="s">
        <v>8554</v>
      </c>
      <c r="AS234" s="2" t="s">
        <v>8555</v>
      </c>
      <c r="AT234" s="2" t="s">
        <v>3953</v>
      </c>
      <c r="AU234" s="2">
        <v>2002.0</v>
      </c>
      <c r="AV234" s="2">
        <v>21.0</v>
      </c>
      <c r="AW234" s="2">
        <v>11.0</v>
      </c>
      <c r="AX234" s="2" t="s">
        <v>3635</v>
      </c>
      <c r="AY234" s="2" t="s">
        <v>3635</v>
      </c>
      <c r="AZ234" s="2" t="s">
        <v>3635</v>
      </c>
      <c r="BA234" s="2" t="s">
        <v>3635</v>
      </c>
      <c r="BB234" s="2">
        <v>1253.0</v>
      </c>
      <c r="BC234" s="2">
        <v>1268.0</v>
      </c>
      <c r="BD234" s="2" t="s">
        <v>3635</v>
      </c>
      <c r="BE234" s="2" t="s">
        <v>1732</v>
      </c>
      <c r="BF234" s="3" t="str">
        <f>HYPERLINK("http://dx.doi.org/10.1109/TCAD.2002.804086","http://dx.doi.org/10.1109/TCAD.2002.804086")</f>
        <v>http://dx.doi.org/10.1109/TCAD.2002.804086</v>
      </c>
      <c r="BG234" s="2" t="s">
        <v>3635</v>
      </c>
      <c r="BH234" s="2" t="s">
        <v>3635</v>
      </c>
      <c r="BI234" s="2">
        <v>16.0</v>
      </c>
      <c r="BJ234" s="2" t="s">
        <v>8556</v>
      </c>
      <c r="BK234" s="2" t="s">
        <v>3658</v>
      </c>
      <c r="BL234" s="2" t="s">
        <v>3944</v>
      </c>
      <c r="BM234" s="2" t="s">
        <v>8557</v>
      </c>
      <c r="BN234" s="2" t="s">
        <v>3635</v>
      </c>
      <c r="BO234" s="2" t="s">
        <v>4701</v>
      </c>
      <c r="BP234" s="2" t="s">
        <v>3635</v>
      </c>
      <c r="BQ234" s="2" t="s">
        <v>3635</v>
      </c>
      <c r="BR234" s="2" t="s">
        <v>3662</v>
      </c>
      <c r="BS234" s="2" t="s">
        <v>8558</v>
      </c>
      <c r="BT234" s="2" t="str">
        <f>HYPERLINK("https%3A%2F%2Fwww.webofscience.com%2Fwos%2Fwoscc%2Ffull-record%2FWOS:000179281800002","View Full Record in Web of Science")</f>
        <v>View Full Record in Web of Science</v>
      </c>
    </row>
    <row r="235" ht="15.75" customHeight="1">
      <c r="A235" s="2" t="s">
        <v>3633</v>
      </c>
      <c r="B235" s="2" t="s">
        <v>8559</v>
      </c>
      <c r="C235" s="2" t="s">
        <v>3635</v>
      </c>
      <c r="D235" s="2" t="s">
        <v>3635</v>
      </c>
      <c r="E235" s="2" t="s">
        <v>3635</v>
      </c>
      <c r="F235" s="2" t="s">
        <v>8560</v>
      </c>
      <c r="G235" s="2" t="s">
        <v>3635</v>
      </c>
      <c r="H235" s="2" t="s">
        <v>3635</v>
      </c>
      <c r="I235" s="2" t="s">
        <v>8561</v>
      </c>
      <c r="J235" s="2" t="s">
        <v>8562</v>
      </c>
      <c r="K235" s="2" t="s">
        <v>3635</v>
      </c>
      <c r="L235" s="2" t="s">
        <v>3635</v>
      </c>
      <c r="M235" s="2" t="s">
        <v>3638</v>
      </c>
      <c r="N235" s="2" t="s">
        <v>21</v>
      </c>
      <c r="O235" s="2" t="s">
        <v>3635</v>
      </c>
      <c r="P235" s="2" t="s">
        <v>3635</v>
      </c>
      <c r="Q235" s="2" t="s">
        <v>3635</v>
      </c>
      <c r="R235" s="2" t="s">
        <v>3635</v>
      </c>
      <c r="S235" s="2" t="s">
        <v>3635</v>
      </c>
      <c r="T235" s="2" t="s">
        <v>8563</v>
      </c>
      <c r="U235" s="2" t="s">
        <v>8564</v>
      </c>
      <c r="V235" s="2" t="s">
        <v>8565</v>
      </c>
      <c r="W235" s="2" t="s">
        <v>8566</v>
      </c>
      <c r="X235" s="2" t="s">
        <v>8567</v>
      </c>
      <c r="Y235" s="2" t="s">
        <v>8568</v>
      </c>
      <c r="Z235" s="2" t="s">
        <v>8569</v>
      </c>
      <c r="AA235" s="2" t="s">
        <v>3635</v>
      </c>
      <c r="AB235" s="2" t="s">
        <v>8570</v>
      </c>
      <c r="AC235" s="2" t="s">
        <v>8571</v>
      </c>
      <c r="AD235" s="2" t="s">
        <v>8571</v>
      </c>
      <c r="AE235" s="2" t="s">
        <v>8572</v>
      </c>
      <c r="AF235" s="2" t="s">
        <v>3635</v>
      </c>
      <c r="AG235" s="2">
        <v>29.0</v>
      </c>
      <c r="AH235" s="2">
        <v>3.0</v>
      </c>
      <c r="AI235" s="2">
        <v>3.0</v>
      </c>
      <c r="AJ235" s="2">
        <v>2.0</v>
      </c>
      <c r="AK235" s="2">
        <v>7.0</v>
      </c>
      <c r="AL235" s="2" t="s">
        <v>8573</v>
      </c>
      <c r="AM235" s="2" t="s">
        <v>4645</v>
      </c>
      <c r="AN235" s="2" t="s">
        <v>8574</v>
      </c>
      <c r="AO235" s="2" t="s">
        <v>8575</v>
      </c>
      <c r="AP235" s="2" t="s">
        <v>8576</v>
      </c>
      <c r="AQ235" s="2" t="s">
        <v>3635</v>
      </c>
      <c r="AR235" s="2" t="s">
        <v>8577</v>
      </c>
      <c r="AS235" s="2" t="s">
        <v>8578</v>
      </c>
      <c r="AT235" s="2" t="s">
        <v>3656</v>
      </c>
      <c r="AU235" s="2">
        <v>2021.0</v>
      </c>
      <c r="AV235" s="2">
        <v>14.0</v>
      </c>
      <c r="AW235" s="2">
        <v>1.0</v>
      </c>
      <c r="AX235" s="2" t="s">
        <v>3635</v>
      </c>
      <c r="AY235" s="2" t="s">
        <v>3635</v>
      </c>
      <c r="AZ235" s="2" t="s">
        <v>3635</v>
      </c>
      <c r="BA235" s="2" t="s">
        <v>3635</v>
      </c>
      <c r="BB235" s="2">
        <v>507.0</v>
      </c>
      <c r="BC235" s="2">
        <v>520.0</v>
      </c>
      <c r="BD235" s="2" t="s">
        <v>3635</v>
      </c>
      <c r="BE235" s="2" t="s">
        <v>8579</v>
      </c>
      <c r="BF235" s="3" t="str">
        <f>HYPERLINK("http://dx.doi.org/10.29333/iji.2021.14130a","http://dx.doi.org/10.29333/iji.2021.14130a")</f>
        <v>http://dx.doi.org/10.29333/iji.2021.14130a</v>
      </c>
      <c r="BG235" s="2" t="s">
        <v>3635</v>
      </c>
      <c r="BH235" s="2" t="s">
        <v>3635</v>
      </c>
      <c r="BI235" s="2">
        <v>14.0</v>
      </c>
      <c r="BJ235" s="2" t="s">
        <v>5165</v>
      </c>
      <c r="BK235" s="2" t="s">
        <v>3993</v>
      </c>
      <c r="BL235" s="2" t="s">
        <v>5165</v>
      </c>
      <c r="BM235" s="2" t="s">
        <v>8580</v>
      </c>
      <c r="BN235" s="2" t="s">
        <v>3635</v>
      </c>
      <c r="BO235" s="2" t="s">
        <v>4115</v>
      </c>
      <c r="BP235" s="2" t="s">
        <v>3635</v>
      </c>
      <c r="BQ235" s="2" t="s">
        <v>3635</v>
      </c>
      <c r="BR235" s="2" t="s">
        <v>3662</v>
      </c>
      <c r="BS235" s="2" t="s">
        <v>8581</v>
      </c>
      <c r="BT235" s="2" t="str">
        <f>HYPERLINK("https%3A%2F%2Fwww.webofscience.com%2Fwos%2Fwoscc%2Ffull-record%2FWOS:000608496700030","View Full Record in Web of Science")</f>
        <v>View Full Record in Web of Science</v>
      </c>
    </row>
    <row r="236" ht="15.75" customHeight="1">
      <c r="A236" s="2" t="s">
        <v>3633</v>
      </c>
      <c r="B236" s="2" t="s">
        <v>8582</v>
      </c>
      <c r="C236" s="2" t="s">
        <v>3635</v>
      </c>
      <c r="D236" s="2" t="s">
        <v>3635</v>
      </c>
      <c r="E236" s="2" t="s">
        <v>3635</v>
      </c>
      <c r="F236" s="2" t="s">
        <v>8583</v>
      </c>
      <c r="G236" s="2" t="s">
        <v>3635</v>
      </c>
      <c r="H236" s="2" t="s">
        <v>3635</v>
      </c>
      <c r="I236" s="2" t="s">
        <v>8584</v>
      </c>
      <c r="J236" s="2" t="s">
        <v>8585</v>
      </c>
      <c r="K236" s="2" t="s">
        <v>3635</v>
      </c>
      <c r="L236" s="2" t="s">
        <v>3635</v>
      </c>
      <c r="M236" s="2" t="s">
        <v>3638</v>
      </c>
      <c r="N236" s="2" t="s">
        <v>4207</v>
      </c>
      <c r="O236" s="2" t="s">
        <v>3635</v>
      </c>
      <c r="P236" s="2" t="s">
        <v>3635</v>
      </c>
      <c r="Q236" s="2" t="s">
        <v>3635</v>
      </c>
      <c r="R236" s="2" t="s">
        <v>3635</v>
      </c>
      <c r="S236" s="2" t="s">
        <v>3635</v>
      </c>
      <c r="T236" s="2" t="s">
        <v>8586</v>
      </c>
      <c r="U236" s="2" t="s">
        <v>8587</v>
      </c>
      <c r="V236" s="2" t="s">
        <v>8588</v>
      </c>
      <c r="W236" s="2" t="s">
        <v>8589</v>
      </c>
      <c r="X236" s="2" t="s">
        <v>8590</v>
      </c>
      <c r="Y236" s="2" t="s">
        <v>8591</v>
      </c>
      <c r="Z236" s="2" t="s">
        <v>8592</v>
      </c>
      <c r="AA236" s="2" t="s">
        <v>8593</v>
      </c>
      <c r="AB236" s="2" t="s">
        <v>8594</v>
      </c>
      <c r="AC236" s="2" t="s">
        <v>8595</v>
      </c>
      <c r="AD236" s="2" t="s">
        <v>8596</v>
      </c>
      <c r="AE236" s="2" t="s">
        <v>8597</v>
      </c>
      <c r="AF236" s="2" t="s">
        <v>3635</v>
      </c>
      <c r="AG236" s="2">
        <v>39.0</v>
      </c>
      <c r="AH236" s="2">
        <v>42.0</v>
      </c>
      <c r="AI236" s="2">
        <v>45.0</v>
      </c>
      <c r="AJ236" s="2">
        <v>4.0</v>
      </c>
      <c r="AK236" s="2">
        <v>15.0</v>
      </c>
      <c r="AL236" s="2" t="s">
        <v>4935</v>
      </c>
      <c r="AM236" s="2" t="s">
        <v>4494</v>
      </c>
      <c r="AN236" s="2" t="s">
        <v>4936</v>
      </c>
      <c r="AO236" s="2" t="s">
        <v>8598</v>
      </c>
      <c r="AP236" s="2" t="s">
        <v>8599</v>
      </c>
      <c r="AQ236" s="2" t="s">
        <v>3635</v>
      </c>
      <c r="AR236" s="2" t="s">
        <v>8585</v>
      </c>
      <c r="AS236" s="2" t="s">
        <v>8600</v>
      </c>
      <c r="AT236" s="2" t="s">
        <v>4517</v>
      </c>
      <c r="AU236" s="2">
        <v>2019.0</v>
      </c>
      <c r="AV236" s="2">
        <v>98.0</v>
      </c>
      <c r="AW236" s="2">
        <v>10.0</v>
      </c>
      <c r="AX236" s="2" t="s">
        <v>3635</v>
      </c>
      <c r="AY236" s="2" t="s">
        <v>3635</v>
      </c>
      <c r="AZ236" s="2" t="s">
        <v>3635</v>
      </c>
      <c r="BA236" s="2" t="s">
        <v>3635</v>
      </c>
      <c r="BB236" s="2" t="s">
        <v>3635</v>
      </c>
      <c r="BC236" s="2" t="s">
        <v>3635</v>
      </c>
      <c r="BD236" s="2" t="s">
        <v>8601</v>
      </c>
      <c r="BE236" s="2" t="s">
        <v>8602</v>
      </c>
      <c r="BF236" s="3" t="str">
        <f>HYPERLINK("http://dx.doi.org/10.1097/MD.0000000000014355","http://dx.doi.org/10.1097/MD.0000000000014355")</f>
        <v>http://dx.doi.org/10.1097/MD.0000000000014355</v>
      </c>
      <c r="BG236" s="2" t="s">
        <v>3635</v>
      </c>
      <c r="BH236" s="2" t="s">
        <v>3635</v>
      </c>
      <c r="BI236" s="2">
        <v>8.0</v>
      </c>
      <c r="BJ236" s="2" t="s">
        <v>5940</v>
      </c>
      <c r="BK236" s="2" t="s">
        <v>3658</v>
      </c>
      <c r="BL236" s="2" t="s">
        <v>5941</v>
      </c>
      <c r="BM236" s="2" t="s">
        <v>8603</v>
      </c>
      <c r="BN236" s="2">
        <v>3.0855434E7</v>
      </c>
      <c r="BO236" s="2" t="s">
        <v>4748</v>
      </c>
      <c r="BP236" s="2" t="s">
        <v>3635</v>
      </c>
      <c r="BQ236" s="2" t="s">
        <v>3635</v>
      </c>
      <c r="BR236" s="2" t="s">
        <v>3662</v>
      </c>
      <c r="BS236" s="2" t="s">
        <v>8604</v>
      </c>
      <c r="BT236" s="2" t="str">
        <f>HYPERLINK("https%3A%2F%2Fwww.webofscience.com%2Fwos%2Fwoscc%2Ffull-record%2FWOS:000462570100003","View Full Record in Web of Science")</f>
        <v>View Full Record in Web of Science</v>
      </c>
    </row>
    <row r="237" ht="15.75" customHeight="1">
      <c r="A237" s="2" t="s">
        <v>3633</v>
      </c>
      <c r="B237" s="2" t="s">
        <v>8605</v>
      </c>
      <c r="C237" s="2" t="s">
        <v>3635</v>
      </c>
      <c r="D237" s="2" t="s">
        <v>3635</v>
      </c>
      <c r="E237" s="2" t="s">
        <v>3635</v>
      </c>
      <c r="F237" s="2" t="s">
        <v>8606</v>
      </c>
      <c r="G237" s="2" t="s">
        <v>3635</v>
      </c>
      <c r="H237" s="2" t="s">
        <v>3635</v>
      </c>
      <c r="I237" s="2" t="s">
        <v>8607</v>
      </c>
      <c r="J237" s="2" t="s">
        <v>8608</v>
      </c>
      <c r="K237" s="2" t="s">
        <v>3635</v>
      </c>
      <c r="L237" s="2" t="s">
        <v>3635</v>
      </c>
      <c r="M237" s="2" t="s">
        <v>3638</v>
      </c>
      <c r="N237" s="2" t="s">
        <v>21</v>
      </c>
      <c r="O237" s="2" t="s">
        <v>3635</v>
      </c>
      <c r="P237" s="2" t="s">
        <v>3635</v>
      </c>
      <c r="Q237" s="2" t="s">
        <v>3635</v>
      </c>
      <c r="R237" s="2" t="s">
        <v>3635</v>
      </c>
      <c r="S237" s="2" t="s">
        <v>3635</v>
      </c>
      <c r="T237" s="2" t="s">
        <v>8609</v>
      </c>
      <c r="U237" s="2" t="s">
        <v>8610</v>
      </c>
      <c r="V237" s="2" t="s">
        <v>8611</v>
      </c>
      <c r="W237" s="2" t="s">
        <v>8612</v>
      </c>
      <c r="X237" s="2" t="s">
        <v>8613</v>
      </c>
      <c r="Y237" s="2" t="s">
        <v>8614</v>
      </c>
      <c r="Z237" s="2" t="s">
        <v>8615</v>
      </c>
      <c r="AA237" s="2" t="s">
        <v>3635</v>
      </c>
      <c r="AB237" s="2" t="s">
        <v>8616</v>
      </c>
      <c r="AC237" s="2" t="s">
        <v>8617</v>
      </c>
      <c r="AD237" s="2" t="s">
        <v>8618</v>
      </c>
      <c r="AE237" s="2" t="s">
        <v>8619</v>
      </c>
      <c r="AF237" s="2" t="s">
        <v>3635</v>
      </c>
      <c r="AG237" s="2">
        <v>43.0</v>
      </c>
      <c r="AH237" s="2">
        <v>129.0</v>
      </c>
      <c r="AI237" s="2">
        <v>149.0</v>
      </c>
      <c r="AJ237" s="2">
        <v>0.0</v>
      </c>
      <c r="AK237" s="2">
        <v>15.0</v>
      </c>
      <c r="AL237" s="2" t="s">
        <v>6154</v>
      </c>
      <c r="AM237" s="2" t="s">
        <v>3651</v>
      </c>
      <c r="AN237" s="2" t="s">
        <v>8620</v>
      </c>
      <c r="AO237" s="2" t="s">
        <v>8621</v>
      </c>
      <c r="AP237" s="2" t="s">
        <v>8622</v>
      </c>
      <c r="AQ237" s="2" t="s">
        <v>3635</v>
      </c>
      <c r="AR237" s="2" t="s">
        <v>8623</v>
      </c>
      <c r="AS237" s="2" t="s">
        <v>8624</v>
      </c>
      <c r="AT237" s="2" t="s">
        <v>4984</v>
      </c>
      <c r="AU237" s="2">
        <v>2016.0</v>
      </c>
      <c r="AV237" s="2">
        <v>48.0</v>
      </c>
      <c r="AW237" s="2">
        <v>2.0</v>
      </c>
      <c r="AX237" s="2" t="s">
        <v>3635</v>
      </c>
      <c r="AY237" s="2" t="s">
        <v>3635</v>
      </c>
      <c r="AZ237" s="2" t="s">
        <v>3635</v>
      </c>
      <c r="BA237" s="2" t="s">
        <v>3635</v>
      </c>
      <c r="BB237" s="2">
        <v>783.0</v>
      </c>
      <c r="BC237" s="2">
        <v>802.0</v>
      </c>
      <c r="BD237" s="2" t="s">
        <v>3635</v>
      </c>
      <c r="BE237" s="2" t="s">
        <v>8625</v>
      </c>
      <c r="BF237" s="3" t="str">
        <f>HYPERLINK("http://dx.doi.org/10.3758/s13428-015-0611-2","http://dx.doi.org/10.3758/s13428-015-0611-2")</f>
        <v>http://dx.doi.org/10.3758/s13428-015-0611-2</v>
      </c>
      <c r="BG237" s="2" t="s">
        <v>3635</v>
      </c>
      <c r="BH237" s="2" t="s">
        <v>3635</v>
      </c>
      <c r="BI237" s="2">
        <v>20.0</v>
      </c>
      <c r="BJ237" s="2" t="s">
        <v>8626</v>
      </c>
      <c r="BK237" s="2" t="s">
        <v>5726</v>
      </c>
      <c r="BL237" s="2" t="s">
        <v>6316</v>
      </c>
      <c r="BM237" s="2" t="s">
        <v>8627</v>
      </c>
      <c r="BN237" s="2">
        <v>2.6100765E7</v>
      </c>
      <c r="BO237" s="2" t="s">
        <v>4141</v>
      </c>
      <c r="BP237" s="2" t="s">
        <v>3635</v>
      </c>
      <c r="BQ237" s="2" t="s">
        <v>3635</v>
      </c>
      <c r="BR237" s="2" t="s">
        <v>3662</v>
      </c>
      <c r="BS237" s="2" t="s">
        <v>8628</v>
      </c>
      <c r="BT237" s="2" t="str">
        <f>HYPERLINK("https%3A%2F%2Fwww.webofscience.com%2Fwos%2Fwoscc%2Ffull-record%2FWOS:000379772600027","View Full Record in Web of Science")</f>
        <v>View Full Record in Web of Science</v>
      </c>
    </row>
    <row r="238" ht="15.75" customHeight="1">
      <c r="A238" s="2" t="s">
        <v>3633</v>
      </c>
      <c r="B238" s="2" t="s">
        <v>8629</v>
      </c>
      <c r="C238" s="2" t="s">
        <v>3635</v>
      </c>
      <c r="D238" s="2" t="s">
        <v>3635</v>
      </c>
      <c r="E238" s="2" t="s">
        <v>3635</v>
      </c>
      <c r="F238" s="2" t="s">
        <v>8630</v>
      </c>
      <c r="G238" s="2" t="s">
        <v>3635</v>
      </c>
      <c r="H238" s="2" t="s">
        <v>3635</v>
      </c>
      <c r="I238" s="2" t="s">
        <v>8631</v>
      </c>
      <c r="J238" s="2" t="s">
        <v>8632</v>
      </c>
      <c r="K238" s="2" t="s">
        <v>3635</v>
      </c>
      <c r="L238" s="2" t="s">
        <v>3635</v>
      </c>
      <c r="M238" s="2" t="s">
        <v>3638</v>
      </c>
      <c r="N238" s="2" t="s">
        <v>21</v>
      </c>
      <c r="O238" s="2" t="s">
        <v>3635</v>
      </c>
      <c r="P238" s="2" t="s">
        <v>3635</v>
      </c>
      <c r="Q238" s="2" t="s">
        <v>3635</v>
      </c>
      <c r="R238" s="2" t="s">
        <v>3635</v>
      </c>
      <c r="S238" s="2" t="s">
        <v>3635</v>
      </c>
      <c r="T238" s="2" t="s">
        <v>3635</v>
      </c>
      <c r="U238" s="2" t="s">
        <v>8633</v>
      </c>
      <c r="V238" s="2" t="s">
        <v>8634</v>
      </c>
      <c r="W238" s="2" t="s">
        <v>8635</v>
      </c>
      <c r="X238" s="2" t="s">
        <v>8636</v>
      </c>
      <c r="Y238" s="2" t="s">
        <v>8637</v>
      </c>
      <c r="Z238" s="2" t="s">
        <v>8638</v>
      </c>
      <c r="AA238" s="2" t="s">
        <v>8639</v>
      </c>
      <c r="AB238" s="2" t="s">
        <v>8640</v>
      </c>
      <c r="AC238" s="2" t="s">
        <v>8641</v>
      </c>
      <c r="AD238" s="2" t="s">
        <v>8642</v>
      </c>
      <c r="AE238" s="2" t="s">
        <v>8643</v>
      </c>
      <c r="AF238" s="2" t="s">
        <v>3635</v>
      </c>
      <c r="AG238" s="2">
        <v>70.0</v>
      </c>
      <c r="AH238" s="2">
        <v>136.0</v>
      </c>
      <c r="AI238" s="2">
        <v>155.0</v>
      </c>
      <c r="AJ238" s="2">
        <v>2.0</v>
      </c>
      <c r="AK238" s="2">
        <v>18.0</v>
      </c>
      <c r="AL238" s="2" t="s">
        <v>4740</v>
      </c>
      <c r="AM238" s="2" t="s">
        <v>4668</v>
      </c>
      <c r="AN238" s="2" t="s">
        <v>4741</v>
      </c>
      <c r="AO238" s="2" t="s">
        <v>3635</v>
      </c>
      <c r="AP238" s="2" t="s">
        <v>8644</v>
      </c>
      <c r="AQ238" s="2" t="s">
        <v>3635</v>
      </c>
      <c r="AR238" s="2" t="s">
        <v>8645</v>
      </c>
      <c r="AS238" s="2" t="s">
        <v>8646</v>
      </c>
      <c r="AT238" s="2" t="s">
        <v>8647</v>
      </c>
      <c r="AU238" s="2">
        <v>2009.0</v>
      </c>
      <c r="AV238" s="2">
        <v>2.0</v>
      </c>
      <c r="AW238" s="2" t="s">
        <v>3635</v>
      </c>
      <c r="AX238" s="2" t="s">
        <v>3635</v>
      </c>
      <c r="AY238" s="2" t="s">
        <v>3635</v>
      </c>
      <c r="AZ238" s="2" t="s">
        <v>3635</v>
      </c>
      <c r="BA238" s="2" t="s">
        <v>3635</v>
      </c>
      <c r="BB238" s="2" t="s">
        <v>3635</v>
      </c>
      <c r="BC238" s="2" t="s">
        <v>3635</v>
      </c>
      <c r="BD238" s="2">
        <v>95.0</v>
      </c>
      <c r="BE238" s="2" t="s">
        <v>1787</v>
      </c>
      <c r="BF238" s="3" t="str">
        <f>HYPERLINK("http://dx.doi.org/10.1186/1752-0509-2-95","http://dx.doi.org/10.1186/1752-0509-2-95")</f>
        <v>http://dx.doi.org/10.1186/1752-0509-2-95</v>
      </c>
      <c r="BG238" s="2" t="s">
        <v>3635</v>
      </c>
      <c r="BH238" s="2" t="s">
        <v>3635</v>
      </c>
      <c r="BI238" s="2">
        <v>21.0</v>
      </c>
      <c r="BJ238" s="2" t="s">
        <v>8648</v>
      </c>
      <c r="BK238" s="2" t="s">
        <v>3658</v>
      </c>
      <c r="BL238" s="2" t="s">
        <v>8648</v>
      </c>
      <c r="BM238" s="2" t="s">
        <v>8649</v>
      </c>
      <c r="BN238" s="2">
        <v>1.8986552E7</v>
      </c>
      <c r="BO238" s="2" t="s">
        <v>4251</v>
      </c>
      <c r="BP238" s="2" t="s">
        <v>3635</v>
      </c>
      <c r="BQ238" s="2" t="s">
        <v>3635</v>
      </c>
      <c r="BR238" s="2" t="s">
        <v>3662</v>
      </c>
      <c r="BS238" s="2" t="s">
        <v>8650</v>
      </c>
      <c r="BT238" s="2" t="str">
        <f>HYPERLINK("https%3A%2F%2Fwww.webofscience.com%2Fwos%2Fwoscc%2Ffull-record%2FWOS:000263340600001","View Full Record in Web of Science")</f>
        <v>View Full Record in Web of Science</v>
      </c>
    </row>
    <row r="239" ht="15.75" customHeight="1">
      <c r="A239" s="2" t="s">
        <v>3633</v>
      </c>
      <c r="B239" s="2" t="s">
        <v>8651</v>
      </c>
      <c r="C239" s="2" t="s">
        <v>3635</v>
      </c>
      <c r="D239" s="2" t="s">
        <v>3635</v>
      </c>
      <c r="E239" s="2" t="s">
        <v>3635</v>
      </c>
      <c r="F239" s="2" t="s">
        <v>8652</v>
      </c>
      <c r="G239" s="2" t="s">
        <v>3635</v>
      </c>
      <c r="H239" s="2" t="s">
        <v>3635</v>
      </c>
      <c r="I239" s="2" t="s">
        <v>3558</v>
      </c>
      <c r="J239" s="2" t="s">
        <v>8653</v>
      </c>
      <c r="K239" s="2" t="s">
        <v>3635</v>
      </c>
      <c r="L239" s="2" t="s">
        <v>3635</v>
      </c>
      <c r="M239" s="2" t="s">
        <v>3638</v>
      </c>
      <c r="N239" s="2" t="s">
        <v>21</v>
      </c>
      <c r="O239" s="2" t="s">
        <v>3635</v>
      </c>
      <c r="P239" s="2" t="s">
        <v>3635</v>
      </c>
      <c r="Q239" s="2" t="s">
        <v>3635</v>
      </c>
      <c r="R239" s="2" t="s">
        <v>3635</v>
      </c>
      <c r="S239" s="2" t="s">
        <v>3635</v>
      </c>
      <c r="T239" s="2" t="s">
        <v>8654</v>
      </c>
      <c r="U239" s="2" t="s">
        <v>8655</v>
      </c>
      <c r="V239" s="2" t="s">
        <v>8656</v>
      </c>
      <c r="W239" s="2" t="s">
        <v>8657</v>
      </c>
      <c r="X239" s="2" t="s">
        <v>6936</v>
      </c>
      <c r="Y239" s="2" t="s">
        <v>8658</v>
      </c>
      <c r="Z239" s="2" t="s">
        <v>8659</v>
      </c>
      <c r="AA239" s="2" t="s">
        <v>7031</v>
      </c>
      <c r="AB239" s="2" t="s">
        <v>7032</v>
      </c>
      <c r="AC239" s="2" t="s">
        <v>3635</v>
      </c>
      <c r="AD239" s="2" t="s">
        <v>3635</v>
      </c>
      <c r="AE239" s="2" t="s">
        <v>3635</v>
      </c>
      <c r="AF239" s="2" t="s">
        <v>3635</v>
      </c>
      <c r="AG239" s="2">
        <v>44.0</v>
      </c>
      <c r="AH239" s="2">
        <v>16.0</v>
      </c>
      <c r="AI239" s="2">
        <v>16.0</v>
      </c>
      <c r="AJ239" s="2">
        <v>0.0</v>
      </c>
      <c r="AK239" s="2">
        <v>2.0</v>
      </c>
      <c r="AL239" s="2" t="s">
        <v>3650</v>
      </c>
      <c r="AM239" s="2" t="s">
        <v>3651</v>
      </c>
      <c r="AN239" s="2" t="s">
        <v>8660</v>
      </c>
      <c r="AO239" s="2" t="s">
        <v>8661</v>
      </c>
      <c r="AP239" s="2" t="s">
        <v>8662</v>
      </c>
      <c r="AQ239" s="2" t="s">
        <v>3635</v>
      </c>
      <c r="AR239" s="2" t="s">
        <v>8663</v>
      </c>
      <c r="AS239" s="2" t="s">
        <v>3560</v>
      </c>
      <c r="AT239" s="2" t="s">
        <v>3790</v>
      </c>
      <c r="AU239" s="2">
        <v>2017.0</v>
      </c>
      <c r="AV239" s="2">
        <v>27.0</v>
      </c>
      <c r="AW239" s="2">
        <v>2.0</v>
      </c>
      <c r="AX239" s="2" t="s">
        <v>3635</v>
      </c>
      <c r="AY239" s="2" t="s">
        <v>3635</v>
      </c>
      <c r="AZ239" s="2" t="s">
        <v>3717</v>
      </c>
      <c r="BA239" s="2" t="s">
        <v>3635</v>
      </c>
      <c r="BB239" s="2" t="s">
        <v>3635</v>
      </c>
      <c r="BC239" s="2" t="s">
        <v>3635</v>
      </c>
      <c r="BD239" s="2">
        <v>11.0</v>
      </c>
      <c r="BE239" s="2" t="s">
        <v>1195</v>
      </c>
      <c r="BF239" s="3" t="str">
        <f>HYPERLINK("http://dx.doi.org/10.1145/3077583","http://dx.doi.org/10.1145/3077583")</f>
        <v>http://dx.doi.org/10.1145/3077583</v>
      </c>
      <c r="BG239" s="2" t="s">
        <v>3635</v>
      </c>
      <c r="BH239" s="2" t="s">
        <v>3635</v>
      </c>
      <c r="BI239" s="2">
        <v>26.0</v>
      </c>
      <c r="BJ239" s="2" t="s">
        <v>8664</v>
      </c>
      <c r="BK239" s="2" t="s">
        <v>3658</v>
      </c>
      <c r="BL239" s="2" t="s">
        <v>5585</v>
      </c>
      <c r="BM239" s="2" t="s">
        <v>8665</v>
      </c>
      <c r="BN239" s="2" t="s">
        <v>3635</v>
      </c>
      <c r="BO239" s="2" t="s">
        <v>4701</v>
      </c>
      <c r="BP239" s="2" t="s">
        <v>3635</v>
      </c>
      <c r="BQ239" s="2" t="s">
        <v>3635</v>
      </c>
      <c r="BR239" s="2" t="s">
        <v>3662</v>
      </c>
      <c r="BS239" s="2" t="s">
        <v>8666</v>
      </c>
      <c r="BT239" s="2" t="str">
        <f>HYPERLINK("https%3A%2F%2Fwww.webofscience.com%2Fwos%2Fwoscc%2Ffull-record%2FWOS:000405495800006","View Full Record in Web of Science")</f>
        <v>View Full Record in Web of Science</v>
      </c>
    </row>
    <row r="240" ht="15.75" customHeight="1">
      <c r="A240" s="2" t="s">
        <v>3633</v>
      </c>
      <c r="B240" s="2" t="s">
        <v>8667</v>
      </c>
      <c r="C240" s="2" t="s">
        <v>3635</v>
      </c>
      <c r="D240" s="2" t="s">
        <v>3635</v>
      </c>
      <c r="E240" s="2" t="s">
        <v>3635</v>
      </c>
      <c r="F240" s="2" t="s">
        <v>8668</v>
      </c>
      <c r="G240" s="2" t="s">
        <v>3635</v>
      </c>
      <c r="H240" s="2" t="s">
        <v>3635</v>
      </c>
      <c r="I240" s="2" t="s">
        <v>8669</v>
      </c>
      <c r="J240" s="2" t="s">
        <v>8670</v>
      </c>
      <c r="K240" s="2" t="s">
        <v>3635</v>
      </c>
      <c r="L240" s="2" t="s">
        <v>3635</v>
      </c>
      <c r="M240" s="2" t="s">
        <v>3638</v>
      </c>
      <c r="N240" s="2" t="s">
        <v>21</v>
      </c>
      <c r="O240" s="2" t="s">
        <v>3635</v>
      </c>
      <c r="P240" s="2" t="s">
        <v>3635</v>
      </c>
      <c r="Q240" s="2" t="s">
        <v>3635</v>
      </c>
      <c r="R240" s="2" t="s">
        <v>3635</v>
      </c>
      <c r="S240" s="2" t="s">
        <v>3635</v>
      </c>
      <c r="T240" s="2" t="s">
        <v>8671</v>
      </c>
      <c r="U240" s="2" t="s">
        <v>8672</v>
      </c>
      <c r="V240" s="2" t="s">
        <v>8673</v>
      </c>
      <c r="W240" s="2" t="s">
        <v>8674</v>
      </c>
      <c r="X240" s="2" t="s">
        <v>8675</v>
      </c>
      <c r="Y240" s="2" t="s">
        <v>8676</v>
      </c>
      <c r="Z240" s="2" t="s">
        <v>8677</v>
      </c>
      <c r="AA240" s="2" t="s">
        <v>8678</v>
      </c>
      <c r="AB240" s="2" t="s">
        <v>8679</v>
      </c>
      <c r="AC240" s="2" t="s">
        <v>8680</v>
      </c>
      <c r="AD240" s="2" t="s">
        <v>8681</v>
      </c>
      <c r="AE240" s="2" t="s">
        <v>8682</v>
      </c>
      <c r="AF240" s="2" t="s">
        <v>3635</v>
      </c>
      <c r="AG240" s="2">
        <v>25.0</v>
      </c>
      <c r="AH240" s="2">
        <v>16.0</v>
      </c>
      <c r="AI240" s="2">
        <v>16.0</v>
      </c>
      <c r="AJ240" s="2">
        <v>1.0</v>
      </c>
      <c r="AK240" s="2">
        <v>9.0</v>
      </c>
      <c r="AL240" s="2" t="s">
        <v>4740</v>
      </c>
      <c r="AM240" s="2" t="s">
        <v>4668</v>
      </c>
      <c r="AN240" s="2" t="s">
        <v>4741</v>
      </c>
      <c r="AO240" s="2" t="s">
        <v>8683</v>
      </c>
      <c r="AP240" s="2" t="s">
        <v>3635</v>
      </c>
      <c r="AQ240" s="2" t="s">
        <v>3635</v>
      </c>
      <c r="AR240" s="2" t="s">
        <v>8684</v>
      </c>
      <c r="AS240" s="2" t="s">
        <v>8685</v>
      </c>
      <c r="AT240" s="2" t="s">
        <v>8686</v>
      </c>
      <c r="AU240" s="2">
        <v>2018.0</v>
      </c>
      <c r="AV240" s="2">
        <v>11.0</v>
      </c>
      <c r="AW240" s="2" t="s">
        <v>3635</v>
      </c>
      <c r="AX240" s="2" t="s">
        <v>3635</v>
      </c>
      <c r="AY240" s="2" t="s">
        <v>3635</v>
      </c>
      <c r="AZ240" s="2" t="s">
        <v>3635</v>
      </c>
      <c r="BA240" s="2" t="s">
        <v>3635</v>
      </c>
      <c r="BB240" s="2" t="s">
        <v>3635</v>
      </c>
      <c r="BC240" s="2" t="s">
        <v>3635</v>
      </c>
      <c r="BD240" s="2" t="s">
        <v>3635</v>
      </c>
      <c r="BE240" s="2" t="s">
        <v>8687</v>
      </c>
      <c r="BF240" s="3" t="str">
        <f>HYPERLINK("http://dx.doi.org/10.1186/s13071-018-2877-6","http://dx.doi.org/10.1186/s13071-018-2877-6")</f>
        <v>http://dx.doi.org/10.1186/s13071-018-2877-6</v>
      </c>
      <c r="BG240" s="2" t="s">
        <v>3635</v>
      </c>
      <c r="BH240" s="2" t="s">
        <v>3635</v>
      </c>
      <c r="BI240" s="2">
        <v>11.0</v>
      </c>
      <c r="BJ240" s="2" t="s">
        <v>8688</v>
      </c>
      <c r="BK240" s="2" t="s">
        <v>3658</v>
      </c>
      <c r="BL240" s="2" t="s">
        <v>8688</v>
      </c>
      <c r="BM240" s="2" t="s">
        <v>8689</v>
      </c>
      <c r="BN240" s="2">
        <v>2.9954428E7</v>
      </c>
      <c r="BO240" s="2" t="s">
        <v>4251</v>
      </c>
      <c r="BP240" s="2" t="s">
        <v>3635</v>
      </c>
      <c r="BQ240" s="2" t="s">
        <v>3635</v>
      </c>
      <c r="BR240" s="2" t="s">
        <v>3662</v>
      </c>
      <c r="BS240" s="2" t="s">
        <v>8690</v>
      </c>
      <c r="BT240" s="2" t="str">
        <f>HYPERLINK("https%3A%2F%2Fwww.webofscience.com%2Fwos%2Fwoscc%2Ffull-record%2FWOS:000436607700006","View Full Record in Web of Science")</f>
        <v>View Full Record in Web of Science</v>
      </c>
    </row>
    <row r="241" ht="15.75" customHeight="1">
      <c r="A241" s="2" t="s">
        <v>3633</v>
      </c>
      <c r="B241" s="2" t="s">
        <v>8691</v>
      </c>
      <c r="C241" s="2" t="s">
        <v>3635</v>
      </c>
      <c r="D241" s="2" t="s">
        <v>3635</v>
      </c>
      <c r="E241" s="2" t="s">
        <v>3635</v>
      </c>
      <c r="F241" s="2" t="s">
        <v>8692</v>
      </c>
      <c r="G241" s="2" t="s">
        <v>3635</v>
      </c>
      <c r="H241" s="2" t="s">
        <v>3635</v>
      </c>
      <c r="I241" s="2" t="s">
        <v>8693</v>
      </c>
      <c r="J241" s="2" t="s">
        <v>8694</v>
      </c>
      <c r="K241" s="2" t="s">
        <v>3635</v>
      </c>
      <c r="L241" s="2" t="s">
        <v>3635</v>
      </c>
      <c r="M241" s="2" t="s">
        <v>3638</v>
      </c>
      <c r="N241" s="2" t="s">
        <v>21</v>
      </c>
      <c r="O241" s="2" t="s">
        <v>3635</v>
      </c>
      <c r="P241" s="2" t="s">
        <v>3635</v>
      </c>
      <c r="Q241" s="2" t="s">
        <v>3635</v>
      </c>
      <c r="R241" s="2" t="s">
        <v>3635</v>
      </c>
      <c r="S241" s="2" t="s">
        <v>3635</v>
      </c>
      <c r="T241" s="2" t="s">
        <v>8695</v>
      </c>
      <c r="U241" s="2" t="s">
        <v>8696</v>
      </c>
      <c r="V241" s="2" t="s">
        <v>8697</v>
      </c>
      <c r="W241" s="2" t="s">
        <v>8698</v>
      </c>
      <c r="X241" s="2" t="s">
        <v>8699</v>
      </c>
      <c r="Y241" s="2" t="s">
        <v>8700</v>
      </c>
      <c r="Z241" s="2" t="s">
        <v>8701</v>
      </c>
      <c r="AA241" s="2" t="s">
        <v>8702</v>
      </c>
      <c r="AB241" s="2" t="s">
        <v>8703</v>
      </c>
      <c r="AC241" s="2" t="s">
        <v>3635</v>
      </c>
      <c r="AD241" s="2" t="s">
        <v>3635</v>
      </c>
      <c r="AE241" s="2" t="s">
        <v>3635</v>
      </c>
      <c r="AF241" s="2" t="s">
        <v>3635</v>
      </c>
      <c r="AG241" s="2">
        <v>95.0</v>
      </c>
      <c r="AH241" s="2">
        <v>12.0</v>
      </c>
      <c r="AI241" s="2">
        <v>12.0</v>
      </c>
      <c r="AJ241" s="2">
        <v>8.0</v>
      </c>
      <c r="AK241" s="2">
        <v>22.0</v>
      </c>
      <c r="AL241" s="2" t="s">
        <v>4824</v>
      </c>
      <c r="AM241" s="2" t="s">
        <v>3915</v>
      </c>
      <c r="AN241" s="2" t="s">
        <v>4825</v>
      </c>
      <c r="AO241" s="2" t="s">
        <v>8704</v>
      </c>
      <c r="AP241" s="2" t="s">
        <v>8705</v>
      </c>
      <c r="AQ241" s="2" t="s">
        <v>3635</v>
      </c>
      <c r="AR241" s="2" t="s">
        <v>8706</v>
      </c>
      <c r="AS241" s="2" t="s">
        <v>8707</v>
      </c>
      <c r="AT241" s="2" t="s">
        <v>3656</v>
      </c>
      <c r="AU241" s="2">
        <v>2023.0</v>
      </c>
      <c r="AV241" s="2">
        <v>80.0</v>
      </c>
      <c r="AW241" s="2" t="s">
        <v>3635</v>
      </c>
      <c r="AX241" s="2" t="s">
        <v>3635</v>
      </c>
      <c r="AY241" s="2" t="s">
        <v>3635</v>
      </c>
      <c r="AZ241" s="2" t="s">
        <v>3635</v>
      </c>
      <c r="BA241" s="2" t="s">
        <v>3635</v>
      </c>
      <c r="BB241" s="2" t="s">
        <v>3635</v>
      </c>
      <c r="BC241" s="2" t="s">
        <v>3635</v>
      </c>
      <c r="BD241" s="2">
        <v>103197.0</v>
      </c>
      <c r="BE241" s="2" t="s">
        <v>8708</v>
      </c>
      <c r="BF241" s="3" t="str">
        <f>HYPERLINK("http://dx.doi.org/10.1016/j.resourpol.2022.103197","http://dx.doi.org/10.1016/j.resourpol.2022.103197")</f>
        <v>http://dx.doi.org/10.1016/j.resourpol.2022.103197</v>
      </c>
      <c r="BG241" s="2" t="s">
        <v>3635</v>
      </c>
      <c r="BH241" s="2" t="s">
        <v>8709</v>
      </c>
      <c r="BI241" s="2">
        <v>20.0</v>
      </c>
      <c r="BJ241" s="2" t="s">
        <v>8710</v>
      </c>
      <c r="BK241" s="2" t="s">
        <v>5726</v>
      </c>
      <c r="BL241" s="2" t="s">
        <v>6475</v>
      </c>
      <c r="BM241" s="2" t="s">
        <v>8711</v>
      </c>
      <c r="BN241" s="2" t="s">
        <v>3635</v>
      </c>
      <c r="BO241" s="2" t="s">
        <v>3635</v>
      </c>
      <c r="BP241" s="2" t="s">
        <v>3635</v>
      </c>
      <c r="BQ241" s="2" t="s">
        <v>3635</v>
      </c>
      <c r="BR241" s="2" t="s">
        <v>3662</v>
      </c>
      <c r="BS241" s="2" t="s">
        <v>8712</v>
      </c>
      <c r="BT241" s="2" t="str">
        <f>HYPERLINK("https%3A%2F%2Fwww.webofscience.com%2Fwos%2Fwoscc%2Ffull-record%2FWOS:000917426000001","View Full Record in Web of Science")</f>
        <v>View Full Record in Web of Science</v>
      </c>
    </row>
    <row r="242" ht="15.75" customHeight="1">
      <c r="A242" s="2" t="s">
        <v>3633</v>
      </c>
      <c r="B242" s="2" t="s">
        <v>8713</v>
      </c>
      <c r="C242" s="2" t="s">
        <v>3635</v>
      </c>
      <c r="D242" s="2" t="s">
        <v>3635</v>
      </c>
      <c r="E242" s="2" t="s">
        <v>3635</v>
      </c>
      <c r="F242" s="2" t="s">
        <v>8714</v>
      </c>
      <c r="G242" s="2" t="s">
        <v>3635</v>
      </c>
      <c r="H242" s="2" t="s">
        <v>3635</v>
      </c>
      <c r="I242" s="2" t="s">
        <v>8715</v>
      </c>
      <c r="J242" s="2" t="s">
        <v>8336</v>
      </c>
      <c r="K242" s="2" t="s">
        <v>3635</v>
      </c>
      <c r="L242" s="2" t="s">
        <v>3635</v>
      </c>
      <c r="M242" s="2" t="s">
        <v>3638</v>
      </c>
      <c r="N242" s="2" t="s">
        <v>4207</v>
      </c>
      <c r="O242" s="2" t="s">
        <v>3635</v>
      </c>
      <c r="P242" s="2" t="s">
        <v>3635</v>
      </c>
      <c r="Q242" s="2" t="s">
        <v>3635</v>
      </c>
      <c r="R242" s="2" t="s">
        <v>3635</v>
      </c>
      <c r="S242" s="2" t="s">
        <v>3635</v>
      </c>
      <c r="T242" s="2" t="s">
        <v>8716</v>
      </c>
      <c r="U242" s="2" t="s">
        <v>8717</v>
      </c>
      <c r="V242" s="2" t="s">
        <v>8718</v>
      </c>
      <c r="W242" s="2" t="s">
        <v>8719</v>
      </c>
      <c r="X242" s="2" t="s">
        <v>8720</v>
      </c>
      <c r="Y242" s="2" t="s">
        <v>8721</v>
      </c>
      <c r="Z242" s="2" t="s">
        <v>8722</v>
      </c>
      <c r="AA242" s="2" t="s">
        <v>8723</v>
      </c>
      <c r="AB242" s="2" t="s">
        <v>8724</v>
      </c>
      <c r="AC242" s="2" t="s">
        <v>8725</v>
      </c>
      <c r="AD242" s="2" t="s">
        <v>8725</v>
      </c>
      <c r="AE242" s="2" t="s">
        <v>8726</v>
      </c>
      <c r="AF242" s="2" t="s">
        <v>3635</v>
      </c>
      <c r="AG242" s="2">
        <v>56.0</v>
      </c>
      <c r="AH242" s="2">
        <v>14.0</v>
      </c>
      <c r="AI242" s="2">
        <v>14.0</v>
      </c>
      <c r="AJ242" s="2">
        <v>1.0</v>
      </c>
      <c r="AK242" s="2">
        <v>3.0</v>
      </c>
      <c r="AL242" s="2" t="s">
        <v>4369</v>
      </c>
      <c r="AM242" s="2" t="s">
        <v>4370</v>
      </c>
      <c r="AN242" s="2" t="s">
        <v>4371</v>
      </c>
      <c r="AO242" s="2" t="s">
        <v>8346</v>
      </c>
      <c r="AP242" s="2" t="s">
        <v>8347</v>
      </c>
      <c r="AQ242" s="2" t="s">
        <v>3635</v>
      </c>
      <c r="AR242" s="2" t="s">
        <v>8348</v>
      </c>
      <c r="AS242" s="2" t="s">
        <v>8349</v>
      </c>
      <c r="AT242" s="2" t="s">
        <v>6693</v>
      </c>
      <c r="AU242" s="2">
        <v>2022.0</v>
      </c>
      <c r="AV242" s="2">
        <v>78.0</v>
      </c>
      <c r="AW242" s="2">
        <v>4.0</v>
      </c>
      <c r="AX242" s="2" t="s">
        <v>3635</v>
      </c>
      <c r="AY242" s="2" t="s">
        <v>3635</v>
      </c>
      <c r="AZ242" s="2" t="s">
        <v>3635</v>
      </c>
      <c r="BA242" s="2" t="s">
        <v>3635</v>
      </c>
      <c r="BB242" s="2">
        <v>623.0</v>
      </c>
      <c r="BC242" s="2">
        <v>645.0</v>
      </c>
      <c r="BD242" s="2" t="s">
        <v>3635</v>
      </c>
      <c r="BE242" s="2" t="s">
        <v>8727</v>
      </c>
      <c r="BF242" s="3" t="str">
        <f>HYPERLINK("http://dx.doi.org/10.1007/s00228-021-03212-y","http://dx.doi.org/10.1007/s00228-021-03212-y")</f>
        <v>http://dx.doi.org/10.1007/s00228-021-03212-y</v>
      </c>
      <c r="BG242" s="2" t="s">
        <v>3635</v>
      </c>
      <c r="BH242" s="2" t="s">
        <v>5724</v>
      </c>
      <c r="BI242" s="2">
        <v>23.0</v>
      </c>
      <c r="BJ242" s="2" t="s">
        <v>5390</v>
      </c>
      <c r="BK242" s="2" t="s">
        <v>3658</v>
      </c>
      <c r="BL242" s="2" t="s">
        <v>5390</v>
      </c>
      <c r="BM242" s="2" t="s">
        <v>8728</v>
      </c>
      <c r="BN242" s="2">
        <v>3.4935068E7</v>
      </c>
      <c r="BO242" s="2" t="s">
        <v>4225</v>
      </c>
      <c r="BP242" s="2" t="s">
        <v>3635</v>
      </c>
      <c r="BQ242" s="2" t="s">
        <v>3635</v>
      </c>
      <c r="BR242" s="2" t="s">
        <v>3662</v>
      </c>
      <c r="BS242" s="2" t="s">
        <v>8729</v>
      </c>
      <c r="BT242" s="2" t="str">
        <f>HYPERLINK("https%3A%2F%2Fwww.webofscience.com%2Fwos%2Fwoscc%2Ffull-record%2FWOS:000732506300001","View Full Record in Web of Science")</f>
        <v>View Full Record in Web of Science</v>
      </c>
    </row>
    <row r="243" ht="15.75" customHeight="1">
      <c r="A243" s="2" t="s">
        <v>3633</v>
      </c>
      <c r="B243" s="2" t="s">
        <v>8730</v>
      </c>
      <c r="C243" s="2" t="s">
        <v>3635</v>
      </c>
      <c r="D243" s="2" t="s">
        <v>3635</v>
      </c>
      <c r="E243" s="2" t="s">
        <v>3635</v>
      </c>
      <c r="F243" s="2" t="s">
        <v>8731</v>
      </c>
      <c r="G243" s="2" t="s">
        <v>3635</v>
      </c>
      <c r="H243" s="2" t="s">
        <v>3635</v>
      </c>
      <c r="I243" s="2" t="s">
        <v>8732</v>
      </c>
      <c r="J243" s="2" t="s">
        <v>6948</v>
      </c>
      <c r="K243" s="2" t="s">
        <v>3635</v>
      </c>
      <c r="L243" s="2" t="s">
        <v>3635</v>
      </c>
      <c r="M243" s="2" t="s">
        <v>3638</v>
      </c>
      <c r="N243" s="2" t="s">
        <v>21</v>
      </c>
      <c r="O243" s="2" t="s">
        <v>3635</v>
      </c>
      <c r="P243" s="2" t="s">
        <v>3635</v>
      </c>
      <c r="Q243" s="2" t="s">
        <v>3635</v>
      </c>
      <c r="R243" s="2" t="s">
        <v>3635</v>
      </c>
      <c r="S243" s="2" t="s">
        <v>3635</v>
      </c>
      <c r="T243" s="2" t="s">
        <v>8733</v>
      </c>
      <c r="U243" s="2" t="s">
        <v>8734</v>
      </c>
      <c r="V243" s="2" t="s">
        <v>8735</v>
      </c>
      <c r="W243" s="2" t="s">
        <v>8736</v>
      </c>
      <c r="X243" s="2" t="s">
        <v>8737</v>
      </c>
      <c r="Y243" s="2" t="s">
        <v>8738</v>
      </c>
      <c r="Z243" s="2" t="s">
        <v>8739</v>
      </c>
      <c r="AA243" s="2" t="s">
        <v>8740</v>
      </c>
      <c r="AB243" s="2" t="s">
        <v>8741</v>
      </c>
      <c r="AC243" s="2" t="s">
        <v>8742</v>
      </c>
      <c r="AD243" s="2" t="s">
        <v>8742</v>
      </c>
      <c r="AE243" s="2" t="s">
        <v>8742</v>
      </c>
      <c r="AF243" s="2" t="s">
        <v>3635</v>
      </c>
      <c r="AG243" s="2">
        <v>167.0</v>
      </c>
      <c r="AH243" s="2">
        <v>4.0</v>
      </c>
      <c r="AI243" s="2">
        <v>4.0</v>
      </c>
      <c r="AJ243" s="2">
        <v>3.0</v>
      </c>
      <c r="AK243" s="2">
        <v>5.0</v>
      </c>
      <c r="AL243" s="2" t="s">
        <v>4740</v>
      </c>
      <c r="AM243" s="2" t="s">
        <v>4668</v>
      </c>
      <c r="AN243" s="2" t="s">
        <v>4741</v>
      </c>
      <c r="AO243" s="2" t="s">
        <v>3635</v>
      </c>
      <c r="AP243" s="2" t="s">
        <v>6961</v>
      </c>
      <c r="AQ243" s="2" t="s">
        <v>3635</v>
      </c>
      <c r="AR243" s="2" t="s">
        <v>6948</v>
      </c>
      <c r="AS243" s="2" t="s">
        <v>6962</v>
      </c>
      <c r="AT243" s="2" t="s">
        <v>8743</v>
      </c>
      <c r="AU243" s="2">
        <v>2023.0</v>
      </c>
      <c r="AV243" s="2">
        <v>24.0</v>
      </c>
      <c r="AW243" s="2">
        <v>1.0</v>
      </c>
      <c r="AX243" s="2" t="s">
        <v>3635</v>
      </c>
      <c r="AY243" s="2" t="s">
        <v>3635</v>
      </c>
      <c r="AZ243" s="2" t="s">
        <v>3635</v>
      </c>
      <c r="BA243" s="2" t="s">
        <v>3635</v>
      </c>
      <c r="BB243" s="2" t="s">
        <v>3635</v>
      </c>
      <c r="BC243" s="2" t="s">
        <v>3635</v>
      </c>
      <c r="BD243" s="2">
        <v>562.0</v>
      </c>
      <c r="BE243" s="2" t="s">
        <v>8744</v>
      </c>
      <c r="BF243" s="3" t="str">
        <f>HYPERLINK("http://dx.doi.org/10.1186/s13063-023-07596-3","http://dx.doi.org/10.1186/s13063-023-07596-3")</f>
        <v>http://dx.doi.org/10.1186/s13063-023-07596-3</v>
      </c>
      <c r="BG243" s="2" t="s">
        <v>3635</v>
      </c>
      <c r="BH243" s="2" t="s">
        <v>3635</v>
      </c>
      <c r="BI243" s="2">
        <v>16.0</v>
      </c>
      <c r="BJ243" s="2" t="s">
        <v>6111</v>
      </c>
      <c r="BK243" s="2" t="s">
        <v>3658</v>
      </c>
      <c r="BL243" s="2" t="s">
        <v>6112</v>
      </c>
      <c r="BM243" s="2" t="s">
        <v>8745</v>
      </c>
      <c r="BN243" s="2">
        <v>3.7649083E7</v>
      </c>
      <c r="BO243" s="2" t="s">
        <v>4251</v>
      </c>
      <c r="BP243" s="2" t="s">
        <v>3635</v>
      </c>
      <c r="BQ243" s="2" t="s">
        <v>3635</v>
      </c>
      <c r="BR243" s="2" t="s">
        <v>3662</v>
      </c>
      <c r="BS243" s="2" t="s">
        <v>8746</v>
      </c>
      <c r="BT243" s="2" t="str">
        <f>HYPERLINK("https%3A%2F%2Fwww.webofscience.com%2Fwos%2Fwoscc%2Ffull-record%2FWOS:001058568900001","View Full Record in Web of Science")</f>
        <v>View Full Record in Web of Science</v>
      </c>
    </row>
    <row r="244" ht="15.75" customHeight="1">
      <c r="A244" s="2" t="s">
        <v>3633</v>
      </c>
      <c r="B244" s="2" t="s">
        <v>7286</v>
      </c>
      <c r="C244" s="2" t="s">
        <v>3635</v>
      </c>
      <c r="D244" s="2" t="s">
        <v>3635</v>
      </c>
      <c r="E244" s="2" t="s">
        <v>3635</v>
      </c>
      <c r="F244" s="2" t="s">
        <v>7288</v>
      </c>
      <c r="G244" s="2" t="s">
        <v>3635</v>
      </c>
      <c r="H244" s="2" t="s">
        <v>3635</v>
      </c>
      <c r="I244" s="2" t="s">
        <v>8747</v>
      </c>
      <c r="J244" s="2" t="s">
        <v>8748</v>
      </c>
      <c r="K244" s="2" t="s">
        <v>3635</v>
      </c>
      <c r="L244" s="2" t="s">
        <v>3635</v>
      </c>
      <c r="M244" s="2" t="s">
        <v>3638</v>
      </c>
      <c r="N244" s="2" t="s">
        <v>21</v>
      </c>
      <c r="O244" s="2" t="s">
        <v>3635</v>
      </c>
      <c r="P244" s="2" t="s">
        <v>3635</v>
      </c>
      <c r="Q244" s="2" t="s">
        <v>3635</v>
      </c>
      <c r="R244" s="2" t="s">
        <v>3635</v>
      </c>
      <c r="S244" s="2" t="s">
        <v>3635</v>
      </c>
      <c r="T244" s="2" t="s">
        <v>8749</v>
      </c>
      <c r="U244" s="2" t="s">
        <v>8750</v>
      </c>
      <c r="V244" s="2" t="s">
        <v>8751</v>
      </c>
      <c r="W244" s="2" t="s">
        <v>8752</v>
      </c>
      <c r="X244" s="2" t="s">
        <v>7298</v>
      </c>
      <c r="Y244" s="2" t="s">
        <v>8753</v>
      </c>
      <c r="Z244" s="2" t="s">
        <v>7300</v>
      </c>
      <c r="AA244" s="2" t="s">
        <v>8754</v>
      </c>
      <c r="AB244" s="2" t="s">
        <v>7302</v>
      </c>
      <c r="AC244" s="2" t="s">
        <v>8755</v>
      </c>
      <c r="AD244" s="2" t="s">
        <v>8756</v>
      </c>
      <c r="AE244" s="2" t="s">
        <v>8757</v>
      </c>
      <c r="AF244" s="2" t="s">
        <v>3635</v>
      </c>
      <c r="AG244" s="2">
        <v>31.0</v>
      </c>
      <c r="AH244" s="2">
        <v>1.0</v>
      </c>
      <c r="AI244" s="2">
        <v>1.0</v>
      </c>
      <c r="AJ244" s="2">
        <v>2.0</v>
      </c>
      <c r="AK244" s="2">
        <v>27.0</v>
      </c>
      <c r="AL244" s="2" t="s">
        <v>8758</v>
      </c>
      <c r="AM244" s="2" t="s">
        <v>8759</v>
      </c>
      <c r="AN244" s="2" t="s">
        <v>8760</v>
      </c>
      <c r="AO244" s="2" t="s">
        <v>8761</v>
      </c>
      <c r="AP244" s="2" t="s">
        <v>8762</v>
      </c>
      <c r="AQ244" s="2" t="s">
        <v>3635</v>
      </c>
      <c r="AR244" s="2" t="s">
        <v>8763</v>
      </c>
      <c r="AS244" s="2" t="s">
        <v>8764</v>
      </c>
      <c r="AT244" s="2" t="s">
        <v>3635</v>
      </c>
      <c r="AU244" s="2">
        <v>2020.0</v>
      </c>
      <c r="AV244" s="2">
        <v>23.0</v>
      </c>
      <c r="AW244" s="2">
        <v>3.0</v>
      </c>
      <c r="AX244" s="2" t="s">
        <v>3635</v>
      </c>
      <c r="AY244" s="2" t="s">
        <v>3635</v>
      </c>
      <c r="AZ244" s="2" t="s">
        <v>3635</v>
      </c>
      <c r="BA244" s="2" t="s">
        <v>3635</v>
      </c>
      <c r="BB244" s="2">
        <v>138.0</v>
      </c>
      <c r="BC244" s="2">
        <v>154.0</v>
      </c>
      <c r="BD244" s="2" t="s">
        <v>3635</v>
      </c>
      <c r="BE244" s="2" t="s">
        <v>8765</v>
      </c>
      <c r="BF244" s="3" t="str">
        <f>HYPERLINK("http://dx.doi.org/10.15240/tul/001/2020-3-009","http://dx.doi.org/10.15240/tul/001/2020-3-009")</f>
        <v>http://dx.doi.org/10.15240/tul/001/2020-3-009</v>
      </c>
      <c r="BG244" s="2" t="s">
        <v>3635</v>
      </c>
      <c r="BH244" s="2" t="s">
        <v>3635</v>
      </c>
      <c r="BI244" s="2">
        <v>17.0</v>
      </c>
      <c r="BJ244" s="2" t="s">
        <v>8766</v>
      </c>
      <c r="BK244" s="2" t="s">
        <v>5726</v>
      </c>
      <c r="BL244" s="2" t="s">
        <v>3994</v>
      </c>
      <c r="BM244" s="2" t="s">
        <v>8767</v>
      </c>
      <c r="BN244" s="2" t="s">
        <v>3635</v>
      </c>
      <c r="BO244" s="2" t="s">
        <v>4748</v>
      </c>
      <c r="BP244" s="2" t="s">
        <v>3635</v>
      </c>
      <c r="BQ244" s="2" t="s">
        <v>3635</v>
      </c>
      <c r="BR244" s="2" t="s">
        <v>3662</v>
      </c>
      <c r="BS244" s="2" t="s">
        <v>8768</v>
      </c>
      <c r="BT244" s="2" t="str">
        <f>HYPERLINK("https%3A%2F%2Fwww.webofscience.com%2Fwos%2Fwoscc%2Ffull-record%2FWOS:000570968300009","View Full Record in Web of Science")</f>
        <v>View Full Record in Web of Science</v>
      </c>
    </row>
    <row r="245" ht="15.75" customHeight="1">
      <c r="A245" s="2" t="s">
        <v>3633</v>
      </c>
      <c r="B245" s="2" t="s">
        <v>8769</v>
      </c>
      <c r="C245" s="2" t="s">
        <v>3635</v>
      </c>
      <c r="D245" s="2" t="s">
        <v>3635</v>
      </c>
      <c r="E245" s="2" t="s">
        <v>3635</v>
      </c>
      <c r="F245" s="2" t="s">
        <v>8770</v>
      </c>
      <c r="G245" s="2" t="s">
        <v>3635</v>
      </c>
      <c r="H245" s="2" t="s">
        <v>3635</v>
      </c>
      <c r="I245" s="2" t="s">
        <v>8771</v>
      </c>
      <c r="J245" s="2" t="s">
        <v>8748</v>
      </c>
      <c r="K245" s="2" t="s">
        <v>3635</v>
      </c>
      <c r="L245" s="2" t="s">
        <v>3635</v>
      </c>
      <c r="M245" s="2" t="s">
        <v>3638</v>
      </c>
      <c r="N245" s="2" t="s">
        <v>21</v>
      </c>
      <c r="O245" s="2" t="s">
        <v>3635</v>
      </c>
      <c r="P245" s="2" t="s">
        <v>3635</v>
      </c>
      <c r="Q245" s="2" t="s">
        <v>3635</v>
      </c>
      <c r="R245" s="2" t="s">
        <v>3635</v>
      </c>
      <c r="S245" s="2" t="s">
        <v>3635</v>
      </c>
      <c r="T245" s="2" t="s">
        <v>8772</v>
      </c>
      <c r="U245" s="2" t="s">
        <v>8773</v>
      </c>
      <c r="V245" s="2" t="s">
        <v>8774</v>
      </c>
      <c r="W245" s="2" t="s">
        <v>8775</v>
      </c>
      <c r="X245" s="2" t="s">
        <v>7298</v>
      </c>
      <c r="Y245" s="2" t="s">
        <v>8776</v>
      </c>
      <c r="Z245" s="2" t="s">
        <v>8777</v>
      </c>
      <c r="AA245" s="2" t="s">
        <v>8754</v>
      </c>
      <c r="AB245" s="2" t="s">
        <v>7302</v>
      </c>
      <c r="AC245" s="2" t="s">
        <v>8778</v>
      </c>
      <c r="AD245" s="2" t="s">
        <v>8778</v>
      </c>
      <c r="AE245" s="2" t="s">
        <v>8779</v>
      </c>
      <c r="AF245" s="2" t="s">
        <v>3635</v>
      </c>
      <c r="AG245" s="2">
        <v>22.0</v>
      </c>
      <c r="AH245" s="2">
        <v>8.0</v>
      </c>
      <c r="AI245" s="2">
        <v>8.0</v>
      </c>
      <c r="AJ245" s="2">
        <v>3.0</v>
      </c>
      <c r="AK245" s="2">
        <v>10.0</v>
      </c>
      <c r="AL245" s="2" t="s">
        <v>8758</v>
      </c>
      <c r="AM245" s="2" t="s">
        <v>8759</v>
      </c>
      <c r="AN245" s="2" t="s">
        <v>8760</v>
      </c>
      <c r="AO245" s="2" t="s">
        <v>8761</v>
      </c>
      <c r="AP245" s="2" t="s">
        <v>8762</v>
      </c>
      <c r="AQ245" s="2" t="s">
        <v>3635</v>
      </c>
      <c r="AR245" s="2" t="s">
        <v>8763</v>
      </c>
      <c r="AS245" s="2" t="s">
        <v>8764</v>
      </c>
      <c r="AT245" s="2" t="s">
        <v>3635</v>
      </c>
      <c r="AU245" s="2">
        <v>2018.0</v>
      </c>
      <c r="AV245" s="2">
        <v>21.0</v>
      </c>
      <c r="AW245" s="2">
        <v>2.0</v>
      </c>
      <c r="AX245" s="2" t="s">
        <v>3635</v>
      </c>
      <c r="AY245" s="2" t="s">
        <v>3635</v>
      </c>
      <c r="AZ245" s="2" t="s">
        <v>3635</v>
      </c>
      <c r="BA245" s="2" t="s">
        <v>3635</v>
      </c>
      <c r="BB245" s="2">
        <v>69.0</v>
      </c>
      <c r="BC245" s="2">
        <v>82.0</v>
      </c>
      <c r="BD245" s="2" t="s">
        <v>3635</v>
      </c>
      <c r="BE245" s="2" t="s">
        <v>8780</v>
      </c>
      <c r="BF245" s="3" t="str">
        <f>HYPERLINK("http://dx.doi.org/10.15240/tul/001/2018-2-005","http://dx.doi.org/10.15240/tul/001/2018-2-005")</f>
        <v>http://dx.doi.org/10.15240/tul/001/2018-2-005</v>
      </c>
      <c r="BG245" s="2" t="s">
        <v>3635</v>
      </c>
      <c r="BH245" s="2" t="s">
        <v>3635</v>
      </c>
      <c r="BI245" s="2">
        <v>14.0</v>
      </c>
      <c r="BJ245" s="2" t="s">
        <v>8766</v>
      </c>
      <c r="BK245" s="2" t="s">
        <v>5726</v>
      </c>
      <c r="BL245" s="2" t="s">
        <v>3994</v>
      </c>
      <c r="BM245" s="2" t="s">
        <v>8781</v>
      </c>
      <c r="BN245" s="2" t="s">
        <v>3635</v>
      </c>
      <c r="BO245" s="2" t="s">
        <v>4251</v>
      </c>
      <c r="BP245" s="2" t="s">
        <v>3635</v>
      </c>
      <c r="BQ245" s="2" t="s">
        <v>3635</v>
      </c>
      <c r="BR245" s="2" t="s">
        <v>3662</v>
      </c>
      <c r="BS245" s="2" t="s">
        <v>8782</v>
      </c>
      <c r="BT245" s="2" t="str">
        <f>HYPERLINK("https%3A%2F%2Fwww.webofscience.com%2Fwos%2Fwoscc%2Ffull-record%2FWOS:000437424800005","View Full Record in Web of Science")</f>
        <v>View Full Record in Web of Science</v>
      </c>
    </row>
    <row r="246" ht="15.75" customHeight="1">
      <c r="A246" s="2" t="s">
        <v>3633</v>
      </c>
      <c r="B246" s="2" t="s">
        <v>8783</v>
      </c>
      <c r="C246" s="2" t="s">
        <v>3635</v>
      </c>
      <c r="D246" s="2" t="s">
        <v>3635</v>
      </c>
      <c r="E246" s="2" t="s">
        <v>3635</v>
      </c>
      <c r="F246" s="2" t="s">
        <v>8784</v>
      </c>
      <c r="G246" s="2" t="s">
        <v>3635</v>
      </c>
      <c r="H246" s="2" t="s">
        <v>3635</v>
      </c>
      <c r="I246" s="2" t="s">
        <v>8785</v>
      </c>
      <c r="J246" s="2" t="s">
        <v>8786</v>
      </c>
      <c r="K246" s="2" t="s">
        <v>3635</v>
      </c>
      <c r="L246" s="2" t="s">
        <v>3635</v>
      </c>
      <c r="M246" s="2" t="s">
        <v>3638</v>
      </c>
      <c r="N246" s="2" t="s">
        <v>21</v>
      </c>
      <c r="O246" s="2" t="s">
        <v>3635</v>
      </c>
      <c r="P246" s="2" t="s">
        <v>3635</v>
      </c>
      <c r="Q246" s="2" t="s">
        <v>3635</v>
      </c>
      <c r="R246" s="2" t="s">
        <v>3635</v>
      </c>
      <c r="S246" s="2" t="s">
        <v>3635</v>
      </c>
      <c r="T246" s="2" t="s">
        <v>8787</v>
      </c>
      <c r="U246" s="2" t="s">
        <v>8788</v>
      </c>
      <c r="V246" s="2" t="s">
        <v>8789</v>
      </c>
      <c r="W246" s="2" t="s">
        <v>8790</v>
      </c>
      <c r="X246" s="2" t="s">
        <v>8791</v>
      </c>
      <c r="Y246" s="2" t="s">
        <v>8792</v>
      </c>
      <c r="Z246" s="2" t="s">
        <v>8793</v>
      </c>
      <c r="AA246" s="2" t="s">
        <v>8794</v>
      </c>
      <c r="AB246" s="2" t="s">
        <v>8795</v>
      </c>
      <c r="AC246" s="2" t="s">
        <v>3635</v>
      </c>
      <c r="AD246" s="2" t="s">
        <v>3635</v>
      </c>
      <c r="AE246" s="2" t="s">
        <v>3635</v>
      </c>
      <c r="AF246" s="2" t="s">
        <v>3635</v>
      </c>
      <c r="AG246" s="2">
        <v>78.0</v>
      </c>
      <c r="AH246" s="2">
        <v>10.0</v>
      </c>
      <c r="AI246" s="2">
        <v>12.0</v>
      </c>
      <c r="AJ246" s="2">
        <v>1.0</v>
      </c>
      <c r="AK246" s="2">
        <v>16.0</v>
      </c>
      <c r="AL246" s="2" t="s">
        <v>3986</v>
      </c>
      <c r="AM246" s="2" t="s">
        <v>3987</v>
      </c>
      <c r="AN246" s="2" t="s">
        <v>3988</v>
      </c>
      <c r="AO246" s="2" t="s">
        <v>8796</v>
      </c>
      <c r="AP246" s="2" t="s">
        <v>8797</v>
      </c>
      <c r="AQ246" s="2" t="s">
        <v>3635</v>
      </c>
      <c r="AR246" s="2" t="s">
        <v>8798</v>
      </c>
      <c r="AS246" s="2" t="s">
        <v>8799</v>
      </c>
      <c r="AT246" s="2" t="s">
        <v>3635</v>
      </c>
      <c r="AU246" s="2">
        <v>2019.0</v>
      </c>
      <c r="AV246" s="2">
        <v>42.0</v>
      </c>
      <c r="AW246" s="2">
        <v>5.0</v>
      </c>
      <c r="AX246" s="2" t="s">
        <v>3635</v>
      </c>
      <c r="AY246" s="2" t="s">
        <v>3635</v>
      </c>
      <c r="AZ246" s="2" t="s">
        <v>3635</v>
      </c>
      <c r="BA246" s="2" t="s">
        <v>3635</v>
      </c>
      <c r="BB246" s="2">
        <v>568.0</v>
      </c>
      <c r="BC246" s="2">
        <v>585.0</v>
      </c>
      <c r="BD246" s="2" t="s">
        <v>3635</v>
      </c>
      <c r="BE246" s="2" t="s">
        <v>8800</v>
      </c>
      <c r="BF246" s="3" t="str">
        <f>HYPERLINK("http://dx.doi.org/10.1108/MRR-05-2018-0202","http://dx.doi.org/10.1108/MRR-05-2018-0202")</f>
        <v>http://dx.doi.org/10.1108/MRR-05-2018-0202</v>
      </c>
      <c r="BG246" s="2" t="s">
        <v>3635</v>
      </c>
      <c r="BH246" s="2" t="s">
        <v>3635</v>
      </c>
      <c r="BI246" s="2">
        <v>18.0</v>
      </c>
      <c r="BJ246" s="2" t="s">
        <v>5790</v>
      </c>
      <c r="BK246" s="2" t="s">
        <v>3993</v>
      </c>
      <c r="BL246" s="2" t="s">
        <v>3994</v>
      </c>
      <c r="BM246" s="2" t="s">
        <v>8801</v>
      </c>
      <c r="BN246" s="2" t="s">
        <v>3635</v>
      </c>
      <c r="BO246" s="2" t="s">
        <v>4201</v>
      </c>
      <c r="BP246" s="2" t="s">
        <v>3635</v>
      </c>
      <c r="BQ246" s="2" t="s">
        <v>3635</v>
      </c>
      <c r="BR246" s="2" t="s">
        <v>3662</v>
      </c>
      <c r="BS246" s="2" t="s">
        <v>8802</v>
      </c>
      <c r="BT246" s="2" t="str">
        <f>HYPERLINK("https%3A%2F%2Fwww.webofscience.com%2Fwos%2Fwoscc%2Ffull-record%2FWOS:000469411900002","View Full Record in Web of Science")</f>
        <v>View Full Record in Web of Science</v>
      </c>
    </row>
    <row r="247" ht="15.75" customHeight="1">
      <c r="A247" s="2" t="s">
        <v>3664</v>
      </c>
      <c r="B247" s="2" t="s">
        <v>8803</v>
      </c>
      <c r="C247" s="2" t="s">
        <v>3635</v>
      </c>
      <c r="D247" s="2" t="s">
        <v>8804</v>
      </c>
      <c r="E247" s="2" t="s">
        <v>3635</v>
      </c>
      <c r="F247" s="2" t="s">
        <v>8805</v>
      </c>
      <c r="G247" s="2" t="s">
        <v>3635</v>
      </c>
      <c r="H247" s="2" t="s">
        <v>3635</v>
      </c>
      <c r="I247" s="2" t="s">
        <v>8806</v>
      </c>
      <c r="J247" s="2" t="s">
        <v>8807</v>
      </c>
      <c r="K247" s="2" t="s">
        <v>1760</v>
      </c>
      <c r="L247" s="2" t="s">
        <v>3635</v>
      </c>
      <c r="M247" s="2" t="s">
        <v>3638</v>
      </c>
      <c r="N247" s="2" t="s">
        <v>3669</v>
      </c>
      <c r="O247" s="2" t="s">
        <v>8808</v>
      </c>
      <c r="P247" s="2" t="s">
        <v>8809</v>
      </c>
      <c r="Q247" s="2" t="s">
        <v>8810</v>
      </c>
      <c r="R247" s="2" t="s">
        <v>8811</v>
      </c>
      <c r="S247" s="2" t="s">
        <v>3635</v>
      </c>
      <c r="T247" s="2" t="s">
        <v>8812</v>
      </c>
      <c r="U247" s="2" t="s">
        <v>3635</v>
      </c>
      <c r="V247" s="2" t="s">
        <v>8813</v>
      </c>
      <c r="W247" s="2" t="s">
        <v>8814</v>
      </c>
      <c r="X247" s="2" t="s">
        <v>5835</v>
      </c>
      <c r="Y247" s="2" t="s">
        <v>8815</v>
      </c>
      <c r="Z247" s="2" t="s">
        <v>8816</v>
      </c>
      <c r="AA247" s="2" t="s">
        <v>8817</v>
      </c>
      <c r="AB247" s="2" t="s">
        <v>3635</v>
      </c>
      <c r="AC247" s="2" t="s">
        <v>3635</v>
      </c>
      <c r="AD247" s="2" t="s">
        <v>3635</v>
      </c>
      <c r="AE247" s="2" t="s">
        <v>3635</v>
      </c>
      <c r="AF247" s="2" t="s">
        <v>3635</v>
      </c>
      <c r="AG247" s="2">
        <v>19.0</v>
      </c>
      <c r="AH247" s="2">
        <v>0.0</v>
      </c>
      <c r="AI247" s="2">
        <v>1.0</v>
      </c>
      <c r="AJ247" s="2">
        <v>0.0</v>
      </c>
      <c r="AK247" s="2">
        <v>52.0</v>
      </c>
      <c r="AL247" s="2" t="s">
        <v>4467</v>
      </c>
      <c r="AM247" s="2" t="s">
        <v>8818</v>
      </c>
      <c r="AN247" s="2" t="s">
        <v>8819</v>
      </c>
      <c r="AO247" s="2" t="s">
        <v>8820</v>
      </c>
      <c r="AP247" s="2" t="s">
        <v>3635</v>
      </c>
      <c r="AQ247" s="2" t="s">
        <v>8821</v>
      </c>
      <c r="AR247" s="2" t="s">
        <v>8822</v>
      </c>
      <c r="AS247" s="2" t="s">
        <v>3635</v>
      </c>
      <c r="AT247" s="2" t="s">
        <v>3635</v>
      </c>
      <c r="AU247" s="2">
        <v>2012.0</v>
      </c>
      <c r="AV247" s="2" t="s">
        <v>8823</v>
      </c>
      <c r="AW247" s="2" t="s">
        <v>3635</v>
      </c>
      <c r="AX247" s="2" t="s">
        <v>3635</v>
      </c>
      <c r="AY247" s="2" t="s">
        <v>3635</v>
      </c>
      <c r="AZ247" s="2" t="s">
        <v>3635</v>
      </c>
      <c r="BA247" s="2" t="s">
        <v>3635</v>
      </c>
      <c r="BB247" s="2">
        <v>5648.0</v>
      </c>
      <c r="BC247" s="2">
        <v>5655.0</v>
      </c>
      <c r="BD247" s="2" t="s">
        <v>3635</v>
      </c>
      <c r="BE247" s="2" t="s">
        <v>1761</v>
      </c>
      <c r="BF247" s="3" t="str">
        <f>HYPERLINK("http://dx.doi.org/10.4028/www.scientific.net/AMR.518-523.5648","http://dx.doi.org/10.4028/www.scientific.net/AMR.518-523.5648")</f>
        <v>http://dx.doi.org/10.4028/www.scientific.net/AMR.518-523.5648</v>
      </c>
      <c r="BG247" s="2" t="s">
        <v>3635</v>
      </c>
      <c r="BH247" s="2" t="s">
        <v>3635</v>
      </c>
      <c r="BI247" s="2">
        <v>8.0</v>
      </c>
      <c r="BJ247" s="2" t="s">
        <v>8824</v>
      </c>
      <c r="BK247" s="2" t="s">
        <v>3692</v>
      </c>
      <c r="BL247" s="2" t="s">
        <v>8825</v>
      </c>
      <c r="BM247" s="2" t="s">
        <v>8826</v>
      </c>
      <c r="BN247" s="2" t="s">
        <v>3635</v>
      </c>
      <c r="BO247" s="2" t="s">
        <v>3635</v>
      </c>
      <c r="BP247" s="2" t="s">
        <v>3635</v>
      </c>
      <c r="BQ247" s="2" t="s">
        <v>3635</v>
      </c>
      <c r="BR247" s="2" t="s">
        <v>3662</v>
      </c>
      <c r="BS247" s="2" t="s">
        <v>8827</v>
      </c>
      <c r="BT247" s="2" t="str">
        <f>HYPERLINK("https%3A%2F%2Fwww.webofscience.com%2Fwos%2Fwoscc%2Ffull-record%2FWOS:000313845902295","View Full Record in Web of Science")</f>
        <v>View Full Record in Web of Science</v>
      </c>
    </row>
    <row r="248" ht="15.75" customHeight="1">
      <c r="A248" s="2" t="s">
        <v>3633</v>
      </c>
      <c r="B248" s="2" t="s">
        <v>8828</v>
      </c>
      <c r="C248" s="2" t="s">
        <v>3635</v>
      </c>
      <c r="D248" s="2" t="s">
        <v>3635</v>
      </c>
      <c r="E248" s="2" t="s">
        <v>3635</v>
      </c>
      <c r="F248" s="2" t="s">
        <v>8829</v>
      </c>
      <c r="G248" s="2" t="s">
        <v>3635</v>
      </c>
      <c r="H248" s="2" t="s">
        <v>3635</v>
      </c>
      <c r="I248" s="2" t="s">
        <v>8830</v>
      </c>
      <c r="J248" s="2" t="s">
        <v>8831</v>
      </c>
      <c r="K248" s="2" t="s">
        <v>3635</v>
      </c>
      <c r="L248" s="2" t="s">
        <v>3635</v>
      </c>
      <c r="M248" s="2" t="s">
        <v>3638</v>
      </c>
      <c r="N248" s="2" t="s">
        <v>8832</v>
      </c>
      <c r="O248" s="2" t="s">
        <v>3635</v>
      </c>
      <c r="P248" s="2" t="s">
        <v>3635</v>
      </c>
      <c r="Q248" s="2" t="s">
        <v>3635</v>
      </c>
      <c r="R248" s="2" t="s">
        <v>3635</v>
      </c>
      <c r="S248" s="2" t="s">
        <v>3635</v>
      </c>
      <c r="T248" s="2" t="s">
        <v>8833</v>
      </c>
      <c r="U248" s="2" t="s">
        <v>8834</v>
      </c>
      <c r="V248" s="2" t="s">
        <v>8835</v>
      </c>
      <c r="W248" s="2" t="s">
        <v>8836</v>
      </c>
      <c r="X248" s="2" t="s">
        <v>8837</v>
      </c>
      <c r="Y248" s="2" t="s">
        <v>8838</v>
      </c>
      <c r="Z248" s="2" t="s">
        <v>8839</v>
      </c>
      <c r="AA248" s="2" t="s">
        <v>3635</v>
      </c>
      <c r="AB248" s="2" t="s">
        <v>8840</v>
      </c>
      <c r="AC248" s="2" t="s">
        <v>8841</v>
      </c>
      <c r="AD248" s="2" t="s">
        <v>8842</v>
      </c>
      <c r="AE248" s="2" t="s">
        <v>8843</v>
      </c>
      <c r="AF248" s="2" t="s">
        <v>3635</v>
      </c>
      <c r="AG248" s="2">
        <v>67.0</v>
      </c>
      <c r="AH248" s="2">
        <v>0.0</v>
      </c>
      <c r="AI248" s="2">
        <v>0.0</v>
      </c>
      <c r="AJ248" s="2">
        <v>0.0</v>
      </c>
      <c r="AK248" s="2">
        <v>0.0</v>
      </c>
      <c r="AL248" s="2" t="s">
        <v>6154</v>
      </c>
      <c r="AM248" s="2" t="s">
        <v>3651</v>
      </c>
      <c r="AN248" s="2" t="s">
        <v>8620</v>
      </c>
      <c r="AO248" s="2" t="s">
        <v>8844</v>
      </c>
      <c r="AP248" s="2" t="s">
        <v>8845</v>
      </c>
      <c r="AQ248" s="2" t="s">
        <v>3635</v>
      </c>
      <c r="AR248" s="2" t="s">
        <v>8846</v>
      </c>
      <c r="AS248" s="2" t="s">
        <v>8847</v>
      </c>
      <c r="AT248" s="2" t="s">
        <v>8848</v>
      </c>
      <c r="AU248" s="2">
        <v>2024.0</v>
      </c>
      <c r="AV248" s="2" t="s">
        <v>3635</v>
      </c>
      <c r="AW248" s="2" t="s">
        <v>3635</v>
      </c>
      <c r="AX248" s="2" t="s">
        <v>3635</v>
      </c>
      <c r="AY248" s="2" t="s">
        <v>3635</v>
      </c>
      <c r="AZ248" s="2" t="s">
        <v>3635</v>
      </c>
      <c r="BA248" s="2" t="s">
        <v>3635</v>
      </c>
      <c r="BB248" s="2" t="s">
        <v>3635</v>
      </c>
      <c r="BC248" s="2" t="s">
        <v>3635</v>
      </c>
      <c r="BD248" s="2" t="s">
        <v>3635</v>
      </c>
      <c r="BE248" s="2" t="s">
        <v>8849</v>
      </c>
      <c r="BF248" s="3" t="str">
        <f>HYPERLINK("http://dx.doi.org/10.1007/s41999-024-00999-8","http://dx.doi.org/10.1007/s41999-024-00999-8")</f>
        <v>http://dx.doi.org/10.1007/s41999-024-00999-8</v>
      </c>
      <c r="BG248" s="2" t="s">
        <v>3635</v>
      </c>
      <c r="BH248" s="2" t="s">
        <v>8850</v>
      </c>
      <c r="BI248" s="2">
        <v>17.0</v>
      </c>
      <c r="BJ248" s="2" t="s">
        <v>8851</v>
      </c>
      <c r="BK248" s="2" t="s">
        <v>3658</v>
      </c>
      <c r="BL248" s="2" t="s">
        <v>8851</v>
      </c>
      <c r="BM248" s="2" t="s">
        <v>8852</v>
      </c>
      <c r="BN248" s="2">
        <v>3.8842653E7</v>
      </c>
      <c r="BO248" s="2" t="s">
        <v>3635</v>
      </c>
      <c r="BP248" s="2" t="s">
        <v>3635</v>
      </c>
      <c r="BQ248" s="2" t="s">
        <v>3635</v>
      </c>
      <c r="BR248" s="2" t="s">
        <v>3662</v>
      </c>
      <c r="BS248" s="2" t="s">
        <v>8853</v>
      </c>
      <c r="BT248" s="2" t="str">
        <f>HYPERLINK("https%3A%2F%2Fwww.webofscience.com%2Fwos%2Fwoscc%2Ffull-record%2FWOS:001243254400001","View Full Record in Web of Science")</f>
        <v>View Full Record in Web of Science</v>
      </c>
    </row>
    <row r="249" ht="15.75" customHeight="1">
      <c r="A249" s="2" t="s">
        <v>3633</v>
      </c>
      <c r="B249" s="2" t="s">
        <v>8854</v>
      </c>
      <c r="C249" s="2" t="s">
        <v>3635</v>
      </c>
      <c r="D249" s="2" t="s">
        <v>3635</v>
      </c>
      <c r="E249" s="2" t="s">
        <v>3635</v>
      </c>
      <c r="F249" s="2" t="s">
        <v>8854</v>
      </c>
      <c r="G249" s="2" t="s">
        <v>3635</v>
      </c>
      <c r="H249" s="2" t="s">
        <v>3635</v>
      </c>
      <c r="I249" s="2" t="s">
        <v>8855</v>
      </c>
      <c r="J249" s="2" t="s">
        <v>8856</v>
      </c>
      <c r="K249" s="2" t="s">
        <v>3635</v>
      </c>
      <c r="L249" s="2" t="s">
        <v>3635</v>
      </c>
      <c r="M249" s="2" t="s">
        <v>3638</v>
      </c>
      <c r="N249" s="2" t="s">
        <v>5948</v>
      </c>
      <c r="O249" s="2" t="s">
        <v>8857</v>
      </c>
      <c r="P249" s="2" t="s">
        <v>8858</v>
      </c>
      <c r="Q249" s="2" t="s">
        <v>8859</v>
      </c>
      <c r="R249" s="2" t="s">
        <v>3635</v>
      </c>
      <c r="S249" s="2" t="s">
        <v>3635</v>
      </c>
      <c r="T249" s="2" t="s">
        <v>8860</v>
      </c>
      <c r="U249" s="2" t="s">
        <v>8861</v>
      </c>
      <c r="V249" s="2" t="s">
        <v>8862</v>
      </c>
      <c r="W249" s="2" t="s">
        <v>8863</v>
      </c>
      <c r="X249" s="2" t="s">
        <v>8864</v>
      </c>
      <c r="Y249" s="2" t="s">
        <v>8865</v>
      </c>
      <c r="Z249" s="2" t="s">
        <v>8866</v>
      </c>
      <c r="AA249" s="2" t="s">
        <v>8867</v>
      </c>
      <c r="AB249" s="2" t="s">
        <v>8868</v>
      </c>
      <c r="AC249" s="2" t="s">
        <v>3635</v>
      </c>
      <c r="AD249" s="2" t="s">
        <v>3635</v>
      </c>
      <c r="AE249" s="2" t="s">
        <v>3635</v>
      </c>
      <c r="AF249" s="2" t="s">
        <v>3635</v>
      </c>
      <c r="AG249" s="2">
        <v>35.0</v>
      </c>
      <c r="AH249" s="2">
        <v>16.0</v>
      </c>
      <c r="AI249" s="2">
        <v>16.0</v>
      </c>
      <c r="AJ249" s="2">
        <v>0.0</v>
      </c>
      <c r="AK249" s="2">
        <v>13.0</v>
      </c>
      <c r="AL249" s="2" t="s">
        <v>8869</v>
      </c>
      <c r="AM249" s="2" t="s">
        <v>4668</v>
      </c>
      <c r="AN249" s="2" t="s">
        <v>8870</v>
      </c>
      <c r="AO249" s="2" t="s">
        <v>8871</v>
      </c>
      <c r="AP249" s="2" t="s">
        <v>8872</v>
      </c>
      <c r="AQ249" s="2" t="s">
        <v>3635</v>
      </c>
      <c r="AR249" s="2" t="s">
        <v>8873</v>
      </c>
      <c r="AS249" s="2" t="s">
        <v>8874</v>
      </c>
      <c r="AT249" s="2" t="s">
        <v>8875</v>
      </c>
      <c r="AU249" s="2">
        <v>2003.0</v>
      </c>
      <c r="AV249" s="2">
        <v>58.0</v>
      </c>
      <c r="AW249" s="2" t="s">
        <v>3635</v>
      </c>
      <c r="AX249" s="2" t="s">
        <v>3635</v>
      </c>
      <c r="AY249" s="2" t="s">
        <v>5438</v>
      </c>
      <c r="AZ249" s="2" t="s">
        <v>3635</v>
      </c>
      <c r="BA249" s="2" t="s">
        <v>3635</v>
      </c>
      <c r="BB249" s="2">
        <v>149.0</v>
      </c>
      <c r="BC249" s="2">
        <v>157.0</v>
      </c>
      <c r="BD249" s="2" t="s">
        <v>3635</v>
      </c>
      <c r="BE249" s="2" t="s">
        <v>8876</v>
      </c>
      <c r="BF249" s="3" t="str">
        <f>HYPERLINK("http://dx.doi.org/10.1016/S0272-7714(03)00041-6","http://dx.doi.org/10.1016/S0272-7714(03)00041-6")</f>
        <v>http://dx.doi.org/10.1016/S0272-7714(03)00041-6</v>
      </c>
      <c r="BG249" s="2" t="s">
        <v>3635</v>
      </c>
      <c r="BH249" s="2" t="s">
        <v>3635</v>
      </c>
      <c r="BI249" s="2">
        <v>9.0</v>
      </c>
      <c r="BJ249" s="2" t="s">
        <v>8877</v>
      </c>
      <c r="BK249" s="2" t="s">
        <v>6694</v>
      </c>
      <c r="BL249" s="2" t="s">
        <v>8877</v>
      </c>
      <c r="BM249" s="2" t="s">
        <v>8878</v>
      </c>
      <c r="BN249" s="2" t="s">
        <v>3635</v>
      </c>
      <c r="BO249" s="2" t="s">
        <v>4701</v>
      </c>
      <c r="BP249" s="2" t="s">
        <v>3635</v>
      </c>
      <c r="BQ249" s="2" t="s">
        <v>3635</v>
      </c>
      <c r="BR249" s="2" t="s">
        <v>3662</v>
      </c>
      <c r="BS249" s="2" t="s">
        <v>8879</v>
      </c>
      <c r="BT249" s="2" t="str">
        <f>HYPERLINK("https%3A%2F%2Fwww.webofscience.com%2Fwos%2Fwoscc%2Ffull-record%2FWOS:000186659300014","View Full Record in Web of Science")</f>
        <v>View Full Record in Web of Science</v>
      </c>
    </row>
    <row r="250" ht="15.75" customHeight="1">
      <c r="A250" s="2" t="s">
        <v>3633</v>
      </c>
      <c r="B250" s="2" t="s">
        <v>8880</v>
      </c>
      <c r="C250" s="2" t="s">
        <v>3635</v>
      </c>
      <c r="D250" s="2" t="s">
        <v>3635</v>
      </c>
      <c r="E250" s="2" t="s">
        <v>3635</v>
      </c>
      <c r="F250" s="2" t="s">
        <v>8881</v>
      </c>
      <c r="G250" s="2" t="s">
        <v>3635</v>
      </c>
      <c r="H250" s="2" t="s">
        <v>3635</v>
      </c>
      <c r="I250" s="2" t="s">
        <v>8882</v>
      </c>
      <c r="J250" s="2" t="s">
        <v>8883</v>
      </c>
      <c r="K250" s="2" t="s">
        <v>3635</v>
      </c>
      <c r="L250" s="2" t="s">
        <v>3635</v>
      </c>
      <c r="M250" s="2" t="s">
        <v>3638</v>
      </c>
      <c r="N250" s="2" t="s">
        <v>21</v>
      </c>
      <c r="O250" s="2" t="s">
        <v>3635</v>
      </c>
      <c r="P250" s="2" t="s">
        <v>3635</v>
      </c>
      <c r="Q250" s="2" t="s">
        <v>3635</v>
      </c>
      <c r="R250" s="2" t="s">
        <v>3635</v>
      </c>
      <c r="S250" s="2" t="s">
        <v>3635</v>
      </c>
      <c r="T250" s="2" t="s">
        <v>8884</v>
      </c>
      <c r="U250" s="2" t="s">
        <v>8885</v>
      </c>
      <c r="V250" s="2" t="s">
        <v>8886</v>
      </c>
      <c r="W250" s="2" t="s">
        <v>8887</v>
      </c>
      <c r="X250" s="2" t="s">
        <v>8888</v>
      </c>
      <c r="Y250" s="2" t="s">
        <v>8889</v>
      </c>
      <c r="Z250" s="2" t="s">
        <v>8890</v>
      </c>
      <c r="AA250" s="2" t="s">
        <v>3635</v>
      </c>
      <c r="AB250" s="2" t="s">
        <v>3635</v>
      </c>
      <c r="AC250" s="2" t="s">
        <v>8891</v>
      </c>
      <c r="AD250" s="2" t="s">
        <v>8892</v>
      </c>
      <c r="AE250" s="2" t="s">
        <v>8893</v>
      </c>
      <c r="AF250" s="2" t="s">
        <v>3635</v>
      </c>
      <c r="AG250" s="2">
        <v>32.0</v>
      </c>
      <c r="AH250" s="2">
        <v>1.0</v>
      </c>
      <c r="AI250" s="2">
        <v>1.0</v>
      </c>
      <c r="AJ250" s="2">
        <v>5.0</v>
      </c>
      <c r="AK250" s="2">
        <v>44.0</v>
      </c>
      <c r="AL250" s="2" t="s">
        <v>8894</v>
      </c>
      <c r="AM250" s="2" t="s">
        <v>4668</v>
      </c>
      <c r="AN250" s="2" t="s">
        <v>8895</v>
      </c>
      <c r="AO250" s="2" t="s">
        <v>8896</v>
      </c>
      <c r="AP250" s="2" t="s">
        <v>8897</v>
      </c>
      <c r="AQ250" s="2" t="s">
        <v>3635</v>
      </c>
      <c r="AR250" s="2" t="s">
        <v>8883</v>
      </c>
      <c r="AS250" s="2" t="s">
        <v>8898</v>
      </c>
      <c r="AT250" s="2" t="s">
        <v>3716</v>
      </c>
      <c r="AU250" s="2">
        <v>2022.0</v>
      </c>
      <c r="AV250" s="2">
        <v>24.0</v>
      </c>
      <c r="AW250" s="2">
        <v>9.0</v>
      </c>
      <c r="AX250" s="2" t="s">
        <v>3635</v>
      </c>
      <c r="AY250" s="2" t="s">
        <v>3635</v>
      </c>
      <c r="AZ250" s="2" t="s">
        <v>3635</v>
      </c>
      <c r="BA250" s="2" t="s">
        <v>3635</v>
      </c>
      <c r="BB250" s="2">
        <v>1366.0</v>
      </c>
      <c r="BC250" s="2">
        <v>1382.0</v>
      </c>
      <c r="BD250" s="2" t="s">
        <v>3635</v>
      </c>
      <c r="BE250" s="2" t="s">
        <v>8899</v>
      </c>
      <c r="BF250" s="3" t="str">
        <f>HYPERLINK("http://dx.doi.org/10.2166/wp.2022.200","http://dx.doi.org/10.2166/wp.2022.200")</f>
        <v>http://dx.doi.org/10.2166/wp.2022.200</v>
      </c>
      <c r="BG250" s="2" t="s">
        <v>3635</v>
      </c>
      <c r="BH250" s="2" t="s">
        <v>6499</v>
      </c>
      <c r="BI250" s="2">
        <v>17.0</v>
      </c>
      <c r="BJ250" s="2" t="s">
        <v>8900</v>
      </c>
      <c r="BK250" s="2" t="s">
        <v>3658</v>
      </c>
      <c r="BL250" s="2" t="s">
        <v>8900</v>
      </c>
      <c r="BM250" s="2" t="s">
        <v>8901</v>
      </c>
      <c r="BN250" s="2" t="s">
        <v>3635</v>
      </c>
      <c r="BO250" s="2" t="s">
        <v>4115</v>
      </c>
      <c r="BP250" s="2" t="s">
        <v>3635</v>
      </c>
      <c r="BQ250" s="2" t="s">
        <v>3635</v>
      </c>
      <c r="BR250" s="2" t="s">
        <v>3662</v>
      </c>
      <c r="BS250" s="2" t="s">
        <v>8902</v>
      </c>
      <c r="BT250" s="2" t="str">
        <f>HYPERLINK("https%3A%2F%2Fwww.webofscience.com%2Fwos%2Fwoscc%2Ffull-record%2FWOS:000839609000001","View Full Record in Web of Science")</f>
        <v>View Full Record in Web of Science</v>
      </c>
    </row>
    <row r="251" ht="15.75" customHeight="1">
      <c r="A251" s="2" t="s">
        <v>3633</v>
      </c>
      <c r="B251" s="2" t="s">
        <v>8903</v>
      </c>
      <c r="C251" s="2" t="s">
        <v>3635</v>
      </c>
      <c r="D251" s="2" t="s">
        <v>3635</v>
      </c>
      <c r="E251" s="2" t="s">
        <v>3635</v>
      </c>
      <c r="F251" s="2" t="s">
        <v>8904</v>
      </c>
      <c r="G251" s="2" t="s">
        <v>3635</v>
      </c>
      <c r="H251" s="2" t="s">
        <v>3635</v>
      </c>
      <c r="I251" s="2" t="s">
        <v>8905</v>
      </c>
      <c r="J251" s="2" t="s">
        <v>8906</v>
      </c>
      <c r="K251" s="2" t="s">
        <v>3635</v>
      </c>
      <c r="L251" s="2" t="s">
        <v>3635</v>
      </c>
      <c r="M251" s="2" t="s">
        <v>3638</v>
      </c>
      <c r="N251" s="2" t="s">
        <v>21</v>
      </c>
      <c r="O251" s="2" t="s">
        <v>3635</v>
      </c>
      <c r="P251" s="2" t="s">
        <v>3635</v>
      </c>
      <c r="Q251" s="2" t="s">
        <v>3635</v>
      </c>
      <c r="R251" s="2" t="s">
        <v>3635</v>
      </c>
      <c r="S251" s="2" t="s">
        <v>3635</v>
      </c>
      <c r="T251" s="2" t="s">
        <v>8907</v>
      </c>
      <c r="U251" s="2" t="s">
        <v>8908</v>
      </c>
      <c r="V251" s="2" t="s">
        <v>8909</v>
      </c>
      <c r="W251" s="2" t="s">
        <v>8910</v>
      </c>
      <c r="X251" s="2" t="s">
        <v>8911</v>
      </c>
      <c r="Y251" s="2" t="s">
        <v>8912</v>
      </c>
      <c r="Z251" s="2" t="s">
        <v>8913</v>
      </c>
      <c r="AA251" s="2" t="s">
        <v>3635</v>
      </c>
      <c r="AB251" s="2" t="s">
        <v>3635</v>
      </c>
      <c r="AC251" s="2" t="s">
        <v>3635</v>
      </c>
      <c r="AD251" s="2" t="s">
        <v>3635</v>
      </c>
      <c r="AE251" s="2" t="s">
        <v>3635</v>
      </c>
      <c r="AF251" s="2" t="s">
        <v>3635</v>
      </c>
      <c r="AG251" s="2">
        <v>29.0</v>
      </c>
      <c r="AH251" s="2">
        <v>0.0</v>
      </c>
      <c r="AI251" s="2">
        <v>0.0</v>
      </c>
      <c r="AJ251" s="2">
        <v>0.0</v>
      </c>
      <c r="AK251" s="2">
        <v>0.0</v>
      </c>
      <c r="AL251" s="2" t="s">
        <v>8914</v>
      </c>
      <c r="AM251" s="2" t="s">
        <v>8915</v>
      </c>
      <c r="AN251" s="2" t="s">
        <v>8916</v>
      </c>
      <c r="AO251" s="2" t="s">
        <v>8917</v>
      </c>
      <c r="AP251" s="2" t="s">
        <v>8918</v>
      </c>
      <c r="AQ251" s="2" t="s">
        <v>3635</v>
      </c>
      <c r="AR251" s="2" t="s">
        <v>8919</v>
      </c>
      <c r="AS251" s="2" t="s">
        <v>8920</v>
      </c>
      <c r="AT251" s="2" t="s">
        <v>4984</v>
      </c>
      <c r="AU251" s="2">
        <v>2023.0</v>
      </c>
      <c r="AV251" s="2">
        <v>17.0</v>
      </c>
      <c r="AW251" s="2">
        <v>6.0</v>
      </c>
      <c r="AX251" s="2" t="s">
        <v>3635</v>
      </c>
      <c r="AY251" s="2" t="s">
        <v>3635</v>
      </c>
      <c r="AZ251" s="2" t="s">
        <v>3635</v>
      </c>
      <c r="BA251" s="2" t="s">
        <v>3635</v>
      </c>
      <c r="BB251" s="2" t="s">
        <v>8921</v>
      </c>
      <c r="BC251" s="2" t="s">
        <v>8921</v>
      </c>
      <c r="BD251" s="2" t="s">
        <v>3635</v>
      </c>
      <c r="BE251" s="2" t="s">
        <v>8922</v>
      </c>
      <c r="BF251" s="3" t="str">
        <f>HYPERLINK("http://dx.doi.org/10.7860/JCDR/2023/61854.18099","http://dx.doi.org/10.7860/JCDR/2023/61854.18099")</f>
        <v>http://dx.doi.org/10.7860/JCDR/2023/61854.18099</v>
      </c>
      <c r="BG251" s="2" t="s">
        <v>3635</v>
      </c>
      <c r="BH251" s="2" t="s">
        <v>3635</v>
      </c>
      <c r="BI251" s="2">
        <v>1.0</v>
      </c>
      <c r="BJ251" s="2" t="s">
        <v>5940</v>
      </c>
      <c r="BK251" s="2" t="s">
        <v>3993</v>
      </c>
      <c r="BL251" s="2" t="s">
        <v>5941</v>
      </c>
      <c r="BM251" s="2" t="s">
        <v>8923</v>
      </c>
      <c r="BN251" s="2" t="s">
        <v>3635</v>
      </c>
      <c r="BO251" s="2" t="s">
        <v>4115</v>
      </c>
      <c r="BP251" s="2" t="s">
        <v>3635</v>
      </c>
      <c r="BQ251" s="2" t="s">
        <v>3635</v>
      </c>
      <c r="BR251" s="2" t="s">
        <v>3662</v>
      </c>
      <c r="BS251" s="2" t="s">
        <v>8924</v>
      </c>
      <c r="BT251" s="2" t="str">
        <f>HYPERLINK("https%3A%2F%2Fwww.webofscience.com%2Fwos%2Fwoscc%2Ffull-record%2FWOS:001179006700102","View Full Record in Web of Science")</f>
        <v>View Full Record in Web of Science</v>
      </c>
    </row>
    <row r="252" ht="15.75" customHeight="1">
      <c r="A252" s="2" t="s">
        <v>3633</v>
      </c>
      <c r="B252" s="2" t="s">
        <v>8925</v>
      </c>
      <c r="C252" s="2" t="s">
        <v>3635</v>
      </c>
      <c r="D252" s="2" t="s">
        <v>3635</v>
      </c>
      <c r="E252" s="2" t="s">
        <v>3635</v>
      </c>
      <c r="F252" s="2" t="s">
        <v>8926</v>
      </c>
      <c r="G252" s="2" t="s">
        <v>3635</v>
      </c>
      <c r="H252" s="2" t="s">
        <v>3635</v>
      </c>
      <c r="I252" s="2" t="s">
        <v>8927</v>
      </c>
      <c r="J252" s="2" t="s">
        <v>8928</v>
      </c>
      <c r="K252" s="2" t="s">
        <v>3635</v>
      </c>
      <c r="L252" s="2" t="s">
        <v>3635</v>
      </c>
      <c r="M252" s="2" t="s">
        <v>3638</v>
      </c>
      <c r="N252" s="2" t="s">
        <v>21</v>
      </c>
      <c r="O252" s="2" t="s">
        <v>3635</v>
      </c>
      <c r="P252" s="2" t="s">
        <v>3635</v>
      </c>
      <c r="Q252" s="2" t="s">
        <v>3635</v>
      </c>
      <c r="R252" s="2" t="s">
        <v>3635</v>
      </c>
      <c r="S252" s="2" t="s">
        <v>3635</v>
      </c>
      <c r="T252" s="2" t="s">
        <v>8929</v>
      </c>
      <c r="U252" s="2" t="s">
        <v>8930</v>
      </c>
      <c r="V252" s="2" t="s">
        <v>8931</v>
      </c>
      <c r="W252" s="2" t="s">
        <v>8932</v>
      </c>
      <c r="X252" s="2" t="s">
        <v>8933</v>
      </c>
      <c r="Y252" s="2" t="s">
        <v>8934</v>
      </c>
      <c r="Z252" s="2" t="s">
        <v>8935</v>
      </c>
      <c r="AA252" s="2" t="s">
        <v>8936</v>
      </c>
      <c r="AB252" s="2" t="s">
        <v>8937</v>
      </c>
      <c r="AC252" s="2" t="s">
        <v>3635</v>
      </c>
      <c r="AD252" s="2" t="s">
        <v>3635</v>
      </c>
      <c r="AE252" s="2" t="s">
        <v>3635</v>
      </c>
      <c r="AF252" s="2" t="s">
        <v>3635</v>
      </c>
      <c r="AG252" s="2">
        <v>42.0</v>
      </c>
      <c r="AH252" s="2">
        <v>41.0</v>
      </c>
      <c r="AI252" s="2">
        <v>42.0</v>
      </c>
      <c r="AJ252" s="2">
        <v>2.0</v>
      </c>
      <c r="AK252" s="2">
        <v>13.0</v>
      </c>
      <c r="AL252" s="2" t="s">
        <v>3709</v>
      </c>
      <c r="AM252" s="2" t="s">
        <v>3710</v>
      </c>
      <c r="AN252" s="2" t="s">
        <v>3711</v>
      </c>
      <c r="AO252" s="2" t="s">
        <v>8938</v>
      </c>
      <c r="AP252" s="2" t="s">
        <v>8939</v>
      </c>
      <c r="AQ252" s="2" t="s">
        <v>3635</v>
      </c>
      <c r="AR252" s="2" t="s">
        <v>8928</v>
      </c>
      <c r="AS252" s="2" t="s">
        <v>8940</v>
      </c>
      <c r="AT252" s="2" t="s">
        <v>5143</v>
      </c>
      <c r="AU252" s="2">
        <v>2018.0</v>
      </c>
      <c r="AV252" s="2">
        <v>38.0</v>
      </c>
      <c r="AW252" s="2">
        <v>10.0</v>
      </c>
      <c r="AX252" s="2" t="s">
        <v>3635</v>
      </c>
      <c r="AY252" s="2" t="s">
        <v>3635</v>
      </c>
      <c r="AZ252" s="2" t="s">
        <v>3635</v>
      </c>
      <c r="BA252" s="2" t="s">
        <v>3635</v>
      </c>
      <c r="BB252" s="2">
        <v>1010.0</v>
      </c>
      <c r="BC252" s="2">
        <v>1020.0</v>
      </c>
      <c r="BD252" s="2" t="s">
        <v>3635</v>
      </c>
      <c r="BE252" s="2" t="s">
        <v>8941</v>
      </c>
      <c r="BF252" s="3" t="str">
        <f>HYPERLINK("http://dx.doi.org/10.1002/phar.2170","http://dx.doi.org/10.1002/phar.2170")</f>
        <v>http://dx.doi.org/10.1002/phar.2170</v>
      </c>
      <c r="BG252" s="2" t="s">
        <v>3635</v>
      </c>
      <c r="BH252" s="2" t="s">
        <v>3635</v>
      </c>
      <c r="BI252" s="2">
        <v>11.0</v>
      </c>
      <c r="BJ252" s="2" t="s">
        <v>5390</v>
      </c>
      <c r="BK252" s="2" t="s">
        <v>4378</v>
      </c>
      <c r="BL252" s="2" t="s">
        <v>5390</v>
      </c>
      <c r="BM252" s="2" t="s">
        <v>8942</v>
      </c>
      <c r="BN252" s="2">
        <v>3.0098211E7</v>
      </c>
      <c r="BO252" s="2" t="s">
        <v>4141</v>
      </c>
      <c r="BP252" s="2" t="s">
        <v>3635</v>
      </c>
      <c r="BQ252" s="2" t="s">
        <v>3635</v>
      </c>
      <c r="BR252" s="2" t="s">
        <v>3662</v>
      </c>
      <c r="BS252" s="2" t="s">
        <v>8943</v>
      </c>
      <c r="BT252" s="2" t="str">
        <f>HYPERLINK("https%3A%2F%2Fwww.webofscience.com%2Fwos%2Fwoscc%2Ffull-record%2FWOS:000446565000003","View Full Record in Web of Science")</f>
        <v>View Full Record in Web of Science</v>
      </c>
    </row>
    <row r="253" ht="15.75" customHeight="1">
      <c r="A253" s="2" t="s">
        <v>3633</v>
      </c>
      <c r="B253" s="2" t="s">
        <v>8944</v>
      </c>
      <c r="C253" s="2" t="s">
        <v>3635</v>
      </c>
      <c r="D253" s="2" t="s">
        <v>3635</v>
      </c>
      <c r="E253" s="2" t="s">
        <v>3635</v>
      </c>
      <c r="F253" s="2" t="s">
        <v>8945</v>
      </c>
      <c r="G253" s="2" t="s">
        <v>3635</v>
      </c>
      <c r="H253" s="2" t="s">
        <v>3635</v>
      </c>
      <c r="I253" s="2" t="s">
        <v>8946</v>
      </c>
      <c r="J253" s="2" t="s">
        <v>6416</v>
      </c>
      <c r="K253" s="2" t="s">
        <v>3635</v>
      </c>
      <c r="L253" s="2" t="s">
        <v>3635</v>
      </c>
      <c r="M253" s="2" t="s">
        <v>3638</v>
      </c>
      <c r="N253" s="2" t="s">
        <v>4207</v>
      </c>
      <c r="O253" s="2" t="s">
        <v>3635</v>
      </c>
      <c r="P253" s="2" t="s">
        <v>3635</v>
      </c>
      <c r="Q253" s="2" t="s">
        <v>3635</v>
      </c>
      <c r="R253" s="2" t="s">
        <v>3635</v>
      </c>
      <c r="S253" s="2" t="s">
        <v>3635</v>
      </c>
      <c r="T253" s="2" t="s">
        <v>8947</v>
      </c>
      <c r="U253" s="2" t="s">
        <v>3635</v>
      </c>
      <c r="V253" s="2" t="s">
        <v>8948</v>
      </c>
      <c r="W253" s="2" t="s">
        <v>8949</v>
      </c>
      <c r="X253" s="2" t="s">
        <v>8950</v>
      </c>
      <c r="Y253" s="2" t="s">
        <v>8951</v>
      </c>
      <c r="Z253" s="2" t="s">
        <v>8952</v>
      </c>
      <c r="AA253" s="2" t="s">
        <v>8953</v>
      </c>
      <c r="AB253" s="2" t="s">
        <v>8954</v>
      </c>
      <c r="AC253" s="2" t="s">
        <v>8955</v>
      </c>
      <c r="AD253" s="2" t="s">
        <v>8956</v>
      </c>
      <c r="AE253" s="2" t="s">
        <v>8957</v>
      </c>
      <c r="AF253" s="2" t="s">
        <v>3635</v>
      </c>
      <c r="AG253" s="2">
        <v>34.0</v>
      </c>
      <c r="AH253" s="2">
        <v>14.0</v>
      </c>
      <c r="AI253" s="2">
        <v>14.0</v>
      </c>
      <c r="AJ253" s="2">
        <v>4.0</v>
      </c>
      <c r="AK253" s="2">
        <v>8.0</v>
      </c>
      <c r="AL253" s="2" t="s">
        <v>6154</v>
      </c>
      <c r="AM253" s="2" t="s">
        <v>6429</v>
      </c>
      <c r="AN253" s="2" t="s">
        <v>6430</v>
      </c>
      <c r="AO253" s="2" t="s">
        <v>6431</v>
      </c>
      <c r="AP253" s="2" t="s">
        <v>6432</v>
      </c>
      <c r="AQ253" s="2" t="s">
        <v>3635</v>
      </c>
      <c r="AR253" s="2" t="s">
        <v>6433</v>
      </c>
      <c r="AS253" s="2" t="s">
        <v>6434</v>
      </c>
      <c r="AT253" s="2" t="s">
        <v>3716</v>
      </c>
      <c r="AU253" s="2">
        <v>2021.0</v>
      </c>
      <c r="AV253" s="2">
        <v>26.0</v>
      </c>
      <c r="AW253" s="2">
        <v>5.0</v>
      </c>
      <c r="AX253" s="2" t="s">
        <v>3635</v>
      </c>
      <c r="AY253" s="2" t="s">
        <v>3635</v>
      </c>
      <c r="AZ253" s="2" t="s">
        <v>3635</v>
      </c>
      <c r="BA253" s="2" t="s">
        <v>3635</v>
      </c>
      <c r="BB253" s="2" t="s">
        <v>3635</v>
      </c>
      <c r="BC253" s="2" t="s">
        <v>3635</v>
      </c>
      <c r="BD253" s="2">
        <v>96.0</v>
      </c>
      <c r="BE253" s="2" t="s">
        <v>394</v>
      </c>
      <c r="BF253" s="3" t="str">
        <f>HYPERLINK("http://dx.doi.org/10.1007/s10664-021-09997-x","http://dx.doi.org/10.1007/s10664-021-09997-x")</f>
        <v>http://dx.doi.org/10.1007/s10664-021-09997-x</v>
      </c>
      <c r="BG253" s="2" t="s">
        <v>3635</v>
      </c>
      <c r="BH253" s="2" t="s">
        <v>3635</v>
      </c>
      <c r="BI253" s="2">
        <v>32.0</v>
      </c>
      <c r="BJ253" s="2" t="s">
        <v>3657</v>
      </c>
      <c r="BK253" s="2" t="s">
        <v>3658</v>
      </c>
      <c r="BL253" s="2" t="s">
        <v>3659</v>
      </c>
      <c r="BM253" s="2" t="s">
        <v>8958</v>
      </c>
      <c r="BN253" s="2" t="s">
        <v>3635</v>
      </c>
      <c r="BO253" s="2" t="s">
        <v>4519</v>
      </c>
      <c r="BP253" s="2" t="s">
        <v>3635</v>
      </c>
      <c r="BQ253" s="2" t="s">
        <v>3635</v>
      </c>
      <c r="BR253" s="2" t="s">
        <v>3662</v>
      </c>
      <c r="BS253" s="2" t="s">
        <v>8959</v>
      </c>
      <c r="BT253" s="2" t="str">
        <f>HYPERLINK("https%3A%2F%2Fwww.webofscience.com%2Fwos%2Fwoscc%2Ffull-record%2FWOS:000691590700004","View Full Record in Web of Science")</f>
        <v>View Full Record in Web of Science</v>
      </c>
    </row>
    <row r="254" ht="15.75" customHeight="1">
      <c r="A254" s="2" t="s">
        <v>3633</v>
      </c>
      <c r="B254" s="2" t="s">
        <v>8960</v>
      </c>
      <c r="C254" s="2" t="s">
        <v>3635</v>
      </c>
      <c r="D254" s="2" t="s">
        <v>3635</v>
      </c>
      <c r="E254" s="2" t="s">
        <v>3635</v>
      </c>
      <c r="F254" s="2" t="s">
        <v>8961</v>
      </c>
      <c r="G254" s="2" t="s">
        <v>3635</v>
      </c>
      <c r="H254" s="2" t="s">
        <v>3635</v>
      </c>
      <c r="I254" s="2" t="s">
        <v>8962</v>
      </c>
      <c r="J254" s="2" t="s">
        <v>8963</v>
      </c>
      <c r="K254" s="2" t="s">
        <v>3635</v>
      </c>
      <c r="L254" s="2" t="s">
        <v>3635</v>
      </c>
      <c r="M254" s="2" t="s">
        <v>3638</v>
      </c>
      <c r="N254" s="2" t="s">
        <v>21</v>
      </c>
      <c r="O254" s="2" t="s">
        <v>3635</v>
      </c>
      <c r="P254" s="2" t="s">
        <v>3635</v>
      </c>
      <c r="Q254" s="2" t="s">
        <v>3635</v>
      </c>
      <c r="R254" s="2" t="s">
        <v>3635</v>
      </c>
      <c r="S254" s="2" t="s">
        <v>3635</v>
      </c>
      <c r="T254" s="2" t="s">
        <v>8964</v>
      </c>
      <c r="U254" s="2" t="s">
        <v>8965</v>
      </c>
      <c r="V254" s="2" t="s">
        <v>8966</v>
      </c>
      <c r="W254" s="2" t="s">
        <v>8967</v>
      </c>
      <c r="X254" s="2" t="s">
        <v>8968</v>
      </c>
      <c r="Y254" s="2" t="s">
        <v>8969</v>
      </c>
      <c r="Z254" s="2" t="s">
        <v>8970</v>
      </c>
      <c r="AA254" s="2" t="s">
        <v>3635</v>
      </c>
      <c r="AB254" s="2" t="s">
        <v>3635</v>
      </c>
      <c r="AC254" s="2" t="s">
        <v>3635</v>
      </c>
      <c r="AD254" s="2" t="s">
        <v>3635</v>
      </c>
      <c r="AE254" s="2" t="s">
        <v>3635</v>
      </c>
      <c r="AF254" s="2" t="s">
        <v>3635</v>
      </c>
      <c r="AG254" s="2">
        <v>48.0</v>
      </c>
      <c r="AH254" s="2">
        <v>3.0</v>
      </c>
      <c r="AI254" s="2">
        <v>3.0</v>
      </c>
      <c r="AJ254" s="2">
        <v>0.0</v>
      </c>
      <c r="AK254" s="2">
        <v>3.0</v>
      </c>
      <c r="AL254" s="2" t="s">
        <v>4667</v>
      </c>
      <c r="AM254" s="2" t="s">
        <v>4668</v>
      </c>
      <c r="AN254" s="2" t="s">
        <v>4669</v>
      </c>
      <c r="AO254" s="2" t="s">
        <v>8971</v>
      </c>
      <c r="AP254" s="2" t="s">
        <v>8972</v>
      </c>
      <c r="AQ254" s="2" t="s">
        <v>3635</v>
      </c>
      <c r="AR254" s="2" t="s">
        <v>8973</v>
      </c>
      <c r="AS254" s="2" t="s">
        <v>8974</v>
      </c>
      <c r="AT254" s="2" t="s">
        <v>4984</v>
      </c>
      <c r="AU254" s="2">
        <v>2016.0</v>
      </c>
      <c r="AV254" s="2">
        <v>7.0</v>
      </c>
      <c r="AW254" s="2">
        <v>3.0</v>
      </c>
      <c r="AX254" s="2" t="s">
        <v>3635</v>
      </c>
      <c r="AY254" s="2" t="s">
        <v>3635</v>
      </c>
      <c r="AZ254" s="2" t="s">
        <v>3635</v>
      </c>
      <c r="BA254" s="2" t="s">
        <v>3635</v>
      </c>
      <c r="BB254" s="2">
        <v>94.0</v>
      </c>
      <c r="BC254" s="2">
        <v>101.0</v>
      </c>
      <c r="BD254" s="2" t="s">
        <v>3635</v>
      </c>
      <c r="BE254" s="2" t="s">
        <v>8975</v>
      </c>
      <c r="BF254" s="3" t="str">
        <f>HYPERLINK("http://dx.doi.org/10.1177/2042098616647955","http://dx.doi.org/10.1177/2042098616647955")</f>
        <v>http://dx.doi.org/10.1177/2042098616647955</v>
      </c>
      <c r="BG254" s="2" t="s">
        <v>3635</v>
      </c>
      <c r="BH254" s="2" t="s">
        <v>3635</v>
      </c>
      <c r="BI254" s="2">
        <v>8.0</v>
      </c>
      <c r="BJ254" s="2" t="s">
        <v>5390</v>
      </c>
      <c r="BK254" s="2" t="s">
        <v>3993</v>
      </c>
      <c r="BL254" s="2" t="s">
        <v>5390</v>
      </c>
      <c r="BM254" s="2" t="s">
        <v>8976</v>
      </c>
      <c r="BN254" s="2">
        <v>2.729872E7</v>
      </c>
      <c r="BO254" s="2" t="s">
        <v>3923</v>
      </c>
      <c r="BP254" s="2" t="s">
        <v>3635</v>
      </c>
      <c r="BQ254" s="2" t="s">
        <v>3635</v>
      </c>
      <c r="BR254" s="2" t="s">
        <v>3662</v>
      </c>
      <c r="BS254" s="2" t="s">
        <v>8977</v>
      </c>
      <c r="BT254" s="2" t="str">
        <f>HYPERLINK("https%3A%2F%2Fwww.webofscience.com%2Fwos%2Fwoscc%2Ffull-record%2FWOS:000443648900004","View Full Record in Web of Science")</f>
        <v>View Full Record in Web of Science</v>
      </c>
    </row>
    <row r="255" ht="15.75" customHeight="1">
      <c r="A255" s="2" t="s">
        <v>3664</v>
      </c>
      <c r="B255" s="2" t="s">
        <v>8978</v>
      </c>
      <c r="C255" s="2" t="s">
        <v>3635</v>
      </c>
      <c r="D255" s="2" t="s">
        <v>8979</v>
      </c>
      <c r="E255" s="2" t="s">
        <v>3635</v>
      </c>
      <c r="F255" s="2" t="s">
        <v>8980</v>
      </c>
      <c r="G255" s="2" t="s">
        <v>3635</v>
      </c>
      <c r="H255" s="2" t="s">
        <v>3635</v>
      </c>
      <c r="I255" s="2" t="s">
        <v>8981</v>
      </c>
      <c r="J255" s="2" t="s">
        <v>8982</v>
      </c>
      <c r="K255" s="2" t="s">
        <v>1172</v>
      </c>
      <c r="L255" s="2" t="s">
        <v>3635</v>
      </c>
      <c r="M255" s="2" t="s">
        <v>3638</v>
      </c>
      <c r="N255" s="2" t="s">
        <v>3669</v>
      </c>
      <c r="O255" s="2" t="s">
        <v>8983</v>
      </c>
      <c r="P255" s="2" t="s">
        <v>8984</v>
      </c>
      <c r="Q255" s="2" t="s">
        <v>8985</v>
      </c>
      <c r="R255" s="2" t="s">
        <v>8986</v>
      </c>
      <c r="S255" s="2" t="s">
        <v>8987</v>
      </c>
      <c r="T255" s="2" t="s">
        <v>8988</v>
      </c>
      <c r="U255" s="2" t="s">
        <v>8989</v>
      </c>
      <c r="V255" s="2" t="s">
        <v>8990</v>
      </c>
      <c r="W255" s="2" t="s">
        <v>8991</v>
      </c>
      <c r="X255" s="2" t="s">
        <v>8992</v>
      </c>
      <c r="Y255" s="2" t="s">
        <v>8993</v>
      </c>
      <c r="Z255" s="2" t="s">
        <v>8994</v>
      </c>
      <c r="AA255" s="2" t="s">
        <v>3635</v>
      </c>
      <c r="AB255" s="2" t="s">
        <v>3635</v>
      </c>
      <c r="AC255" s="2" t="s">
        <v>3635</v>
      </c>
      <c r="AD255" s="2" t="s">
        <v>3635</v>
      </c>
      <c r="AE255" s="2" t="s">
        <v>3635</v>
      </c>
      <c r="AF255" s="2" t="s">
        <v>3635</v>
      </c>
      <c r="AG255" s="2">
        <v>16.0</v>
      </c>
      <c r="AH255" s="2">
        <v>0.0</v>
      </c>
      <c r="AI255" s="2">
        <v>0.0</v>
      </c>
      <c r="AJ255" s="2">
        <v>0.0</v>
      </c>
      <c r="AK255" s="2">
        <v>3.0</v>
      </c>
      <c r="AL255" s="2" t="s">
        <v>5958</v>
      </c>
      <c r="AM255" s="2" t="s">
        <v>4312</v>
      </c>
      <c r="AN255" s="2" t="s">
        <v>5959</v>
      </c>
      <c r="AO255" s="2" t="s">
        <v>8995</v>
      </c>
      <c r="AP255" s="2" t="s">
        <v>3635</v>
      </c>
      <c r="AQ255" s="2" t="s">
        <v>8996</v>
      </c>
      <c r="AR255" s="2" t="s">
        <v>8997</v>
      </c>
      <c r="AS255" s="2" t="s">
        <v>3635</v>
      </c>
      <c r="AT255" s="2" t="s">
        <v>3635</v>
      </c>
      <c r="AU255" s="2">
        <v>2015.0</v>
      </c>
      <c r="AV255" s="2" t="s">
        <v>3635</v>
      </c>
      <c r="AW255" s="2" t="s">
        <v>3635</v>
      </c>
      <c r="AX255" s="2" t="s">
        <v>3635</v>
      </c>
      <c r="AY255" s="2" t="s">
        <v>3635</v>
      </c>
      <c r="AZ255" s="2" t="s">
        <v>3635</v>
      </c>
      <c r="BA255" s="2" t="s">
        <v>3635</v>
      </c>
      <c r="BB255" s="2">
        <v>1109.0</v>
      </c>
      <c r="BC255" s="2">
        <v>1123.0</v>
      </c>
      <c r="BD255" s="2" t="s">
        <v>3635</v>
      </c>
      <c r="BE255" s="2" t="s">
        <v>1173</v>
      </c>
      <c r="BF255" s="3" t="str">
        <f>HYPERLINK("http://dx.doi.org/10.1007/978-3-319-09507-3_94","http://dx.doi.org/10.1007/978-3-319-09507-3_94")</f>
        <v>http://dx.doi.org/10.1007/978-3-319-09507-3_94</v>
      </c>
      <c r="BG255" s="2" t="s">
        <v>3635</v>
      </c>
      <c r="BH255" s="2" t="s">
        <v>3635</v>
      </c>
      <c r="BI255" s="2">
        <v>15.0</v>
      </c>
      <c r="BJ255" s="2" t="s">
        <v>8998</v>
      </c>
      <c r="BK255" s="2" t="s">
        <v>3692</v>
      </c>
      <c r="BL255" s="2" t="s">
        <v>8998</v>
      </c>
      <c r="BM255" s="2" t="s">
        <v>8999</v>
      </c>
      <c r="BN255" s="2" t="s">
        <v>3635</v>
      </c>
      <c r="BO255" s="2" t="s">
        <v>3635</v>
      </c>
      <c r="BP255" s="2" t="s">
        <v>3635</v>
      </c>
      <c r="BQ255" s="2" t="s">
        <v>3635</v>
      </c>
      <c r="BR255" s="2" t="s">
        <v>3662</v>
      </c>
      <c r="BS255" s="2" t="s">
        <v>9000</v>
      </c>
      <c r="BT255" s="2" t="str">
        <f>HYPERLINK("https%3A%2F%2Fwww.webofscience.com%2Fwos%2Fwoscc%2Ffull-record%2FWOS:000357494200094","View Full Record in Web of Science")</f>
        <v>View Full Record in Web of Science</v>
      </c>
    </row>
    <row r="256" ht="15.75" customHeight="1">
      <c r="A256" s="2" t="s">
        <v>3633</v>
      </c>
      <c r="B256" s="2" t="s">
        <v>9001</v>
      </c>
      <c r="C256" s="2" t="s">
        <v>3635</v>
      </c>
      <c r="D256" s="2" t="s">
        <v>3635</v>
      </c>
      <c r="E256" s="2" t="s">
        <v>3635</v>
      </c>
      <c r="F256" s="2" t="s">
        <v>9002</v>
      </c>
      <c r="G256" s="2" t="s">
        <v>3635</v>
      </c>
      <c r="H256" s="2" t="s">
        <v>3635</v>
      </c>
      <c r="I256" s="2" t="s">
        <v>9003</v>
      </c>
      <c r="J256" s="2" t="s">
        <v>9004</v>
      </c>
      <c r="K256" s="2" t="s">
        <v>3635</v>
      </c>
      <c r="L256" s="2" t="s">
        <v>3635</v>
      </c>
      <c r="M256" s="2" t="s">
        <v>3638</v>
      </c>
      <c r="N256" s="2" t="s">
        <v>21</v>
      </c>
      <c r="O256" s="2" t="s">
        <v>3635</v>
      </c>
      <c r="P256" s="2" t="s">
        <v>3635</v>
      </c>
      <c r="Q256" s="2" t="s">
        <v>3635</v>
      </c>
      <c r="R256" s="2" t="s">
        <v>3635</v>
      </c>
      <c r="S256" s="2" t="s">
        <v>3635</v>
      </c>
      <c r="T256" s="2" t="s">
        <v>3635</v>
      </c>
      <c r="U256" s="2" t="s">
        <v>9005</v>
      </c>
      <c r="V256" s="2" t="s">
        <v>9006</v>
      </c>
      <c r="W256" s="2" t="s">
        <v>9007</v>
      </c>
      <c r="X256" s="2" t="s">
        <v>9008</v>
      </c>
      <c r="Y256" s="2" t="s">
        <v>9009</v>
      </c>
      <c r="Z256" s="2" t="s">
        <v>9010</v>
      </c>
      <c r="AA256" s="2" t="s">
        <v>3635</v>
      </c>
      <c r="AB256" s="2" t="s">
        <v>9011</v>
      </c>
      <c r="AC256" s="2" t="s">
        <v>9012</v>
      </c>
      <c r="AD256" s="2" t="s">
        <v>9013</v>
      </c>
      <c r="AE256" s="2" t="s">
        <v>9014</v>
      </c>
      <c r="AF256" s="2" t="s">
        <v>3635</v>
      </c>
      <c r="AG256" s="2">
        <v>66.0</v>
      </c>
      <c r="AH256" s="2">
        <v>13.0</v>
      </c>
      <c r="AI256" s="2">
        <v>14.0</v>
      </c>
      <c r="AJ256" s="2">
        <v>1.0</v>
      </c>
      <c r="AK256" s="2">
        <v>7.0</v>
      </c>
      <c r="AL256" s="2" t="s">
        <v>8461</v>
      </c>
      <c r="AM256" s="2" t="s">
        <v>8462</v>
      </c>
      <c r="AN256" s="2" t="s">
        <v>8463</v>
      </c>
      <c r="AO256" s="2" t="s">
        <v>9015</v>
      </c>
      <c r="AP256" s="2" t="s">
        <v>3635</v>
      </c>
      <c r="AQ256" s="2" t="s">
        <v>3635</v>
      </c>
      <c r="AR256" s="2" t="s">
        <v>9016</v>
      </c>
      <c r="AS256" s="2" t="s">
        <v>9017</v>
      </c>
      <c r="AT256" s="2" t="s">
        <v>3953</v>
      </c>
      <c r="AU256" s="2">
        <v>2020.0</v>
      </c>
      <c r="AV256" s="2">
        <v>16.0</v>
      </c>
      <c r="AW256" s="2">
        <v>11.0</v>
      </c>
      <c r="AX256" s="2" t="s">
        <v>3635</v>
      </c>
      <c r="AY256" s="2" t="s">
        <v>3635</v>
      </c>
      <c r="AZ256" s="2" t="s">
        <v>3635</v>
      </c>
      <c r="BA256" s="2" t="s">
        <v>3635</v>
      </c>
      <c r="BB256" s="2" t="s">
        <v>3635</v>
      </c>
      <c r="BC256" s="2" t="s">
        <v>3635</v>
      </c>
      <c r="BD256" s="2" t="s">
        <v>9018</v>
      </c>
      <c r="BE256" s="2" t="s">
        <v>9019</v>
      </c>
      <c r="BF256" s="3" t="str">
        <f>HYPERLINK("http://dx.doi.org/10.1371/journal.pgen.1009105","http://dx.doi.org/10.1371/journal.pgen.1009105")</f>
        <v>http://dx.doi.org/10.1371/journal.pgen.1009105</v>
      </c>
      <c r="BG256" s="2" t="s">
        <v>3635</v>
      </c>
      <c r="BH256" s="2" t="s">
        <v>3635</v>
      </c>
      <c r="BI256" s="2">
        <v>30.0</v>
      </c>
      <c r="BJ256" s="2" t="s">
        <v>6838</v>
      </c>
      <c r="BK256" s="2" t="s">
        <v>3658</v>
      </c>
      <c r="BL256" s="2" t="s">
        <v>6838</v>
      </c>
      <c r="BM256" s="2" t="s">
        <v>9020</v>
      </c>
      <c r="BN256" s="2">
        <v>3.313712E7</v>
      </c>
      <c r="BO256" s="2" t="s">
        <v>5943</v>
      </c>
      <c r="BP256" s="2" t="s">
        <v>3635</v>
      </c>
      <c r="BQ256" s="2" t="s">
        <v>3635</v>
      </c>
      <c r="BR256" s="2" t="s">
        <v>3662</v>
      </c>
      <c r="BS256" s="2" t="s">
        <v>9021</v>
      </c>
      <c r="BT256" s="2" t="str">
        <f>HYPERLINK("https%3A%2F%2Fwww.webofscience.com%2Fwos%2Fwoscc%2Ffull-record%2FWOS:000588362700002","View Full Record in Web of Science")</f>
        <v>View Full Record in Web of Science</v>
      </c>
    </row>
    <row r="257" ht="15.75" customHeight="1">
      <c r="A257" s="2" t="s">
        <v>3633</v>
      </c>
      <c r="B257" s="2" t="s">
        <v>9022</v>
      </c>
      <c r="C257" s="2" t="s">
        <v>3635</v>
      </c>
      <c r="D257" s="2" t="s">
        <v>3635</v>
      </c>
      <c r="E257" s="2" t="s">
        <v>3635</v>
      </c>
      <c r="F257" s="2" t="s">
        <v>9023</v>
      </c>
      <c r="G257" s="2" t="s">
        <v>3635</v>
      </c>
      <c r="H257" s="2" t="s">
        <v>3635</v>
      </c>
      <c r="I257" s="2" t="s">
        <v>732</v>
      </c>
      <c r="J257" s="2" t="s">
        <v>9024</v>
      </c>
      <c r="K257" s="2" t="s">
        <v>3635</v>
      </c>
      <c r="L257" s="2" t="s">
        <v>3635</v>
      </c>
      <c r="M257" s="2" t="s">
        <v>3638</v>
      </c>
      <c r="N257" s="2" t="s">
        <v>21</v>
      </c>
      <c r="O257" s="2" t="s">
        <v>3635</v>
      </c>
      <c r="P257" s="2" t="s">
        <v>3635</v>
      </c>
      <c r="Q257" s="2" t="s">
        <v>3635</v>
      </c>
      <c r="R257" s="2" t="s">
        <v>3635</v>
      </c>
      <c r="S257" s="2" t="s">
        <v>3635</v>
      </c>
      <c r="T257" s="2" t="s">
        <v>3635</v>
      </c>
      <c r="U257" s="2" t="s">
        <v>9025</v>
      </c>
      <c r="V257" s="2" t="s">
        <v>9026</v>
      </c>
      <c r="W257" s="2" t="s">
        <v>9027</v>
      </c>
      <c r="X257" s="2" t="s">
        <v>9028</v>
      </c>
      <c r="Y257" s="2" t="s">
        <v>9029</v>
      </c>
      <c r="Z257" s="2" t="s">
        <v>9030</v>
      </c>
      <c r="AA257" s="2" t="s">
        <v>3635</v>
      </c>
      <c r="AB257" s="2" t="s">
        <v>9031</v>
      </c>
      <c r="AC257" s="2" t="s">
        <v>9032</v>
      </c>
      <c r="AD257" s="2" t="s">
        <v>9033</v>
      </c>
      <c r="AE257" s="2" t="s">
        <v>9034</v>
      </c>
      <c r="AF257" s="2" t="s">
        <v>3635</v>
      </c>
      <c r="AG257" s="2">
        <v>90.0</v>
      </c>
      <c r="AH257" s="2">
        <v>14.0</v>
      </c>
      <c r="AI257" s="2">
        <v>16.0</v>
      </c>
      <c r="AJ257" s="2">
        <v>0.0</v>
      </c>
      <c r="AK257" s="2">
        <v>10.0</v>
      </c>
      <c r="AL257" s="2" t="s">
        <v>8461</v>
      </c>
      <c r="AM257" s="2" t="s">
        <v>8462</v>
      </c>
      <c r="AN257" s="2" t="s">
        <v>8463</v>
      </c>
      <c r="AO257" s="2" t="s">
        <v>9035</v>
      </c>
      <c r="AP257" s="2" t="s">
        <v>9036</v>
      </c>
      <c r="AQ257" s="2" t="s">
        <v>3635</v>
      </c>
      <c r="AR257" s="2" t="s">
        <v>9037</v>
      </c>
      <c r="AS257" s="2" t="s">
        <v>9038</v>
      </c>
      <c r="AT257" s="2" t="s">
        <v>3656</v>
      </c>
      <c r="AU257" s="2">
        <v>2021.0</v>
      </c>
      <c r="AV257" s="2">
        <v>17.0</v>
      </c>
      <c r="AW257" s="2">
        <v>1.0</v>
      </c>
      <c r="AX257" s="2" t="s">
        <v>3635</v>
      </c>
      <c r="AY257" s="2" t="s">
        <v>3635</v>
      </c>
      <c r="AZ257" s="2" t="s">
        <v>3635</v>
      </c>
      <c r="BA257" s="2" t="s">
        <v>3635</v>
      </c>
      <c r="BB257" s="2" t="s">
        <v>3635</v>
      </c>
      <c r="BC257" s="2" t="s">
        <v>3635</v>
      </c>
      <c r="BD257" s="2" t="s">
        <v>9039</v>
      </c>
      <c r="BE257" s="2" t="s">
        <v>9040</v>
      </c>
      <c r="BF257" s="3" t="str">
        <f>HYPERLINK("http://dx.doi.org/10.1371/journal.pcbi.1008223","http://dx.doi.org/10.1371/journal.pcbi.1008223")</f>
        <v>http://dx.doi.org/10.1371/journal.pcbi.1008223</v>
      </c>
      <c r="BG257" s="2" t="s">
        <v>3635</v>
      </c>
      <c r="BH257" s="2" t="s">
        <v>3635</v>
      </c>
      <c r="BI257" s="2">
        <v>28.0</v>
      </c>
      <c r="BJ257" s="2" t="s">
        <v>9041</v>
      </c>
      <c r="BK257" s="2" t="s">
        <v>3658</v>
      </c>
      <c r="BL257" s="2" t="s">
        <v>9042</v>
      </c>
      <c r="BM257" s="2" t="s">
        <v>9043</v>
      </c>
      <c r="BN257" s="2">
        <v>3.3513136E7</v>
      </c>
      <c r="BO257" s="2" t="s">
        <v>5943</v>
      </c>
      <c r="BP257" s="2" t="s">
        <v>3635</v>
      </c>
      <c r="BQ257" s="2" t="s">
        <v>3635</v>
      </c>
      <c r="BR257" s="2" t="s">
        <v>3662</v>
      </c>
      <c r="BS257" s="2" t="s">
        <v>9044</v>
      </c>
      <c r="BT257" s="2" t="str">
        <f>HYPERLINK("https%3A%2F%2Fwww.webofscience.com%2Fwos%2Fwoscc%2Ffull-record%2FWOS:000613893600001","View Full Record in Web of Science")</f>
        <v>View Full Record in Web of Science</v>
      </c>
    </row>
    <row r="258" ht="15.75" customHeight="1">
      <c r="A258" s="2" t="s">
        <v>3633</v>
      </c>
      <c r="B258" s="2" t="s">
        <v>9045</v>
      </c>
      <c r="C258" s="2" t="s">
        <v>3635</v>
      </c>
      <c r="D258" s="2" t="s">
        <v>3635</v>
      </c>
      <c r="E258" s="2" t="s">
        <v>3635</v>
      </c>
      <c r="F258" s="2" t="s">
        <v>9046</v>
      </c>
      <c r="G258" s="2" t="s">
        <v>3635</v>
      </c>
      <c r="H258" s="2" t="s">
        <v>3635</v>
      </c>
      <c r="I258" s="2" t="s">
        <v>1277</v>
      </c>
      <c r="J258" s="2" t="s">
        <v>9047</v>
      </c>
      <c r="K258" s="2" t="s">
        <v>3635</v>
      </c>
      <c r="L258" s="2" t="s">
        <v>3635</v>
      </c>
      <c r="M258" s="2" t="s">
        <v>3638</v>
      </c>
      <c r="N258" s="2" t="s">
        <v>21</v>
      </c>
      <c r="O258" s="2" t="s">
        <v>3635</v>
      </c>
      <c r="P258" s="2" t="s">
        <v>3635</v>
      </c>
      <c r="Q258" s="2" t="s">
        <v>3635</v>
      </c>
      <c r="R258" s="2" t="s">
        <v>3635</v>
      </c>
      <c r="S258" s="2" t="s">
        <v>3635</v>
      </c>
      <c r="T258" s="2" t="s">
        <v>9048</v>
      </c>
      <c r="U258" s="2" t="s">
        <v>9049</v>
      </c>
      <c r="V258" s="2" t="s">
        <v>9050</v>
      </c>
      <c r="W258" s="2" t="s">
        <v>9051</v>
      </c>
      <c r="X258" s="2" t="s">
        <v>9052</v>
      </c>
      <c r="Y258" s="2" t="s">
        <v>9053</v>
      </c>
      <c r="Z258" s="2" t="s">
        <v>9054</v>
      </c>
      <c r="AA258" s="2" t="s">
        <v>7031</v>
      </c>
      <c r="AB258" s="2" t="s">
        <v>7032</v>
      </c>
      <c r="AC258" s="2" t="s">
        <v>3635</v>
      </c>
      <c r="AD258" s="2" t="s">
        <v>3635</v>
      </c>
      <c r="AE258" s="2" t="s">
        <v>3635</v>
      </c>
      <c r="AF258" s="2" t="s">
        <v>3635</v>
      </c>
      <c r="AG258" s="2">
        <v>68.0</v>
      </c>
      <c r="AH258" s="2">
        <v>9.0</v>
      </c>
      <c r="AI258" s="2">
        <v>10.0</v>
      </c>
      <c r="AJ258" s="2">
        <v>0.0</v>
      </c>
      <c r="AK258" s="2">
        <v>13.0</v>
      </c>
      <c r="AL258" s="2" t="s">
        <v>9055</v>
      </c>
      <c r="AM258" s="2" t="s">
        <v>3651</v>
      </c>
      <c r="AN258" s="2" t="s">
        <v>6773</v>
      </c>
      <c r="AO258" s="2" t="s">
        <v>9056</v>
      </c>
      <c r="AP258" s="2" t="s">
        <v>9057</v>
      </c>
      <c r="AQ258" s="2" t="s">
        <v>3635</v>
      </c>
      <c r="AR258" s="2" t="s">
        <v>9058</v>
      </c>
      <c r="AS258" s="2" t="s">
        <v>9059</v>
      </c>
      <c r="AT258" s="2" t="s">
        <v>5367</v>
      </c>
      <c r="AU258" s="2">
        <v>2016.0</v>
      </c>
      <c r="AV258" s="2">
        <v>44.0</v>
      </c>
      <c r="AW258" s="2">
        <v>6.0</v>
      </c>
      <c r="AX258" s="2" t="s">
        <v>3635</v>
      </c>
      <c r="AY258" s="2" t="s">
        <v>3635</v>
      </c>
      <c r="AZ258" s="2" t="s">
        <v>3717</v>
      </c>
      <c r="BA258" s="2" t="s">
        <v>3635</v>
      </c>
      <c r="BB258" s="2">
        <v>1200.0</v>
      </c>
      <c r="BC258" s="2">
        <v>1247.0</v>
      </c>
      <c r="BD258" s="2" t="s">
        <v>3635</v>
      </c>
      <c r="BE258" s="2" t="s">
        <v>1280</v>
      </c>
      <c r="BF258" s="3" t="str">
        <f>HYPERLINK("http://dx.doi.org/10.1007/s10766-016-0429-2","http://dx.doi.org/10.1007/s10766-016-0429-2")</f>
        <v>http://dx.doi.org/10.1007/s10766-016-0429-2</v>
      </c>
      <c r="BG258" s="2" t="s">
        <v>3635</v>
      </c>
      <c r="BH258" s="2" t="s">
        <v>3635</v>
      </c>
      <c r="BI258" s="2">
        <v>48.0</v>
      </c>
      <c r="BJ258" s="2" t="s">
        <v>4447</v>
      </c>
      <c r="BK258" s="2" t="s">
        <v>3658</v>
      </c>
      <c r="BL258" s="2" t="s">
        <v>3659</v>
      </c>
      <c r="BM258" s="2" t="s">
        <v>9060</v>
      </c>
      <c r="BN258" s="2" t="s">
        <v>3635</v>
      </c>
      <c r="BO258" s="2" t="s">
        <v>3694</v>
      </c>
      <c r="BP258" s="2" t="s">
        <v>3635</v>
      </c>
      <c r="BQ258" s="2" t="s">
        <v>3635</v>
      </c>
      <c r="BR258" s="2" t="s">
        <v>3662</v>
      </c>
      <c r="BS258" s="2" t="s">
        <v>9061</v>
      </c>
      <c r="BT258" s="2" t="str">
        <f>HYPERLINK("https%3A%2F%2Fwww.webofscience.com%2Fwos%2Fwoscc%2Ffull-record%2FWOS:000382035500006","View Full Record in Web of Science")</f>
        <v>View Full Record in Web of Science</v>
      </c>
    </row>
    <row r="259" ht="15.75" customHeight="1">
      <c r="A259" s="2" t="s">
        <v>3633</v>
      </c>
      <c r="B259" s="2" t="s">
        <v>9062</v>
      </c>
      <c r="C259" s="2" t="s">
        <v>3635</v>
      </c>
      <c r="D259" s="2" t="s">
        <v>3635</v>
      </c>
      <c r="E259" s="2" t="s">
        <v>3635</v>
      </c>
      <c r="F259" s="2" t="s">
        <v>9063</v>
      </c>
      <c r="G259" s="2" t="s">
        <v>3635</v>
      </c>
      <c r="H259" s="2" t="s">
        <v>3635</v>
      </c>
      <c r="I259" s="2" t="s">
        <v>9064</v>
      </c>
      <c r="J259" s="2" t="s">
        <v>9065</v>
      </c>
      <c r="K259" s="2" t="s">
        <v>3635</v>
      </c>
      <c r="L259" s="2" t="s">
        <v>3635</v>
      </c>
      <c r="M259" s="2" t="s">
        <v>3638</v>
      </c>
      <c r="N259" s="2" t="s">
        <v>21</v>
      </c>
      <c r="O259" s="2" t="s">
        <v>3635</v>
      </c>
      <c r="P259" s="2" t="s">
        <v>3635</v>
      </c>
      <c r="Q259" s="2" t="s">
        <v>3635</v>
      </c>
      <c r="R259" s="2" t="s">
        <v>3635</v>
      </c>
      <c r="S259" s="2" t="s">
        <v>3635</v>
      </c>
      <c r="T259" s="2" t="s">
        <v>9066</v>
      </c>
      <c r="U259" s="2" t="s">
        <v>9067</v>
      </c>
      <c r="V259" s="2" t="s">
        <v>9068</v>
      </c>
      <c r="W259" s="2" t="s">
        <v>9069</v>
      </c>
      <c r="X259" s="2" t="s">
        <v>9070</v>
      </c>
      <c r="Y259" s="2" t="s">
        <v>9071</v>
      </c>
      <c r="Z259" s="2" t="s">
        <v>9072</v>
      </c>
      <c r="AA259" s="2" t="s">
        <v>9073</v>
      </c>
      <c r="AB259" s="2" t="s">
        <v>9074</v>
      </c>
      <c r="AC259" s="2" t="s">
        <v>9075</v>
      </c>
      <c r="AD259" s="2" t="s">
        <v>9075</v>
      </c>
      <c r="AE259" s="2" t="s">
        <v>9076</v>
      </c>
      <c r="AF259" s="2" t="s">
        <v>3635</v>
      </c>
      <c r="AG259" s="2">
        <v>105.0</v>
      </c>
      <c r="AH259" s="2">
        <v>1.0</v>
      </c>
      <c r="AI259" s="2">
        <v>1.0</v>
      </c>
      <c r="AJ259" s="2">
        <v>8.0</v>
      </c>
      <c r="AK259" s="2">
        <v>12.0</v>
      </c>
      <c r="AL259" s="2" t="s">
        <v>4644</v>
      </c>
      <c r="AM259" s="2" t="s">
        <v>4645</v>
      </c>
      <c r="AN259" s="2" t="s">
        <v>4646</v>
      </c>
      <c r="AO259" s="2" t="s">
        <v>3635</v>
      </c>
      <c r="AP259" s="2" t="s">
        <v>9077</v>
      </c>
      <c r="AQ259" s="2" t="s">
        <v>3635</v>
      </c>
      <c r="AR259" s="2" t="s">
        <v>9078</v>
      </c>
      <c r="AS259" s="2" t="s">
        <v>9079</v>
      </c>
      <c r="AT259" s="2" t="s">
        <v>3716</v>
      </c>
      <c r="AU259" s="2">
        <v>2023.0</v>
      </c>
      <c r="AV259" s="2">
        <v>15.0</v>
      </c>
      <c r="AW259" s="2">
        <v>17.0</v>
      </c>
      <c r="AX259" s="2" t="s">
        <v>3635</v>
      </c>
      <c r="AY259" s="2" t="s">
        <v>3635</v>
      </c>
      <c r="AZ259" s="2" t="s">
        <v>3635</v>
      </c>
      <c r="BA259" s="2" t="s">
        <v>3635</v>
      </c>
      <c r="BB259" s="2" t="s">
        <v>3635</v>
      </c>
      <c r="BC259" s="2" t="s">
        <v>3635</v>
      </c>
      <c r="BD259" s="2">
        <v>12776.0</v>
      </c>
      <c r="BE259" s="2" t="s">
        <v>427</v>
      </c>
      <c r="BF259" s="3" t="str">
        <f>HYPERLINK("http://dx.doi.org/10.3390/su151712776","http://dx.doi.org/10.3390/su151712776")</f>
        <v>http://dx.doi.org/10.3390/su151712776</v>
      </c>
      <c r="BG259" s="2" t="s">
        <v>3635</v>
      </c>
      <c r="BH259" s="2" t="s">
        <v>3635</v>
      </c>
      <c r="BI259" s="2">
        <v>33.0</v>
      </c>
      <c r="BJ259" s="2" t="s">
        <v>9080</v>
      </c>
      <c r="BK259" s="2" t="s">
        <v>4378</v>
      </c>
      <c r="BL259" s="2" t="s">
        <v>9081</v>
      </c>
      <c r="BM259" s="2" t="s">
        <v>9082</v>
      </c>
      <c r="BN259" s="2" t="s">
        <v>3635</v>
      </c>
      <c r="BO259" s="2" t="s">
        <v>4115</v>
      </c>
      <c r="BP259" s="2" t="s">
        <v>3635</v>
      </c>
      <c r="BQ259" s="2" t="s">
        <v>3635</v>
      </c>
      <c r="BR259" s="2" t="s">
        <v>3662</v>
      </c>
      <c r="BS259" s="2" t="s">
        <v>9083</v>
      </c>
      <c r="BT259" s="2" t="str">
        <f>HYPERLINK("https%3A%2F%2Fwww.webofscience.com%2Fwos%2Fwoscc%2Ffull-record%2FWOS:001060648200001","View Full Record in Web of Science")</f>
        <v>View Full Record in Web of Science</v>
      </c>
    </row>
    <row r="260" ht="15.75" customHeight="1">
      <c r="A260" s="2" t="s">
        <v>3633</v>
      </c>
      <c r="B260" s="2" t="s">
        <v>9084</v>
      </c>
      <c r="C260" s="2" t="s">
        <v>3635</v>
      </c>
      <c r="D260" s="2" t="s">
        <v>3635</v>
      </c>
      <c r="E260" s="2" t="s">
        <v>3635</v>
      </c>
      <c r="F260" s="2" t="s">
        <v>9085</v>
      </c>
      <c r="G260" s="2" t="s">
        <v>3635</v>
      </c>
      <c r="H260" s="2" t="s">
        <v>3635</v>
      </c>
      <c r="I260" s="2" t="s">
        <v>9086</v>
      </c>
      <c r="J260" s="2" t="s">
        <v>7146</v>
      </c>
      <c r="K260" s="2" t="s">
        <v>3635</v>
      </c>
      <c r="L260" s="2" t="s">
        <v>3635</v>
      </c>
      <c r="M260" s="2" t="s">
        <v>3638</v>
      </c>
      <c r="N260" s="2" t="s">
        <v>21</v>
      </c>
      <c r="O260" s="2" t="s">
        <v>3635</v>
      </c>
      <c r="P260" s="2" t="s">
        <v>3635</v>
      </c>
      <c r="Q260" s="2" t="s">
        <v>3635</v>
      </c>
      <c r="R260" s="2" t="s">
        <v>3635</v>
      </c>
      <c r="S260" s="2" t="s">
        <v>3635</v>
      </c>
      <c r="T260" s="2" t="s">
        <v>9087</v>
      </c>
      <c r="U260" s="2" t="s">
        <v>9088</v>
      </c>
      <c r="V260" s="2" t="s">
        <v>9089</v>
      </c>
      <c r="W260" s="2" t="s">
        <v>9090</v>
      </c>
      <c r="X260" s="2" t="s">
        <v>9091</v>
      </c>
      <c r="Y260" s="2" t="s">
        <v>9092</v>
      </c>
      <c r="Z260" s="2" t="s">
        <v>9093</v>
      </c>
      <c r="AA260" s="2" t="s">
        <v>9094</v>
      </c>
      <c r="AB260" s="2" t="s">
        <v>9095</v>
      </c>
      <c r="AC260" s="2" t="s">
        <v>9096</v>
      </c>
      <c r="AD260" s="2" t="s">
        <v>9097</v>
      </c>
      <c r="AE260" s="2" t="s">
        <v>9098</v>
      </c>
      <c r="AF260" s="2" t="s">
        <v>3635</v>
      </c>
      <c r="AG260" s="2">
        <v>56.0</v>
      </c>
      <c r="AH260" s="2">
        <v>115.0</v>
      </c>
      <c r="AI260" s="2">
        <v>121.0</v>
      </c>
      <c r="AJ260" s="2">
        <v>45.0</v>
      </c>
      <c r="AK260" s="2">
        <v>180.0</v>
      </c>
      <c r="AL260" s="2" t="s">
        <v>4104</v>
      </c>
      <c r="AM260" s="2" t="s">
        <v>4105</v>
      </c>
      <c r="AN260" s="2" t="s">
        <v>4106</v>
      </c>
      <c r="AO260" s="2" t="s">
        <v>7155</v>
      </c>
      <c r="AP260" s="2" t="s">
        <v>3635</v>
      </c>
      <c r="AQ260" s="2" t="s">
        <v>3635</v>
      </c>
      <c r="AR260" s="2" t="s">
        <v>7156</v>
      </c>
      <c r="AS260" s="2" t="s">
        <v>7157</v>
      </c>
      <c r="AT260" s="2" t="s">
        <v>9099</v>
      </c>
      <c r="AU260" s="2">
        <v>2020.0</v>
      </c>
      <c r="AV260" s="2">
        <v>11.0</v>
      </c>
      <c r="AW260" s="2" t="s">
        <v>3635</v>
      </c>
      <c r="AX260" s="2" t="s">
        <v>3635</v>
      </c>
      <c r="AY260" s="2" t="s">
        <v>3635</v>
      </c>
      <c r="AZ260" s="2" t="s">
        <v>3635</v>
      </c>
      <c r="BA260" s="2" t="s">
        <v>3635</v>
      </c>
      <c r="BB260" s="2" t="s">
        <v>3635</v>
      </c>
      <c r="BC260" s="2" t="s">
        <v>3635</v>
      </c>
      <c r="BD260" s="2">
        <v>842.0</v>
      </c>
      <c r="BE260" s="2" t="s">
        <v>9100</v>
      </c>
      <c r="BF260" s="3" t="str">
        <f>HYPERLINK("http://dx.doi.org/10.3389/fphar.2020.00842","http://dx.doi.org/10.3389/fphar.2020.00842")</f>
        <v>http://dx.doi.org/10.3389/fphar.2020.00842</v>
      </c>
      <c r="BG260" s="2" t="s">
        <v>3635</v>
      </c>
      <c r="BH260" s="2" t="s">
        <v>3635</v>
      </c>
      <c r="BI260" s="2">
        <v>14.0</v>
      </c>
      <c r="BJ260" s="2" t="s">
        <v>5390</v>
      </c>
      <c r="BK260" s="2" t="s">
        <v>3658</v>
      </c>
      <c r="BL260" s="2" t="s">
        <v>5390</v>
      </c>
      <c r="BM260" s="2" t="s">
        <v>9101</v>
      </c>
      <c r="BN260" s="2">
        <v>3.2581801E7</v>
      </c>
      <c r="BO260" s="2" t="s">
        <v>4251</v>
      </c>
      <c r="BP260" s="2" t="s">
        <v>3635</v>
      </c>
      <c r="BQ260" s="2" t="s">
        <v>3635</v>
      </c>
      <c r="BR260" s="2" t="s">
        <v>3662</v>
      </c>
      <c r="BS260" s="2" t="s">
        <v>9102</v>
      </c>
      <c r="BT260" s="2" t="str">
        <f>HYPERLINK("https%3A%2F%2Fwww.webofscience.com%2Fwos%2Fwoscc%2Ffull-record%2FWOS:000546977700001","View Full Record in Web of Science")</f>
        <v>View Full Record in Web of Science</v>
      </c>
    </row>
    <row r="261" ht="15.75" customHeight="1">
      <c r="A261" s="2" t="s">
        <v>3633</v>
      </c>
      <c r="B261" s="2" t="s">
        <v>9103</v>
      </c>
      <c r="C261" s="2" t="s">
        <v>3635</v>
      </c>
      <c r="D261" s="2" t="s">
        <v>3635</v>
      </c>
      <c r="E261" s="2" t="s">
        <v>3635</v>
      </c>
      <c r="F261" s="2" t="s">
        <v>9104</v>
      </c>
      <c r="G261" s="2" t="s">
        <v>3635</v>
      </c>
      <c r="H261" s="2" t="s">
        <v>3635</v>
      </c>
      <c r="I261" s="2" t="s">
        <v>9105</v>
      </c>
      <c r="J261" s="2" t="s">
        <v>9106</v>
      </c>
      <c r="K261" s="2" t="s">
        <v>3635</v>
      </c>
      <c r="L261" s="2" t="s">
        <v>3635</v>
      </c>
      <c r="M261" s="2" t="s">
        <v>3638</v>
      </c>
      <c r="N261" s="2" t="s">
        <v>21</v>
      </c>
      <c r="O261" s="2" t="s">
        <v>3635</v>
      </c>
      <c r="P261" s="2" t="s">
        <v>3635</v>
      </c>
      <c r="Q261" s="2" t="s">
        <v>3635</v>
      </c>
      <c r="R261" s="2" t="s">
        <v>3635</v>
      </c>
      <c r="S261" s="2" t="s">
        <v>3635</v>
      </c>
      <c r="T261" s="2" t="s">
        <v>9107</v>
      </c>
      <c r="U261" s="2" t="s">
        <v>3635</v>
      </c>
      <c r="V261" s="2" t="s">
        <v>9108</v>
      </c>
      <c r="W261" s="2" t="s">
        <v>9109</v>
      </c>
      <c r="X261" s="2" t="s">
        <v>9110</v>
      </c>
      <c r="Y261" s="2" t="s">
        <v>9111</v>
      </c>
      <c r="Z261" s="2" t="s">
        <v>9112</v>
      </c>
      <c r="AA261" s="2" t="s">
        <v>9113</v>
      </c>
      <c r="AB261" s="2" t="s">
        <v>3635</v>
      </c>
      <c r="AC261" s="2" t="s">
        <v>3635</v>
      </c>
      <c r="AD261" s="2" t="s">
        <v>3635</v>
      </c>
      <c r="AE261" s="2" t="s">
        <v>3635</v>
      </c>
      <c r="AF261" s="2" t="s">
        <v>3635</v>
      </c>
      <c r="AG261" s="2">
        <v>27.0</v>
      </c>
      <c r="AH261" s="2">
        <v>2.0</v>
      </c>
      <c r="AI261" s="2">
        <v>2.0</v>
      </c>
      <c r="AJ261" s="2">
        <v>6.0</v>
      </c>
      <c r="AK261" s="2">
        <v>13.0</v>
      </c>
      <c r="AL261" s="2" t="s">
        <v>9114</v>
      </c>
      <c r="AM261" s="2" t="s">
        <v>9115</v>
      </c>
      <c r="AN261" s="2" t="s">
        <v>9116</v>
      </c>
      <c r="AO261" s="2" t="s">
        <v>9117</v>
      </c>
      <c r="AP261" s="2" t="s">
        <v>9118</v>
      </c>
      <c r="AQ261" s="2" t="s">
        <v>3635</v>
      </c>
      <c r="AR261" s="2" t="s">
        <v>9119</v>
      </c>
      <c r="AS261" s="2" t="s">
        <v>9120</v>
      </c>
      <c r="AT261" s="2" t="s">
        <v>3635</v>
      </c>
      <c r="AU261" s="2">
        <v>2022.0</v>
      </c>
      <c r="AV261" s="2" t="s">
        <v>3635</v>
      </c>
      <c r="AW261" s="2">
        <v>4.0</v>
      </c>
      <c r="AX261" s="2" t="s">
        <v>3635</v>
      </c>
      <c r="AY261" s="2" t="s">
        <v>3635</v>
      </c>
      <c r="AZ261" s="2" t="s">
        <v>3635</v>
      </c>
      <c r="BA261" s="2" t="s">
        <v>3635</v>
      </c>
      <c r="BB261" s="2">
        <v>184.0</v>
      </c>
      <c r="BC261" s="2">
        <v>197.0</v>
      </c>
      <c r="BD261" s="2" t="s">
        <v>3635</v>
      </c>
      <c r="BE261" s="2" t="s">
        <v>9121</v>
      </c>
      <c r="BF261" s="3" t="str">
        <f>HYPERLINK("http://dx.doi.org/10.21272/mmi.2022.4-17","http://dx.doi.org/10.21272/mmi.2022.4-17")</f>
        <v>http://dx.doi.org/10.21272/mmi.2022.4-17</v>
      </c>
      <c r="BG261" s="2" t="s">
        <v>3635</v>
      </c>
      <c r="BH261" s="2" t="s">
        <v>3635</v>
      </c>
      <c r="BI261" s="2">
        <v>14.0</v>
      </c>
      <c r="BJ261" s="2" t="s">
        <v>5790</v>
      </c>
      <c r="BK261" s="2" t="s">
        <v>3993</v>
      </c>
      <c r="BL261" s="2" t="s">
        <v>3994</v>
      </c>
      <c r="BM261" s="2" t="s">
        <v>9122</v>
      </c>
      <c r="BN261" s="2" t="s">
        <v>3635</v>
      </c>
      <c r="BO261" s="2" t="s">
        <v>4115</v>
      </c>
      <c r="BP261" s="2" t="s">
        <v>3635</v>
      </c>
      <c r="BQ261" s="2" t="s">
        <v>3635</v>
      </c>
      <c r="BR261" s="2" t="s">
        <v>3662</v>
      </c>
      <c r="BS261" s="2" t="s">
        <v>9123</v>
      </c>
      <c r="BT261" s="2" t="str">
        <f>HYPERLINK("https%3A%2F%2Fwww.webofscience.com%2Fwos%2Fwoscc%2Ffull-record%2FWOS:000984416600011","View Full Record in Web of Science")</f>
        <v>View Full Record in Web of Science</v>
      </c>
    </row>
    <row r="262" ht="15.75" customHeight="1">
      <c r="A262" s="2" t="s">
        <v>3633</v>
      </c>
      <c r="B262" s="2" t="s">
        <v>9124</v>
      </c>
      <c r="C262" s="2" t="s">
        <v>3635</v>
      </c>
      <c r="D262" s="2" t="s">
        <v>3635</v>
      </c>
      <c r="E262" s="2" t="s">
        <v>3635</v>
      </c>
      <c r="F262" s="2" t="s">
        <v>9125</v>
      </c>
      <c r="G262" s="2" t="s">
        <v>3635</v>
      </c>
      <c r="H262" s="2" t="s">
        <v>3635</v>
      </c>
      <c r="I262" s="2" t="s">
        <v>2621</v>
      </c>
      <c r="J262" s="2" t="s">
        <v>9126</v>
      </c>
      <c r="K262" s="2" t="s">
        <v>3635</v>
      </c>
      <c r="L262" s="2" t="s">
        <v>3635</v>
      </c>
      <c r="M262" s="2" t="s">
        <v>3638</v>
      </c>
      <c r="N262" s="2" t="s">
        <v>21</v>
      </c>
      <c r="O262" s="2" t="s">
        <v>3635</v>
      </c>
      <c r="P262" s="2" t="s">
        <v>3635</v>
      </c>
      <c r="Q262" s="2" t="s">
        <v>3635</v>
      </c>
      <c r="R262" s="2" t="s">
        <v>3635</v>
      </c>
      <c r="S262" s="2" t="s">
        <v>3635</v>
      </c>
      <c r="T262" s="2" t="s">
        <v>9127</v>
      </c>
      <c r="U262" s="2" t="s">
        <v>3635</v>
      </c>
      <c r="V262" s="2" t="s">
        <v>9128</v>
      </c>
      <c r="W262" s="2" t="s">
        <v>9129</v>
      </c>
      <c r="X262" s="2" t="s">
        <v>9130</v>
      </c>
      <c r="Y262" s="2" t="s">
        <v>9131</v>
      </c>
      <c r="Z262" s="2" t="s">
        <v>9132</v>
      </c>
      <c r="AA262" s="2" t="s">
        <v>9133</v>
      </c>
      <c r="AB262" s="2" t="s">
        <v>9134</v>
      </c>
      <c r="AC262" s="2" t="s">
        <v>9135</v>
      </c>
      <c r="AD262" s="2" t="s">
        <v>9136</v>
      </c>
      <c r="AE262" s="2" t="s">
        <v>9137</v>
      </c>
      <c r="AF262" s="2" t="s">
        <v>3635</v>
      </c>
      <c r="AG262" s="2">
        <v>69.0</v>
      </c>
      <c r="AH262" s="2">
        <v>4.0</v>
      </c>
      <c r="AI262" s="2">
        <v>4.0</v>
      </c>
      <c r="AJ262" s="2">
        <v>0.0</v>
      </c>
      <c r="AK262" s="2">
        <v>6.0</v>
      </c>
      <c r="AL262" s="2" t="s">
        <v>3784</v>
      </c>
      <c r="AM262" s="2" t="s">
        <v>3785</v>
      </c>
      <c r="AN262" s="2" t="s">
        <v>3786</v>
      </c>
      <c r="AO262" s="2" t="s">
        <v>9138</v>
      </c>
      <c r="AP262" s="2" t="s">
        <v>9139</v>
      </c>
      <c r="AQ262" s="2" t="s">
        <v>3635</v>
      </c>
      <c r="AR262" s="2" t="s">
        <v>9140</v>
      </c>
      <c r="AS262" s="2" t="s">
        <v>9141</v>
      </c>
      <c r="AT262" s="2" t="s">
        <v>5143</v>
      </c>
      <c r="AU262" s="2">
        <v>2021.0</v>
      </c>
      <c r="AV262" s="2">
        <v>67.0</v>
      </c>
      <c r="AW262" s="2">
        <v>10.0</v>
      </c>
      <c r="AX262" s="2" t="s">
        <v>3635</v>
      </c>
      <c r="AY262" s="2" t="s">
        <v>3635</v>
      </c>
      <c r="AZ262" s="2" t="s">
        <v>3635</v>
      </c>
      <c r="BA262" s="2" t="s">
        <v>3635</v>
      </c>
      <c r="BB262" s="2">
        <v>6675.0</v>
      </c>
      <c r="BC262" s="2">
        <v>6710.0</v>
      </c>
      <c r="BD262" s="2" t="s">
        <v>3635</v>
      </c>
      <c r="BE262" s="2" t="s">
        <v>54</v>
      </c>
      <c r="BF262" s="3" t="str">
        <f>HYPERLINK("http://dx.doi.org/10.1109/TIT.2021.3103206","http://dx.doi.org/10.1109/TIT.2021.3103206")</f>
        <v>http://dx.doi.org/10.1109/TIT.2021.3103206</v>
      </c>
      <c r="BG262" s="2" t="s">
        <v>3635</v>
      </c>
      <c r="BH262" s="2" t="s">
        <v>3635</v>
      </c>
      <c r="BI262" s="2">
        <v>36.0</v>
      </c>
      <c r="BJ262" s="2" t="s">
        <v>5241</v>
      </c>
      <c r="BK262" s="2" t="s">
        <v>3658</v>
      </c>
      <c r="BL262" s="2" t="s">
        <v>3944</v>
      </c>
      <c r="BM262" s="2" t="s">
        <v>9142</v>
      </c>
      <c r="BN262" s="2" t="s">
        <v>3635</v>
      </c>
      <c r="BO262" s="2" t="s">
        <v>6045</v>
      </c>
      <c r="BP262" s="2" t="s">
        <v>3635</v>
      </c>
      <c r="BQ262" s="2" t="s">
        <v>3635</v>
      </c>
      <c r="BR262" s="2" t="s">
        <v>3662</v>
      </c>
      <c r="BS262" s="2" t="s">
        <v>9143</v>
      </c>
      <c r="BT262" s="2" t="str">
        <f>HYPERLINK("https%3A%2F%2Fwww.webofscience.com%2Fwos%2Fwoscc%2Ffull-record%2FWOS:000696077200029","View Full Record in Web of Science")</f>
        <v>View Full Record in Web of Science</v>
      </c>
    </row>
    <row r="263" ht="15.75" customHeight="1">
      <c r="A263" s="2" t="s">
        <v>3633</v>
      </c>
      <c r="B263" s="2" t="s">
        <v>9144</v>
      </c>
      <c r="C263" s="2" t="s">
        <v>3635</v>
      </c>
      <c r="D263" s="2" t="s">
        <v>3635</v>
      </c>
      <c r="E263" s="2" t="s">
        <v>3635</v>
      </c>
      <c r="F263" s="2" t="s">
        <v>9145</v>
      </c>
      <c r="G263" s="2" t="s">
        <v>3635</v>
      </c>
      <c r="H263" s="2" t="s">
        <v>3635</v>
      </c>
      <c r="I263" s="2" t="s">
        <v>9146</v>
      </c>
      <c r="J263" s="2" t="s">
        <v>9147</v>
      </c>
      <c r="K263" s="2" t="s">
        <v>3635</v>
      </c>
      <c r="L263" s="2" t="s">
        <v>3635</v>
      </c>
      <c r="M263" s="2" t="s">
        <v>3638</v>
      </c>
      <c r="N263" s="2" t="s">
        <v>4207</v>
      </c>
      <c r="O263" s="2" t="s">
        <v>3635</v>
      </c>
      <c r="P263" s="2" t="s">
        <v>3635</v>
      </c>
      <c r="Q263" s="2" t="s">
        <v>3635</v>
      </c>
      <c r="R263" s="2" t="s">
        <v>3635</v>
      </c>
      <c r="S263" s="2" t="s">
        <v>3635</v>
      </c>
      <c r="T263" s="2" t="s">
        <v>9148</v>
      </c>
      <c r="U263" s="2" t="s">
        <v>9149</v>
      </c>
      <c r="V263" s="2" t="s">
        <v>9150</v>
      </c>
      <c r="W263" s="2" t="s">
        <v>9151</v>
      </c>
      <c r="X263" s="2" t="s">
        <v>9152</v>
      </c>
      <c r="Y263" s="2" t="s">
        <v>9153</v>
      </c>
      <c r="Z263" s="2" t="s">
        <v>9154</v>
      </c>
      <c r="AA263" s="2" t="s">
        <v>9155</v>
      </c>
      <c r="AB263" s="2" t="s">
        <v>9156</v>
      </c>
      <c r="AC263" s="2" t="s">
        <v>3635</v>
      </c>
      <c r="AD263" s="2" t="s">
        <v>3635</v>
      </c>
      <c r="AE263" s="2" t="s">
        <v>3635</v>
      </c>
      <c r="AF263" s="2" t="s">
        <v>3635</v>
      </c>
      <c r="AG263" s="2">
        <v>33.0</v>
      </c>
      <c r="AH263" s="2">
        <v>2.0</v>
      </c>
      <c r="AI263" s="2">
        <v>2.0</v>
      </c>
      <c r="AJ263" s="2">
        <v>0.0</v>
      </c>
      <c r="AK263" s="2">
        <v>2.0</v>
      </c>
      <c r="AL263" s="2" t="s">
        <v>4740</v>
      </c>
      <c r="AM263" s="2" t="s">
        <v>4668</v>
      </c>
      <c r="AN263" s="2" t="s">
        <v>4741</v>
      </c>
      <c r="AO263" s="2" t="s">
        <v>3635</v>
      </c>
      <c r="AP263" s="2" t="s">
        <v>9157</v>
      </c>
      <c r="AQ263" s="2" t="s">
        <v>3635</v>
      </c>
      <c r="AR263" s="2" t="s">
        <v>9158</v>
      </c>
      <c r="AS263" s="2" t="s">
        <v>9159</v>
      </c>
      <c r="AT263" s="2" t="s">
        <v>9160</v>
      </c>
      <c r="AU263" s="2">
        <v>2019.0</v>
      </c>
      <c r="AV263" s="2">
        <v>8.0</v>
      </c>
      <c r="AW263" s="2">
        <v>1.0</v>
      </c>
      <c r="AX263" s="2" t="s">
        <v>3635</v>
      </c>
      <c r="AY263" s="2" t="s">
        <v>3635</v>
      </c>
      <c r="AZ263" s="2" t="s">
        <v>3635</v>
      </c>
      <c r="BA263" s="2" t="s">
        <v>3635</v>
      </c>
      <c r="BB263" s="2" t="s">
        <v>3635</v>
      </c>
      <c r="BC263" s="2" t="s">
        <v>3635</v>
      </c>
      <c r="BD263" s="2">
        <v>333.0</v>
      </c>
      <c r="BE263" s="2" t="s">
        <v>9161</v>
      </c>
      <c r="BF263" s="3" t="str">
        <f>HYPERLINK("http://dx.doi.org/10.1186/s13643-019-1251-x","http://dx.doi.org/10.1186/s13643-019-1251-x")</f>
        <v>http://dx.doi.org/10.1186/s13643-019-1251-x</v>
      </c>
      <c r="BG263" s="2" t="s">
        <v>3635</v>
      </c>
      <c r="BH263" s="2" t="s">
        <v>3635</v>
      </c>
      <c r="BI263" s="2">
        <v>7.0</v>
      </c>
      <c r="BJ263" s="2" t="s">
        <v>5940</v>
      </c>
      <c r="BK263" s="2" t="s">
        <v>3658</v>
      </c>
      <c r="BL263" s="2" t="s">
        <v>5941</v>
      </c>
      <c r="BM263" s="2" t="s">
        <v>9162</v>
      </c>
      <c r="BN263" s="2">
        <v>3.1856889E7</v>
      </c>
      <c r="BO263" s="2" t="s">
        <v>4251</v>
      </c>
      <c r="BP263" s="2" t="s">
        <v>3635</v>
      </c>
      <c r="BQ263" s="2" t="s">
        <v>3635</v>
      </c>
      <c r="BR263" s="2" t="s">
        <v>3662</v>
      </c>
      <c r="BS263" s="2" t="s">
        <v>9163</v>
      </c>
      <c r="BT263" s="2" t="str">
        <f>HYPERLINK("https%3A%2F%2Fwww.webofscience.com%2Fwos%2Fwoscc%2Ffull-record%2FWOS:000513531700001","View Full Record in Web of Science")</f>
        <v>View Full Record in Web of Science</v>
      </c>
    </row>
    <row r="264" ht="15.75" customHeight="1">
      <c r="A264" s="2" t="s">
        <v>3633</v>
      </c>
      <c r="B264" s="2" t="s">
        <v>9164</v>
      </c>
      <c r="C264" s="2" t="s">
        <v>3635</v>
      </c>
      <c r="D264" s="2" t="s">
        <v>3635</v>
      </c>
      <c r="E264" s="2" t="s">
        <v>3635</v>
      </c>
      <c r="F264" s="2" t="s">
        <v>9165</v>
      </c>
      <c r="G264" s="2" t="s">
        <v>3635</v>
      </c>
      <c r="H264" s="2" t="s">
        <v>3635</v>
      </c>
      <c r="I264" s="2" t="s">
        <v>9166</v>
      </c>
      <c r="J264" s="2" t="s">
        <v>9167</v>
      </c>
      <c r="K264" s="2" t="s">
        <v>3635</v>
      </c>
      <c r="L264" s="2" t="s">
        <v>3635</v>
      </c>
      <c r="M264" s="2" t="s">
        <v>3638</v>
      </c>
      <c r="N264" s="2" t="s">
        <v>21</v>
      </c>
      <c r="O264" s="2" t="s">
        <v>3635</v>
      </c>
      <c r="P264" s="2" t="s">
        <v>3635</v>
      </c>
      <c r="Q264" s="2" t="s">
        <v>3635</v>
      </c>
      <c r="R264" s="2" t="s">
        <v>3635</v>
      </c>
      <c r="S264" s="2" t="s">
        <v>3635</v>
      </c>
      <c r="T264" s="2" t="s">
        <v>9168</v>
      </c>
      <c r="U264" s="2" t="s">
        <v>9169</v>
      </c>
      <c r="V264" s="2" t="s">
        <v>9170</v>
      </c>
      <c r="W264" s="2" t="s">
        <v>9171</v>
      </c>
      <c r="X264" s="2" t="s">
        <v>3635</v>
      </c>
      <c r="Y264" s="2" t="s">
        <v>9172</v>
      </c>
      <c r="Z264" s="2" t="s">
        <v>9173</v>
      </c>
      <c r="AA264" s="2" t="s">
        <v>3635</v>
      </c>
      <c r="AB264" s="2" t="s">
        <v>9174</v>
      </c>
      <c r="AC264" s="2" t="s">
        <v>3635</v>
      </c>
      <c r="AD264" s="2" t="s">
        <v>3635</v>
      </c>
      <c r="AE264" s="2" t="s">
        <v>3635</v>
      </c>
      <c r="AF264" s="2" t="s">
        <v>3635</v>
      </c>
      <c r="AG264" s="2">
        <v>35.0</v>
      </c>
      <c r="AH264" s="2">
        <v>0.0</v>
      </c>
      <c r="AI264" s="2">
        <v>0.0</v>
      </c>
      <c r="AJ264" s="2">
        <v>2.0</v>
      </c>
      <c r="AK264" s="2">
        <v>2.0</v>
      </c>
      <c r="AL264" s="2" t="s">
        <v>9175</v>
      </c>
      <c r="AM264" s="2" t="s">
        <v>9176</v>
      </c>
      <c r="AN264" s="2" t="s">
        <v>9177</v>
      </c>
      <c r="AO264" s="2" t="s">
        <v>9178</v>
      </c>
      <c r="AP264" s="2" t="s">
        <v>9179</v>
      </c>
      <c r="AQ264" s="2" t="s">
        <v>3635</v>
      </c>
      <c r="AR264" s="2" t="s">
        <v>9180</v>
      </c>
      <c r="AS264" s="2" t="s">
        <v>9181</v>
      </c>
      <c r="AT264" s="2" t="s">
        <v>5143</v>
      </c>
      <c r="AU264" s="2">
        <v>2023.0</v>
      </c>
      <c r="AV264" s="2">
        <v>26.0</v>
      </c>
      <c r="AW264" s="2">
        <v>7.0</v>
      </c>
      <c r="AX264" s="2" t="s">
        <v>3635</v>
      </c>
      <c r="AY264" s="2" t="s">
        <v>3635</v>
      </c>
      <c r="AZ264" s="2" t="s">
        <v>3717</v>
      </c>
      <c r="BA264" s="2" t="s">
        <v>3635</v>
      </c>
      <c r="BB264" s="2">
        <v>1697.0</v>
      </c>
      <c r="BC264" s="2">
        <v>1708.0</v>
      </c>
      <c r="BD264" s="2" t="s">
        <v>3635</v>
      </c>
      <c r="BE264" s="2" t="s">
        <v>9182</v>
      </c>
      <c r="BF264" s="3" t="str">
        <f>HYPERLINK("http://dx.doi.org/10.47974/JSMS-1135","http://dx.doi.org/10.47974/JSMS-1135")</f>
        <v>http://dx.doi.org/10.47974/JSMS-1135</v>
      </c>
      <c r="BG264" s="2" t="s">
        <v>3635</v>
      </c>
      <c r="BH264" s="2" t="s">
        <v>3635</v>
      </c>
      <c r="BI264" s="2">
        <v>12.0</v>
      </c>
      <c r="BJ264" s="2" t="s">
        <v>4377</v>
      </c>
      <c r="BK264" s="2" t="s">
        <v>3993</v>
      </c>
      <c r="BL264" s="2" t="s">
        <v>4379</v>
      </c>
      <c r="BM264" s="2" t="s">
        <v>9183</v>
      </c>
      <c r="BN264" s="2" t="s">
        <v>3635</v>
      </c>
      <c r="BO264" s="2" t="s">
        <v>3635</v>
      </c>
      <c r="BP264" s="2" t="s">
        <v>3635</v>
      </c>
      <c r="BQ264" s="2" t="s">
        <v>3635</v>
      </c>
      <c r="BR264" s="2" t="s">
        <v>3662</v>
      </c>
      <c r="BS264" s="2" t="s">
        <v>9184</v>
      </c>
      <c r="BT264" s="2" t="str">
        <f>HYPERLINK("https%3A%2F%2Fwww.webofscience.com%2Fwos%2Fwoscc%2Ffull-record%2FWOS:001117714300012","View Full Record in Web of Science")</f>
        <v>View Full Record in Web of Science</v>
      </c>
    </row>
    <row r="265" ht="15.75" customHeight="1">
      <c r="A265" s="2" t="s">
        <v>3633</v>
      </c>
      <c r="B265" s="2" t="s">
        <v>9185</v>
      </c>
      <c r="C265" s="2" t="s">
        <v>3635</v>
      </c>
      <c r="D265" s="2" t="s">
        <v>3635</v>
      </c>
      <c r="E265" s="2" t="s">
        <v>3635</v>
      </c>
      <c r="F265" s="2" t="s">
        <v>9186</v>
      </c>
      <c r="G265" s="2" t="s">
        <v>3635</v>
      </c>
      <c r="H265" s="2" t="s">
        <v>3635</v>
      </c>
      <c r="I265" s="2" t="s">
        <v>9187</v>
      </c>
      <c r="J265" s="2" t="s">
        <v>9188</v>
      </c>
      <c r="K265" s="2" t="s">
        <v>3635</v>
      </c>
      <c r="L265" s="2" t="s">
        <v>3635</v>
      </c>
      <c r="M265" s="2" t="s">
        <v>3638</v>
      </c>
      <c r="N265" s="2" t="s">
        <v>21</v>
      </c>
      <c r="O265" s="2" t="s">
        <v>3635</v>
      </c>
      <c r="P265" s="2" t="s">
        <v>3635</v>
      </c>
      <c r="Q265" s="2" t="s">
        <v>3635</v>
      </c>
      <c r="R265" s="2" t="s">
        <v>3635</v>
      </c>
      <c r="S265" s="2" t="s">
        <v>3635</v>
      </c>
      <c r="T265" s="2" t="s">
        <v>3635</v>
      </c>
      <c r="U265" s="2" t="s">
        <v>9189</v>
      </c>
      <c r="V265" s="2" t="s">
        <v>9190</v>
      </c>
      <c r="W265" s="2" t="s">
        <v>3635</v>
      </c>
      <c r="X265" s="2" t="s">
        <v>3635</v>
      </c>
      <c r="Y265" s="2" t="s">
        <v>3635</v>
      </c>
      <c r="Z265" s="2" t="s">
        <v>3635</v>
      </c>
      <c r="AA265" s="2" t="s">
        <v>9191</v>
      </c>
      <c r="AB265" s="2" t="s">
        <v>3635</v>
      </c>
      <c r="AC265" s="2" t="s">
        <v>3635</v>
      </c>
      <c r="AD265" s="2" t="s">
        <v>3635</v>
      </c>
      <c r="AE265" s="2" t="s">
        <v>3635</v>
      </c>
      <c r="AF265" s="2" t="s">
        <v>3635</v>
      </c>
      <c r="AG265" s="2">
        <v>39.0</v>
      </c>
      <c r="AH265" s="2">
        <v>62.0</v>
      </c>
      <c r="AI265" s="2">
        <v>69.0</v>
      </c>
      <c r="AJ265" s="2">
        <v>0.0</v>
      </c>
      <c r="AK265" s="2">
        <v>29.0</v>
      </c>
      <c r="AL265" s="2" t="s">
        <v>3784</v>
      </c>
      <c r="AM265" s="2" t="s">
        <v>3785</v>
      </c>
      <c r="AN265" s="2" t="s">
        <v>3786</v>
      </c>
      <c r="AO265" s="2" t="s">
        <v>9192</v>
      </c>
      <c r="AP265" s="2" t="s">
        <v>3635</v>
      </c>
      <c r="AQ265" s="2" t="s">
        <v>3635</v>
      </c>
      <c r="AR265" s="2" t="s">
        <v>9193</v>
      </c>
      <c r="AS265" s="2" t="s">
        <v>9194</v>
      </c>
      <c r="AT265" s="2" t="s">
        <v>5486</v>
      </c>
      <c r="AU265" s="2">
        <v>2008.0</v>
      </c>
      <c r="AV265" s="2">
        <v>3.0</v>
      </c>
      <c r="AW265" s="2">
        <v>3.0</v>
      </c>
      <c r="AX265" s="2" t="s">
        <v>3635</v>
      </c>
      <c r="AY265" s="2" t="s">
        <v>3635</v>
      </c>
      <c r="AZ265" s="2" t="s">
        <v>3635</v>
      </c>
      <c r="BA265" s="2" t="s">
        <v>3635</v>
      </c>
      <c r="BB265" s="2">
        <v>11.0</v>
      </c>
      <c r="BC265" s="2">
        <v>22.0</v>
      </c>
      <c r="BD265" s="2" t="s">
        <v>3635</v>
      </c>
      <c r="BE265" s="2" t="s">
        <v>1514</v>
      </c>
      <c r="BF265" s="3" t="str">
        <f>HYPERLINK("http://dx.doi.org/10.1109/MCI.2008.926583","http://dx.doi.org/10.1109/MCI.2008.926583")</f>
        <v>http://dx.doi.org/10.1109/MCI.2008.926583</v>
      </c>
      <c r="BG265" s="2" t="s">
        <v>3635</v>
      </c>
      <c r="BH265" s="2" t="s">
        <v>3635</v>
      </c>
      <c r="BI265" s="2">
        <v>12.0</v>
      </c>
      <c r="BJ265" s="2" t="s">
        <v>9195</v>
      </c>
      <c r="BK265" s="2" t="s">
        <v>3658</v>
      </c>
      <c r="BL265" s="2" t="s">
        <v>3659</v>
      </c>
      <c r="BM265" s="2" t="s">
        <v>9196</v>
      </c>
      <c r="BN265" s="2" t="s">
        <v>3635</v>
      </c>
      <c r="BO265" s="2" t="s">
        <v>3635</v>
      </c>
      <c r="BP265" s="2" t="s">
        <v>3635</v>
      </c>
      <c r="BQ265" s="2" t="s">
        <v>3635</v>
      </c>
      <c r="BR265" s="2" t="s">
        <v>3662</v>
      </c>
      <c r="BS265" s="2" t="s">
        <v>9197</v>
      </c>
      <c r="BT265" s="2" t="str">
        <f>HYPERLINK("https%3A%2F%2Fwww.webofscience.com%2Fwos%2Fwoscc%2Ffull-record%2FWOS:000257987200002","View Full Record in Web of Science")</f>
        <v>View Full Record in Web of Science</v>
      </c>
    </row>
    <row r="266" ht="15.75" customHeight="1">
      <c r="A266" s="2" t="s">
        <v>3633</v>
      </c>
      <c r="B266" s="2" t="s">
        <v>9198</v>
      </c>
      <c r="C266" s="2" t="s">
        <v>3635</v>
      </c>
      <c r="D266" s="2" t="s">
        <v>3635</v>
      </c>
      <c r="E266" s="2" t="s">
        <v>3635</v>
      </c>
      <c r="F266" s="2" t="s">
        <v>9198</v>
      </c>
      <c r="G266" s="2" t="s">
        <v>3635</v>
      </c>
      <c r="H266" s="2" t="s">
        <v>3635</v>
      </c>
      <c r="I266" s="2" t="s">
        <v>9199</v>
      </c>
      <c r="J266" s="2" t="s">
        <v>9200</v>
      </c>
      <c r="K266" s="2" t="s">
        <v>3635</v>
      </c>
      <c r="L266" s="2" t="s">
        <v>3635</v>
      </c>
      <c r="M266" s="2" t="s">
        <v>9201</v>
      </c>
      <c r="N266" s="2" t="s">
        <v>21</v>
      </c>
      <c r="O266" s="2" t="s">
        <v>3635</v>
      </c>
      <c r="P266" s="2" t="s">
        <v>3635</v>
      </c>
      <c r="Q266" s="2" t="s">
        <v>3635</v>
      </c>
      <c r="R266" s="2" t="s">
        <v>3635</v>
      </c>
      <c r="S266" s="2" t="s">
        <v>3635</v>
      </c>
      <c r="T266" s="2" t="s">
        <v>9202</v>
      </c>
      <c r="U266" s="2" t="s">
        <v>9203</v>
      </c>
      <c r="V266" s="2" t="s">
        <v>9204</v>
      </c>
      <c r="W266" s="2" t="s">
        <v>9205</v>
      </c>
      <c r="X266" s="2" t="s">
        <v>7704</v>
      </c>
      <c r="Y266" s="2" t="s">
        <v>9206</v>
      </c>
      <c r="Z266" s="2" t="s">
        <v>3635</v>
      </c>
      <c r="AA266" s="2" t="s">
        <v>9207</v>
      </c>
      <c r="AB266" s="2" t="s">
        <v>9208</v>
      </c>
      <c r="AC266" s="2" t="s">
        <v>3635</v>
      </c>
      <c r="AD266" s="2" t="s">
        <v>3635</v>
      </c>
      <c r="AE266" s="2" t="s">
        <v>3635</v>
      </c>
      <c r="AF266" s="2" t="s">
        <v>3635</v>
      </c>
      <c r="AG266" s="2">
        <v>31.0</v>
      </c>
      <c r="AH266" s="2">
        <v>10.0</v>
      </c>
      <c r="AI266" s="2">
        <v>10.0</v>
      </c>
      <c r="AJ266" s="2">
        <v>0.0</v>
      </c>
      <c r="AK266" s="2">
        <v>2.0</v>
      </c>
      <c r="AL266" s="2" t="s">
        <v>9209</v>
      </c>
      <c r="AM266" s="2" t="s">
        <v>9210</v>
      </c>
      <c r="AN266" s="2" t="s">
        <v>9211</v>
      </c>
      <c r="AO266" s="2" t="s">
        <v>9212</v>
      </c>
      <c r="AP266" s="2" t="s">
        <v>9213</v>
      </c>
      <c r="AQ266" s="2" t="s">
        <v>3635</v>
      </c>
      <c r="AR266" s="2" t="s">
        <v>9214</v>
      </c>
      <c r="AS266" s="2" t="s">
        <v>9215</v>
      </c>
      <c r="AT266" s="2" t="s">
        <v>9216</v>
      </c>
      <c r="AU266" s="2">
        <v>2002.0</v>
      </c>
      <c r="AV266" s="2">
        <v>28.0</v>
      </c>
      <c r="AW266" s="2">
        <v>3.0</v>
      </c>
      <c r="AX266" s="2">
        <v>1.0</v>
      </c>
      <c r="AY266" s="2" t="s">
        <v>3635</v>
      </c>
      <c r="AZ266" s="2" t="s">
        <v>3635</v>
      </c>
      <c r="BA266" s="2" t="s">
        <v>3635</v>
      </c>
      <c r="BB266" s="2">
        <v>217.0</v>
      </c>
      <c r="BC266" s="2">
        <v>226.0</v>
      </c>
      <c r="BD266" s="2" t="s">
        <v>3635</v>
      </c>
      <c r="BE266" s="2" t="s">
        <v>3635</v>
      </c>
      <c r="BF266" s="2" t="s">
        <v>3635</v>
      </c>
      <c r="BG266" s="2" t="s">
        <v>3635</v>
      </c>
      <c r="BH266" s="2" t="s">
        <v>3635</v>
      </c>
      <c r="BI266" s="2">
        <v>10.0</v>
      </c>
      <c r="BJ266" s="2" t="s">
        <v>9217</v>
      </c>
      <c r="BK266" s="2" t="s">
        <v>4378</v>
      </c>
      <c r="BL266" s="2" t="s">
        <v>9218</v>
      </c>
      <c r="BM266" s="2" t="s">
        <v>9219</v>
      </c>
      <c r="BN266" s="2">
        <v>1.2091782E7</v>
      </c>
      <c r="BO266" s="2" t="s">
        <v>3635</v>
      </c>
      <c r="BP266" s="2" t="s">
        <v>3635</v>
      </c>
      <c r="BQ266" s="2" t="s">
        <v>3635</v>
      </c>
      <c r="BR266" s="2" t="s">
        <v>3662</v>
      </c>
      <c r="BS266" s="2" t="s">
        <v>9220</v>
      </c>
      <c r="BT266" s="2" t="str">
        <f>HYPERLINK("https%3A%2F%2Fwww.webofscience.com%2Fwos%2Fwoscc%2Ffull-record%2FWOS:000177699700005","View Full Record in Web of Science")</f>
        <v>View Full Record in Web of Science</v>
      </c>
    </row>
    <row r="267" ht="15.75" customHeight="1">
      <c r="A267" s="2" t="s">
        <v>3633</v>
      </c>
      <c r="B267" s="2" t="s">
        <v>9221</v>
      </c>
      <c r="C267" s="2" t="s">
        <v>3635</v>
      </c>
      <c r="D267" s="2" t="s">
        <v>3635</v>
      </c>
      <c r="E267" s="2" t="s">
        <v>3635</v>
      </c>
      <c r="F267" s="2" t="s">
        <v>9222</v>
      </c>
      <c r="G267" s="2" t="s">
        <v>3635</v>
      </c>
      <c r="H267" s="2" t="s">
        <v>3635</v>
      </c>
      <c r="I267" s="2" t="s">
        <v>9223</v>
      </c>
      <c r="J267" s="2" t="s">
        <v>9224</v>
      </c>
      <c r="K267" s="2" t="s">
        <v>3635</v>
      </c>
      <c r="L267" s="2" t="s">
        <v>3635</v>
      </c>
      <c r="M267" s="2" t="s">
        <v>3638</v>
      </c>
      <c r="N267" s="2" t="s">
        <v>21</v>
      </c>
      <c r="O267" s="2" t="s">
        <v>3635</v>
      </c>
      <c r="P267" s="2" t="s">
        <v>3635</v>
      </c>
      <c r="Q267" s="2" t="s">
        <v>3635</v>
      </c>
      <c r="R267" s="2" t="s">
        <v>3635</v>
      </c>
      <c r="S267" s="2" t="s">
        <v>3635</v>
      </c>
      <c r="T267" s="2" t="s">
        <v>9225</v>
      </c>
      <c r="U267" s="2" t="s">
        <v>9226</v>
      </c>
      <c r="V267" s="2" t="s">
        <v>9227</v>
      </c>
      <c r="W267" s="2" t="s">
        <v>9228</v>
      </c>
      <c r="X267" s="2" t="s">
        <v>9229</v>
      </c>
      <c r="Y267" s="2" t="s">
        <v>9230</v>
      </c>
      <c r="Z267" s="2" t="s">
        <v>9231</v>
      </c>
      <c r="AA267" s="2" t="s">
        <v>9232</v>
      </c>
      <c r="AB267" s="2" t="s">
        <v>9233</v>
      </c>
      <c r="AC267" s="2" t="s">
        <v>9234</v>
      </c>
      <c r="AD267" s="2" t="s">
        <v>9234</v>
      </c>
      <c r="AE267" s="2" t="s">
        <v>9235</v>
      </c>
      <c r="AF267" s="2" t="s">
        <v>3635</v>
      </c>
      <c r="AG267" s="2">
        <v>57.0</v>
      </c>
      <c r="AH267" s="2">
        <v>12.0</v>
      </c>
      <c r="AI267" s="2">
        <v>12.0</v>
      </c>
      <c r="AJ267" s="2">
        <v>22.0</v>
      </c>
      <c r="AK267" s="2">
        <v>78.0</v>
      </c>
      <c r="AL267" s="2" t="s">
        <v>3986</v>
      </c>
      <c r="AM267" s="2" t="s">
        <v>3987</v>
      </c>
      <c r="AN267" s="2" t="s">
        <v>3988</v>
      </c>
      <c r="AO267" s="2" t="s">
        <v>9236</v>
      </c>
      <c r="AP267" s="2" t="s">
        <v>9237</v>
      </c>
      <c r="AQ267" s="2" t="s">
        <v>3635</v>
      </c>
      <c r="AR267" s="2" t="s">
        <v>9238</v>
      </c>
      <c r="AS267" s="2" t="s">
        <v>9239</v>
      </c>
      <c r="AT267" s="2" t="s">
        <v>9240</v>
      </c>
      <c r="AU267" s="2">
        <v>2023.0</v>
      </c>
      <c r="AV267" s="2">
        <v>35.0</v>
      </c>
      <c r="AW267" s="2">
        <v>4.0</v>
      </c>
      <c r="AX267" s="2" t="s">
        <v>3635</v>
      </c>
      <c r="AY267" s="2" t="s">
        <v>3635</v>
      </c>
      <c r="AZ267" s="2" t="s">
        <v>3635</v>
      </c>
      <c r="BA267" s="2" t="s">
        <v>3635</v>
      </c>
      <c r="BB267" s="2">
        <v>890.0</v>
      </c>
      <c r="BC267" s="2">
        <v>907.0</v>
      </c>
      <c r="BD267" s="2" t="s">
        <v>3635</v>
      </c>
      <c r="BE267" s="2" t="s">
        <v>9241</v>
      </c>
      <c r="BF267" s="3" t="str">
        <f>HYPERLINK("http://dx.doi.org/10.1108/APJML-01-2022-0050","http://dx.doi.org/10.1108/APJML-01-2022-0050")</f>
        <v>http://dx.doi.org/10.1108/APJML-01-2022-0050</v>
      </c>
      <c r="BG267" s="2" t="s">
        <v>3635</v>
      </c>
      <c r="BH267" s="2" t="s">
        <v>9242</v>
      </c>
      <c r="BI267" s="2">
        <v>18.0</v>
      </c>
      <c r="BJ267" s="2" t="s">
        <v>6545</v>
      </c>
      <c r="BK267" s="2" t="s">
        <v>5726</v>
      </c>
      <c r="BL267" s="2" t="s">
        <v>3994</v>
      </c>
      <c r="BM267" s="2" t="s">
        <v>9243</v>
      </c>
      <c r="BN267" s="2" t="s">
        <v>3635</v>
      </c>
      <c r="BO267" s="2" t="s">
        <v>3635</v>
      </c>
      <c r="BP267" s="2" t="s">
        <v>3635</v>
      </c>
      <c r="BQ267" s="2" t="s">
        <v>3635</v>
      </c>
      <c r="BR267" s="2" t="s">
        <v>3662</v>
      </c>
      <c r="BS267" s="2" t="s">
        <v>9244</v>
      </c>
      <c r="BT267" s="2" t="str">
        <f>HYPERLINK("https%3A%2F%2Fwww.webofscience.com%2Fwos%2Fwoscc%2Ffull-record%2FWOS:000805819600001","View Full Record in Web of Science")</f>
        <v>View Full Record in Web of Science</v>
      </c>
    </row>
    <row r="268" ht="15.75" customHeight="1">
      <c r="A268" s="2" t="s">
        <v>3633</v>
      </c>
      <c r="B268" s="2" t="s">
        <v>9245</v>
      </c>
      <c r="C268" s="2" t="s">
        <v>3635</v>
      </c>
      <c r="D268" s="2" t="s">
        <v>3635</v>
      </c>
      <c r="E268" s="2" t="s">
        <v>3635</v>
      </c>
      <c r="F268" s="2" t="s">
        <v>9246</v>
      </c>
      <c r="G268" s="2" t="s">
        <v>3635</v>
      </c>
      <c r="H268" s="2" t="s">
        <v>3635</v>
      </c>
      <c r="I268" s="2" t="s">
        <v>9247</v>
      </c>
      <c r="J268" s="2" t="s">
        <v>9248</v>
      </c>
      <c r="K268" s="2" t="s">
        <v>3635</v>
      </c>
      <c r="L268" s="2" t="s">
        <v>3635</v>
      </c>
      <c r="M268" s="2" t="s">
        <v>3638</v>
      </c>
      <c r="N268" s="2" t="s">
        <v>21</v>
      </c>
      <c r="O268" s="2" t="s">
        <v>3635</v>
      </c>
      <c r="P268" s="2" t="s">
        <v>3635</v>
      </c>
      <c r="Q268" s="2" t="s">
        <v>3635</v>
      </c>
      <c r="R268" s="2" t="s">
        <v>3635</v>
      </c>
      <c r="S268" s="2" t="s">
        <v>3635</v>
      </c>
      <c r="T268" s="2" t="s">
        <v>9249</v>
      </c>
      <c r="U268" s="2" t="s">
        <v>9250</v>
      </c>
      <c r="V268" s="2" t="s">
        <v>9251</v>
      </c>
      <c r="W268" s="2" t="s">
        <v>9252</v>
      </c>
      <c r="X268" s="2" t="s">
        <v>9253</v>
      </c>
      <c r="Y268" s="2" t="s">
        <v>9254</v>
      </c>
      <c r="Z268" s="2" t="s">
        <v>9255</v>
      </c>
      <c r="AA268" s="2" t="s">
        <v>9256</v>
      </c>
      <c r="AB268" s="2" t="s">
        <v>9257</v>
      </c>
      <c r="AC268" s="2" t="s">
        <v>3635</v>
      </c>
      <c r="AD268" s="2" t="s">
        <v>3635</v>
      </c>
      <c r="AE268" s="2" t="s">
        <v>3635</v>
      </c>
      <c r="AF268" s="2" t="s">
        <v>3635</v>
      </c>
      <c r="AG268" s="2">
        <v>28.0</v>
      </c>
      <c r="AH268" s="2">
        <v>4.0</v>
      </c>
      <c r="AI268" s="2">
        <v>4.0</v>
      </c>
      <c r="AJ268" s="2">
        <v>0.0</v>
      </c>
      <c r="AK268" s="2">
        <v>10.0</v>
      </c>
      <c r="AL268" s="2" t="s">
        <v>3986</v>
      </c>
      <c r="AM268" s="2" t="s">
        <v>3987</v>
      </c>
      <c r="AN268" s="2" t="s">
        <v>3988</v>
      </c>
      <c r="AO268" s="2" t="s">
        <v>9258</v>
      </c>
      <c r="AP268" s="2" t="s">
        <v>9259</v>
      </c>
      <c r="AQ268" s="2" t="s">
        <v>3635</v>
      </c>
      <c r="AR268" s="2" t="s">
        <v>9260</v>
      </c>
      <c r="AS268" s="2" t="s">
        <v>9261</v>
      </c>
      <c r="AT268" s="2" t="s">
        <v>9262</v>
      </c>
      <c r="AU268" s="2">
        <v>2022.0</v>
      </c>
      <c r="AV268" s="2">
        <v>49.0</v>
      </c>
      <c r="AW268" s="2">
        <v>1.0</v>
      </c>
      <c r="AX268" s="2" t="s">
        <v>3635</v>
      </c>
      <c r="AY268" s="2" t="s">
        <v>3635</v>
      </c>
      <c r="AZ268" s="2" t="s">
        <v>3635</v>
      </c>
      <c r="BA268" s="2" t="s">
        <v>3635</v>
      </c>
      <c r="BB268" s="2">
        <v>21.0</v>
      </c>
      <c r="BC268" s="2">
        <v>33.0</v>
      </c>
      <c r="BD268" s="2" t="s">
        <v>3635</v>
      </c>
      <c r="BE268" s="2" t="s">
        <v>9263</v>
      </c>
      <c r="BF268" s="3" t="str">
        <f>HYPERLINK("http://dx.doi.org/10.1108/IJSE-10-2020-0688","http://dx.doi.org/10.1108/IJSE-10-2020-0688")</f>
        <v>http://dx.doi.org/10.1108/IJSE-10-2020-0688</v>
      </c>
      <c r="BG268" s="2" t="s">
        <v>3635</v>
      </c>
      <c r="BH268" s="2" t="s">
        <v>6018</v>
      </c>
      <c r="BI268" s="2">
        <v>13.0</v>
      </c>
      <c r="BJ268" s="2" t="s">
        <v>3992</v>
      </c>
      <c r="BK268" s="2" t="s">
        <v>3993</v>
      </c>
      <c r="BL268" s="2" t="s">
        <v>3994</v>
      </c>
      <c r="BM268" s="2" t="s">
        <v>9264</v>
      </c>
      <c r="BN268" s="2" t="s">
        <v>3635</v>
      </c>
      <c r="BO268" s="2" t="s">
        <v>3635</v>
      </c>
      <c r="BP268" s="2" t="s">
        <v>3635</v>
      </c>
      <c r="BQ268" s="2" t="s">
        <v>3635</v>
      </c>
      <c r="BR268" s="2" t="s">
        <v>3662</v>
      </c>
      <c r="BS268" s="2" t="s">
        <v>9265</v>
      </c>
      <c r="BT268" s="2" t="str">
        <f>HYPERLINK("https%3A%2F%2Fwww.webofscience.com%2Fwos%2Fwoscc%2Ffull-record%2FWOS:000695503000001","View Full Record in Web of Science")</f>
        <v>View Full Record in Web of Science</v>
      </c>
    </row>
    <row r="269" ht="15.75" customHeight="1">
      <c r="A269" s="2" t="s">
        <v>3633</v>
      </c>
      <c r="B269" s="2" t="s">
        <v>9266</v>
      </c>
      <c r="C269" s="2" t="s">
        <v>3635</v>
      </c>
      <c r="D269" s="2" t="s">
        <v>3635</v>
      </c>
      <c r="E269" s="2" t="s">
        <v>3635</v>
      </c>
      <c r="F269" s="2" t="s">
        <v>9267</v>
      </c>
      <c r="G269" s="2" t="s">
        <v>3635</v>
      </c>
      <c r="H269" s="2" t="s">
        <v>3635</v>
      </c>
      <c r="I269" s="2" t="s">
        <v>9268</v>
      </c>
      <c r="J269" s="2" t="s">
        <v>9269</v>
      </c>
      <c r="K269" s="2" t="s">
        <v>3635</v>
      </c>
      <c r="L269" s="2" t="s">
        <v>3635</v>
      </c>
      <c r="M269" s="2" t="s">
        <v>3638</v>
      </c>
      <c r="N269" s="2" t="s">
        <v>21</v>
      </c>
      <c r="O269" s="2" t="s">
        <v>3635</v>
      </c>
      <c r="P269" s="2" t="s">
        <v>3635</v>
      </c>
      <c r="Q269" s="2" t="s">
        <v>3635</v>
      </c>
      <c r="R269" s="2" t="s">
        <v>3635</v>
      </c>
      <c r="S269" s="2" t="s">
        <v>3635</v>
      </c>
      <c r="T269" s="2" t="s">
        <v>9270</v>
      </c>
      <c r="U269" s="2" t="s">
        <v>9271</v>
      </c>
      <c r="V269" s="2" t="s">
        <v>9272</v>
      </c>
      <c r="W269" s="2" t="s">
        <v>9273</v>
      </c>
      <c r="X269" s="2" t="s">
        <v>9274</v>
      </c>
      <c r="Y269" s="2" t="s">
        <v>9275</v>
      </c>
      <c r="Z269" s="2" t="s">
        <v>9276</v>
      </c>
      <c r="AA269" s="2" t="s">
        <v>9277</v>
      </c>
      <c r="AB269" s="2" t="s">
        <v>9278</v>
      </c>
      <c r="AC269" s="2" t="s">
        <v>3635</v>
      </c>
      <c r="AD269" s="2" t="s">
        <v>3635</v>
      </c>
      <c r="AE269" s="2" t="s">
        <v>3635</v>
      </c>
      <c r="AF269" s="2" t="s">
        <v>3635</v>
      </c>
      <c r="AG269" s="2">
        <v>80.0</v>
      </c>
      <c r="AH269" s="2">
        <v>1.0</v>
      </c>
      <c r="AI269" s="2">
        <v>1.0</v>
      </c>
      <c r="AJ269" s="2">
        <v>5.0</v>
      </c>
      <c r="AK269" s="2">
        <v>16.0</v>
      </c>
      <c r="AL269" s="2" t="s">
        <v>3986</v>
      </c>
      <c r="AM269" s="2" t="s">
        <v>9279</v>
      </c>
      <c r="AN269" s="2" t="s">
        <v>9280</v>
      </c>
      <c r="AO269" s="2" t="s">
        <v>9281</v>
      </c>
      <c r="AP269" s="2" t="s">
        <v>9282</v>
      </c>
      <c r="AQ269" s="2" t="s">
        <v>3635</v>
      </c>
      <c r="AR269" s="2" t="s">
        <v>9283</v>
      </c>
      <c r="AS269" s="2" t="s">
        <v>9284</v>
      </c>
      <c r="AT269" s="2" t="s">
        <v>9285</v>
      </c>
      <c r="AU269" s="2">
        <v>2024.0</v>
      </c>
      <c r="AV269" s="2">
        <v>32.0</v>
      </c>
      <c r="AW269" s="2">
        <v>2.0</v>
      </c>
      <c r="AX269" s="2" t="s">
        <v>3635</v>
      </c>
      <c r="AY269" s="2" t="s">
        <v>3635</v>
      </c>
      <c r="AZ269" s="2" t="s">
        <v>3635</v>
      </c>
      <c r="BA269" s="2" t="s">
        <v>3635</v>
      </c>
      <c r="BB269" s="2">
        <v>209.0</v>
      </c>
      <c r="BC269" s="2">
        <v>235.0</v>
      </c>
      <c r="BD269" s="2" t="s">
        <v>3635</v>
      </c>
      <c r="BE269" s="2" t="s">
        <v>9286</v>
      </c>
      <c r="BF269" s="3" t="str">
        <f>HYPERLINK("http://dx.doi.org/10.1108/IJOA-10-2022-3476","http://dx.doi.org/10.1108/IJOA-10-2022-3476")</f>
        <v>http://dx.doi.org/10.1108/IJOA-10-2022-3476</v>
      </c>
      <c r="BG269" s="2" t="s">
        <v>3635</v>
      </c>
      <c r="BH269" s="2" t="s">
        <v>4790</v>
      </c>
      <c r="BI269" s="2">
        <v>27.0</v>
      </c>
      <c r="BJ269" s="2" t="s">
        <v>5790</v>
      </c>
      <c r="BK269" s="2" t="s">
        <v>3993</v>
      </c>
      <c r="BL269" s="2" t="s">
        <v>3994</v>
      </c>
      <c r="BM269" s="2" t="s">
        <v>9287</v>
      </c>
      <c r="BN269" s="2" t="s">
        <v>3635</v>
      </c>
      <c r="BO269" s="2" t="s">
        <v>3694</v>
      </c>
      <c r="BP269" s="2" t="s">
        <v>3635</v>
      </c>
      <c r="BQ269" s="2" t="s">
        <v>3635</v>
      </c>
      <c r="BR269" s="2" t="s">
        <v>3662</v>
      </c>
      <c r="BS269" s="2" t="s">
        <v>9288</v>
      </c>
      <c r="BT269" s="2" t="str">
        <f>HYPERLINK("https%3A%2F%2Fwww.webofscience.com%2Fwos%2Fwoscc%2Ffull-record%2FWOS:000957808500001","View Full Record in Web of Science")</f>
        <v>View Full Record in Web of Science</v>
      </c>
    </row>
    <row r="270" ht="15.75" customHeight="1">
      <c r="A270" s="2" t="s">
        <v>3633</v>
      </c>
      <c r="B270" s="2" t="s">
        <v>9289</v>
      </c>
      <c r="C270" s="2" t="s">
        <v>3635</v>
      </c>
      <c r="D270" s="2" t="s">
        <v>3635</v>
      </c>
      <c r="E270" s="2" t="s">
        <v>3635</v>
      </c>
      <c r="F270" s="2" t="s">
        <v>9289</v>
      </c>
      <c r="G270" s="2" t="s">
        <v>3635</v>
      </c>
      <c r="H270" s="2" t="s">
        <v>3635</v>
      </c>
      <c r="I270" s="2" t="s">
        <v>9290</v>
      </c>
      <c r="J270" s="2" t="s">
        <v>9291</v>
      </c>
      <c r="K270" s="2" t="s">
        <v>3635</v>
      </c>
      <c r="L270" s="2" t="s">
        <v>3635</v>
      </c>
      <c r="M270" s="2" t="s">
        <v>3638</v>
      </c>
      <c r="N270" s="2" t="s">
        <v>9292</v>
      </c>
      <c r="O270" s="2" t="s">
        <v>3635</v>
      </c>
      <c r="P270" s="2" t="s">
        <v>3635</v>
      </c>
      <c r="Q270" s="2" t="s">
        <v>3635</v>
      </c>
      <c r="R270" s="2" t="s">
        <v>3635</v>
      </c>
      <c r="S270" s="2" t="s">
        <v>3635</v>
      </c>
      <c r="T270" s="2" t="s">
        <v>3635</v>
      </c>
      <c r="U270" s="2" t="s">
        <v>3635</v>
      </c>
      <c r="V270" s="2" t="s">
        <v>9293</v>
      </c>
      <c r="W270" s="2" t="s">
        <v>3635</v>
      </c>
      <c r="X270" s="2" t="s">
        <v>3635</v>
      </c>
      <c r="Y270" s="2" t="s">
        <v>3635</v>
      </c>
      <c r="Z270" s="2" t="s">
        <v>3635</v>
      </c>
      <c r="AA270" s="2" t="s">
        <v>9294</v>
      </c>
      <c r="AB270" s="2" t="s">
        <v>9295</v>
      </c>
      <c r="AC270" s="2" t="s">
        <v>3635</v>
      </c>
      <c r="AD270" s="2" t="s">
        <v>3635</v>
      </c>
      <c r="AE270" s="2" t="s">
        <v>3635</v>
      </c>
      <c r="AF270" s="2" t="s">
        <v>3635</v>
      </c>
      <c r="AG270" s="2">
        <v>0.0</v>
      </c>
      <c r="AH270" s="2">
        <v>1.0</v>
      </c>
      <c r="AI270" s="2">
        <v>1.0</v>
      </c>
      <c r="AJ270" s="2">
        <v>88.0</v>
      </c>
      <c r="AK270" s="2">
        <v>1024.0</v>
      </c>
      <c r="AL270" s="2" t="s">
        <v>5907</v>
      </c>
      <c r="AM270" s="2" t="s">
        <v>5908</v>
      </c>
      <c r="AN270" s="2" t="s">
        <v>5909</v>
      </c>
      <c r="AO270" s="2" t="s">
        <v>9296</v>
      </c>
      <c r="AP270" s="2" t="s">
        <v>9297</v>
      </c>
      <c r="AQ270" s="2" t="s">
        <v>3635</v>
      </c>
      <c r="AR270" s="2" t="s">
        <v>9298</v>
      </c>
      <c r="AS270" s="2" t="s">
        <v>9299</v>
      </c>
      <c r="AT270" s="2" t="s">
        <v>9300</v>
      </c>
      <c r="AU270" s="2">
        <v>2019.0</v>
      </c>
      <c r="AV270" s="2">
        <v>25.0</v>
      </c>
      <c r="AW270" s="2">
        <v>3.0</v>
      </c>
      <c r="AX270" s="2" t="s">
        <v>3635</v>
      </c>
      <c r="AY270" s="2" t="s">
        <v>3635</v>
      </c>
      <c r="AZ270" s="2" t="s">
        <v>3635</v>
      </c>
      <c r="BA270" s="2" t="s">
        <v>3635</v>
      </c>
      <c r="BB270" s="2">
        <v>164.0</v>
      </c>
      <c r="BC270" s="2">
        <v>175.0</v>
      </c>
      <c r="BD270" s="2" t="s">
        <v>3635</v>
      </c>
      <c r="BE270" s="2" t="s">
        <v>9301</v>
      </c>
      <c r="BF270" s="3" t="str">
        <f>HYPERLINK("http://dx.doi.org/10.1080/13814788.2019.1643166","http://dx.doi.org/10.1080/13814788.2019.1643166")</f>
        <v>http://dx.doi.org/10.1080/13814788.2019.1643166</v>
      </c>
      <c r="BG270" s="2" t="s">
        <v>3635</v>
      </c>
      <c r="BH270" s="2" t="s">
        <v>3635</v>
      </c>
      <c r="BI270" s="2">
        <v>12.0</v>
      </c>
      <c r="BJ270" s="2" t="s">
        <v>9302</v>
      </c>
      <c r="BK270" s="2" t="s">
        <v>3658</v>
      </c>
      <c r="BL270" s="2" t="s">
        <v>5941</v>
      </c>
      <c r="BM270" s="2" t="s">
        <v>9303</v>
      </c>
      <c r="BN270" s="2" t="s">
        <v>3635</v>
      </c>
      <c r="BO270" s="2" t="s">
        <v>9304</v>
      </c>
      <c r="BP270" s="2" t="s">
        <v>3635</v>
      </c>
      <c r="BQ270" s="2" t="s">
        <v>3635</v>
      </c>
      <c r="BR270" s="2" t="s">
        <v>3662</v>
      </c>
      <c r="BS270" s="2" t="s">
        <v>9305</v>
      </c>
      <c r="BT270" s="2" t="str">
        <f>HYPERLINK("https%3A%2F%2Fwww.webofscience.com%2Fwos%2Fwoscc%2Ffull-record%2FWOS:000481779500010","View Full Record in Web of Science")</f>
        <v>View Full Record in Web of Science</v>
      </c>
    </row>
    <row r="271" ht="15.75" customHeight="1">
      <c r="A271" s="2" t="s">
        <v>3633</v>
      </c>
      <c r="B271" s="2" t="s">
        <v>9306</v>
      </c>
      <c r="C271" s="2" t="s">
        <v>3635</v>
      </c>
      <c r="D271" s="2" t="s">
        <v>3635</v>
      </c>
      <c r="E271" s="2" t="s">
        <v>3635</v>
      </c>
      <c r="F271" s="2" t="s">
        <v>9307</v>
      </c>
      <c r="G271" s="2" t="s">
        <v>3635</v>
      </c>
      <c r="H271" s="2" t="s">
        <v>3635</v>
      </c>
      <c r="I271" s="2" t="s">
        <v>9308</v>
      </c>
      <c r="J271" s="2" t="s">
        <v>9309</v>
      </c>
      <c r="K271" s="2" t="s">
        <v>3635</v>
      </c>
      <c r="L271" s="2" t="s">
        <v>3635</v>
      </c>
      <c r="M271" s="2" t="s">
        <v>3638</v>
      </c>
      <c r="N271" s="2" t="s">
        <v>21</v>
      </c>
      <c r="O271" s="2" t="s">
        <v>3635</v>
      </c>
      <c r="P271" s="2" t="s">
        <v>3635</v>
      </c>
      <c r="Q271" s="2" t="s">
        <v>3635</v>
      </c>
      <c r="R271" s="2" t="s">
        <v>3635</v>
      </c>
      <c r="S271" s="2" t="s">
        <v>3635</v>
      </c>
      <c r="T271" s="2" t="s">
        <v>9310</v>
      </c>
      <c r="U271" s="2" t="s">
        <v>9311</v>
      </c>
      <c r="V271" s="2" t="s">
        <v>9312</v>
      </c>
      <c r="W271" s="2" t="s">
        <v>9313</v>
      </c>
      <c r="X271" s="2" t="s">
        <v>9314</v>
      </c>
      <c r="Y271" s="2" t="s">
        <v>9315</v>
      </c>
      <c r="Z271" s="2" t="s">
        <v>9316</v>
      </c>
      <c r="AA271" s="2" t="s">
        <v>9317</v>
      </c>
      <c r="AB271" s="2" t="s">
        <v>3635</v>
      </c>
      <c r="AC271" s="2" t="s">
        <v>3635</v>
      </c>
      <c r="AD271" s="2" t="s">
        <v>3635</v>
      </c>
      <c r="AE271" s="2" t="s">
        <v>3635</v>
      </c>
      <c r="AF271" s="2" t="s">
        <v>3635</v>
      </c>
      <c r="AG271" s="2">
        <v>35.0</v>
      </c>
      <c r="AH271" s="2">
        <v>43.0</v>
      </c>
      <c r="AI271" s="2">
        <v>47.0</v>
      </c>
      <c r="AJ271" s="2">
        <v>129.0</v>
      </c>
      <c r="AK271" s="2">
        <v>1712.0</v>
      </c>
      <c r="AL271" s="2" t="s">
        <v>3709</v>
      </c>
      <c r="AM271" s="2" t="s">
        <v>3710</v>
      </c>
      <c r="AN271" s="2" t="s">
        <v>3711</v>
      </c>
      <c r="AO271" s="2" t="s">
        <v>9318</v>
      </c>
      <c r="AP271" s="2" t="s">
        <v>9319</v>
      </c>
      <c r="AQ271" s="2" t="s">
        <v>3635</v>
      </c>
      <c r="AR271" s="2" t="s">
        <v>9309</v>
      </c>
      <c r="AS271" s="2" t="s">
        <v>9320</v>
      </c>
      <c r="AT271" s="2" t="s">
        <v>3953</v>
      </c>
      <c r="AU271" s="2">
        <v>2018.0</v>
      </c>
      <c r="AV271" s="2">
        <v>32.0</v>
      </c>
      <c r="AW271" s="2">
        <v>9.0</v>
      </c>
      <c r="AX271" s="2" t="s">
        <v>3635</v>
      </c>
      <c r="AY271" s="2" t="s">
        <v>3635</v>
      </c>
      <c r="AZ271" s="2" t="s">
        <v>3717</v>
      </c>
      <c r="BA271" s="2" t="s">
        <v>3635</v>
      </c>
      <c r="BB271" s="2">
        <v>541.0</v>
      </c>
      <c r="BC271" s="2">
        <v>552.0</v>
      </c>
      <c r="BD271" s="2" t="s">
        <v>3635</v>
      </c>
      <c r="BE271" s="2" t="s">
        <v>9321</v>
      </c>
      <c r="BF271" s="3" t="str">
        <f>HYPERLINK("http://dx.doi.org/10.1111/bioe.12474","http://dx.doi.org/10.1111/bioe.12474")</f>
        <v>http://dx.doi.org/10.1111/bioe.12474</v>
      </c>
      <c r="BG271" s="2" t="s">
        <v>3635</v>
      </c>
      <c r="BH271" s="2" t="s">
        <v>3635</v>
      </c>
      <c r="BI271" s="2">
        <v>12.0</v>
      </c>
      <c r="BJ271" s="2" t="s">
        <v>9322</v>
      </c>
      <c r="BK271" s="2" t="s">
        <v>4378</v>
      </c>
      <c r="BL271" s="2" t="s">
        <v>9323</v>
      </c>
      <c r="BM271" s="2" t="s">
        <v>9324</v>
      </c>
      <c r="BN271" s="2">
        <v>3.0044895E7</v>
      </c>
      <c r="BO271" s="2" t="s">
        <v>3635</v>
      </c>
      <c r="BP271" s="2" t="s">
        <v>3635</v>
      </c>
      <c r="BQ271" s="2" t="s">
        <v>3635</v>
      </c>
      <c r="BR271" s="2" t="s">
        <v>3662</v>
      </c>
      <c r="BS271" s="2" t="s">
        <v>9325</v>
      </c>
      <c r="BT271" s="2" t="str">
        <f>HYPERLINK("https%3A%2F%2Fwww.webofscience.com%2Fwos%2Fwoscc%2Ffull-record%2FWOS:000450332600002","View Full Record in Web of Science")</f>
        <v>View Full Record in Web of Science</v>
      </c>
    </row>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1.22" defaultRowHeight="15.0"/>
  <cols>
    <col customWidth="1" min="1" max="1" width="54.0"/>
    <col customWidth="1" min="2" max="3" width="3.0"/>
    <col customWidth="1" min="4" max="4" width="4.89"/>
    <col customWidth="1" min="5" max="5" width="4.11"/>
    <col customWidth="1" min="6" max="10" width="3.0"/>
    <col customWidth="1" min="11" max="11" width="2.67"/>
    <col customWidth="1" min="12" max="12" width="6.22"/>
    <col customWidth="1" min="13" max="13" width="31.11"/>
    <col customWidth="1" min="14" max="26" width="3.0"/>
  </cols>
  <sheetData>
    <row r="1" ht="15.75" customHeight="1">
      <c r="A1" s="4" t="s">
        <v>0</v>
      </c>
      <c r="B1" s="4" t="s">
        <v>1</v>
      </c>
      <c r="C1" s="4" t="s">
        <v>1966</v>
      </c>
      <c r="D1" s="4" t="s">
        <v>1965</v>
      </c>
      <c r="E1" s="4" t="s">
        <v>1969</v>
      </c>
      <c r="F1" s="4" t="s">
        <v>1970</v>
      </c>
      <c r="G1" s="4" t="s">
        <v>4</v>
      </c>
      <c r="H1" s="4" t="s">
        <v>1967</v>
      </c>
      <c r="I1" s="4" t="s">
        <v>1968</v>
      </c>
      <c r="K1" s="4" t="s">
        <v>9326</v>
      </c>
    </row>
    <row r="2" ht="15.75" customHeight="1">
      <c r="A2" s="5" t="s">
        <v>1996</v>
      </c>
      <c r="B2" s="1" t="s">
        <v>1987</v>
      </c>
      <c r="C2" s="1" t="s">
        <v>1997</v>
      </c>
      <c r="D2" s="1">
        <v>2021.0</v>
      </c>
      <c r="E2" s="1" t="s">
        <v>1974</v>
      </c>
      <c r="F2" s="1" t="s">
        <v>1975</v>
      </c>
      <c r="G2" s="1" t="s">
        <v>667</v>
      </c>
      <c r="H2" s="1" t="s">
        <v>1998</v>
      </c>
      <c r="I2" s="1">
        <v>18.0</v>
      </c>
      <c r="K2" s="4" t="s">
        <v>9327</v>
      </c>
      <c r="L2" s="6" t="s">
        <v>9328</v>
      </c>
      <c r="M2" s="7" t="s">
        <v>9329</v>
      </c>
    </row>
    <row r="3" ht="15.75" customHeight="1">
      <c r="A3" s="5" t="s">
        <v>1999</v>
      </c>
      <c r="B3" s="1" t="s">
        <v>2000</v>
      </c>
      <c r="C3" s="1" t="s">
        <v>2001</v>
      </c>
      <c r="D3" s="1">
        <v>2013.0</v>
      </c>
      <c r="E3" s="1" t="s">
        <v>1974</v>
      </c>
      <c r="F3" s="1" t="s">
        <v>1975</v>
      </c>
      <c r="G3" s="1" t="s">
        <v>1048</v>
      </c>
      <c r="H3" s="1" t="s">
        <v>2002</v>
      </c>
      <c r="I3" s="1">
        <v>26.0</v>
      </c>
      <c r="K3" s="4" t="s">
        <v>9327</v>
      </c>
      <c r="L3" s="6" t="s">
        <v>9328</v>
      </c>
      <c r="M3" s="8" t="s">
        <v>9330</v>
      </c>
    </row>
    <row r="4" ht="15.75" customHeight="1">
      <c r="A4" s="5" t="s">
        <v>844</v>
      </c>
      <c r="B4" s="1" t="s">
        <v>2003</v>
      </c>
      <c r="C4" s="1" t="s">
        <v>2004</v>
      </c>
      <c r="D4" s="1">
        <v>2020.0</v>
      </c>
      <c r="E4" s="1" t="s">
        <v>1974</v>
      </c>
      <c r="F4" s="1" t="s">
        <v>1975</v>
      </c>
      <c r="G4" s="1" t="s">
        <v>847</v>
      </c>
      <c r="H4" s="1" t="s">
        <v>2005</v>
      </c>
      <c r="I4" s="1">
        <v>6.0</v>
      </c>
      <c r="K4" s="4" t="s">
        <v>9327</v>
      </c>
      <c r="L4" s="6" t="s">
        <v>9328</v>
      </c>
      <c r="M4" s="9" t="s">
        <v>9331</v>
      </c>
    </row>
    <row r="5" ht="15.75" customHeight="1">
      <c r="A5" s="5" t="s">
        <v>2050</v>
      </c>
      <c r="B5" s="1" t="s">
        <v>2051</v>
      </c>
      <c r="C5" s="1" t="s">
        <v>2052</v>
      </c>
      <c r="D5" s="1">
        <v>2014.0</v>
      </c>
      <c r="E5" s="1" t="s">
        <v>1974</v>
      </c>
      <c r="F5" s="1" t="s">
        <v>1975</v>
      </c>
      <c r="G5" s="1" t="s">
        <v>2053</v>
      </c>
      <c r="H5" s="1" t="s">
        <v>2054</v>
      </c>
      <c r="I5" s="1">
        <v>1.0</v>
      </c>
      <c r="K5" s="4" t="s">
        <v>9327</v>
      </c>
      <c r="L5" s="6" t="s">
        <v>9328</v>
      </c>
      <c r="M5" s="1"/>
    </row>
    <row r="6" ht="15.75" customHeight="1">
      <c r="A6" s="5" t="s">
        <v>2092</v>
      </c>
      <c r="B6" s="1" t="s">
        <v>2093</v>
      </c>
      <c r="C6" s="1" t="s">
        <v>2094</v>
      </c>
      <c r="D6" s="1">
        <v>2015.0</v>
      </c>
      <c r="E6" s="1" t="s">
        <v>1974</v>
      </c>
      <c r="F6" s="1" t="s">
        <v>1975</v>
      </c>
      <c r="G6" s="1" t="s">
        <v>2095</v>
      </c>
      <c r="H6" s="1" t="s">
        <v>2096</v>
      </c>
      <c r="I6" s="1">
        <v>3.0</v>
      </c>
      <c r="K6" s="4" t="s">
        <v>9327</v>
      </c>
      <c r="L6" s="6" t="s">
        <v>9328</v>
      </c>
      <c r="M6" s="1"/>
    </row>
    <row r="7" ht="15.75" customHeight="1">
      <c r="A7" s="5" t="s">
        <v>1151</v>
      </c>
      <c r="B7" s="1" t="s">
        <v>2110</v>
      </c>
      <c r="C7" s="1" t="s">
        <v>2111</v>
      </c>
      <c r="D7" s="1">
        <v>2016.0</v>
      </c>
      <c r="E7" s="1" t="s">
        <v>1974</v>
      </c>
      <c r="F7" s="1" t="s">
        <v>1975</v>
      </c>
      <c r="G7" s="1" t="s">
        <v>1154</v>
      </c>
      <c r="H7" s="1" t="s">
        <v>2112</v>
      </c>
      <c r="I7" s="1">
        <v>10.0</v>
      </c>
      <c r="K7" s="4" t="s">
        <v>9327</v>
      </c>
      <c r="L7" s="6" t="s">
        <v>9328</v>
      </c>
    </row>
    <row r="8" ht="15.75" customHeight="1">
      <c r="A8" s="5" t="s">
        <v>2198</v>
      </c>
      <c r="B8" s="1" t="s">
        <v>2199</v>
      </c>
      <c r="C8" s="1" t="s">
        <v>2200</v>
      </c>
      <c r="D8" s="1">
        <v>2015.0</v>
      </c>
      <c r="E8" s="1" t="s">
        <v>1974</v>
      </c>
      <c r="F8" s="1" t="s">
        <v>1975</v>
      </c>
      <c r="G8" s="1" t="s">
        <v>1303</v>
      </c>
      <c r="H8" s="1" t="s">
        <v>2201</v>
      </c>
      <c r="I8" s="1">
        <v>11.0</v>
      </c>
      <c r="K8" s="4" t="s">
        <v>9327</v>
      </c>
      <c r="L8" s="6" t="s">
        <v>9328</v>
      </c>
    </row>
    <row r="9" ht="15.75" customHeight="1">
      <c r="A9" s="5" t="s">
        <v>1187</v>
      </c>
      <c r="B9" s="1" t="s">
        <v>2314</v>
      </c>
      <c r="C9" s="1" t="s">
        <v>2315</v>
      </c>
      <c r="D9" s="1">
        <v>2015.0</v>
      </c>
      <c r="E9" s="1" t="s">
        <v>1974</v>
      </c>
      <c r="F9" s="1" t="s">
        <v>1975</v>
      </c>
      <c r="G9" s="1" t="s">
        <v>1190</v>
      </c>
      <c r="H9" s="1" t="s">
        <v>2316</v>
      </c>
      <c r="I9" s="1">
        <v>2.0</v>
      </c>
      <c r="K9" s="4" t="s">
        <v>9327</v>
      </c>
      <c r="L9" s="6" t="s">
        <v>9328</v>
      </c>
    </row>
    <row r="10" ht="15.75" customHeight="1">
      <c r="A10" s="5" t="s">
        <v>1684</v>
      </c>
      <c r="B10" s="1" t="s">
        <v>2333</v>
      </c>
      <c r="C10" s="1" t="s">
        <v>2334</v>
      </c>
      <c r="D10" s="1">
        <v>2012.0</v>
      </c>
      <c r="E10" s="1" t="s">
        <v>1974</v>
      </c>
      <c r="F10" s="1" t="s">
        <v>1975</v>
      </c>
      <c r="G10" s="1" t="s">
        <v>1686</v>
      </c>
      <c r="H10" s="1" t="s">
        <v>2335</v>
      </c>
      <c r="I10" s="1">
        <v>24.0</v>
      </c>
      <c r="K10" s="4" t="s">
        <v>9327</v>
      </c>
      <c r="L10" s="6" t="s">
        <v>9328</v>
      </c>
      <c r="M10" s="1"/>
    </row>
    <row r="11" ht="15.75" customHeight="1">
      <c r="A11" s="5" t="s">
        <v>2354</v>
      </c>
      <c r="B11" s="1" t="s">
        <v>2355</v>
      </c>
      <c r="C11" s="1" t="s">
        <v>2356</v>
      </c>
      <c r="D11" s="1">
        <v>2021.0</v>
      </c>
      <c r="E11" s="1" t="s">
        <v>1974</v>
      </c>
      <c r="F11" s="1" t="s">
        <v>1975</v>
      </c>
      <c r="G11" s="1" t="s">
        <v>713</v>
      </c>
      <c r="H11" s="1" t="s">
        <v>2357</v>
      </c>
      <c r="I11" s="1">
        <v>3.0</v>
      </c>
      <c r="K11" s="4" t="s">
        <v>9327</v>
      </c>
      <c r="L11" s="6" t="s">
        <v>9328</v>
      </c>
    </row>
    <row r="12" ht="15.75" customHeight="1">
      <c r="A12" s="5" t="s">
        <v>122</v>
      </c>
      <c r="B12" s="1" t="s">
        <v>123</v>
      </c>
      <c r="C12" s="1" t="s">
        <v>124</v>
      </c>
      <c r="D12" s="1">
        <v>2023.0</v>
      </c>
      <c r="E12" s="1" t="s">
        <v>14</v>
      </c>
      <c r="F12" s="1" t="s">
        <v>21</v>
      </c>
      <c r="G12" s="1" t="s">
        <v>125</v>
      </c>
      <c r="H12" s="1" t="s">
        <v>126</v>
      </c>
      <c r="I12" s="1">
        <v>0.0</v>
      </c>
      <c r="K12" s="4" t="s">
        <v>9327</v>
      </c>
      <c r="L12" s="6" t="s">
        <v>9328</v>
      </c>
    </row>
    <row r="13" ht="15.75" customHeight="1">
      <c r="A13" s="5" t="s">
        <v>386</v>
      </c>
      <c r="B13" s="1" t="s">
        <v>387</v>
      </c>
      <c r="C13" s="1" t="s">
        <v>388</v>
      </c>
      <c r="D13" s="1">
        <v>2022.0</v>
      </c>
      <c r="E13" s="1" t="s">
        <v>14</v>
      </c>
      <c r="F13" s="1" t="s">
        <v>15</v>
      </c>
      <c r="G13" s="1" t="s">
        <v>389</v>
      </c>
      <c r="H13" s="1" t="s">
        <v>390</v>
      </c>
      <c r="I13" s="1">
        <v>13.0</v>
      </c>
      <c r="K13" s="4" t="s">
        <v>9327</v>
      </c>
      <c r="L13" s="6" t="s">
        <v>9328</v>
      </c>
    </row>
    <row r="14" ht="15.75" customHeight="1">
      <c r="A14" s="5" t="s">
        <v>1100</v>
      </c>
      <c r="B14" s="1" t="s">
        <v>1101</v>
      </c>
      <c r="C14" s="1" t="s">
        <v>1102</v>
      </c>
      <c r="D14" s="1">
        <v>2017.0</v>
      </c>
      <c r="E14" s="1" t="s">
        <v>14</v>
      </c>
      <c r="F14" s="1" t="s">
        <v>15</v>
      </c>
      <c r="G14" s="1" t="s">
        <v>1103</v>
      </c>
      <c r="H14" s="1" t="s">
        <v>1104</v>
      </c>
      <c r="I14" s="1">
        <v>6.0</v>
      </c>
      <c r="K14" s="4" t="s">
        <v>9327</v>
      </c>
      <c r="L14" s="6" t="s">
        <v>9328</v>
      </c>
    </row>
    <row r="15" ht="15.75" customHeight="1">
      <c r="A15" s="5" t="s">
        <v>1627</v>
      </c>
      <c r="B15" s="1" t="s">
        <v>1628</v>
      </c>
      <c r="C15" s="1" t="s">
        <v>1629</v>
      </c>
      <c r="D15" s="1">
        <v>2010.0</v>
      </c>
      <c r="E15" s="1" t="s">
        <v>14</v>
      </c>
      <c r="F15" s="1" t="s">
        <v>15</v>
      </c>
      <c r="G15" s="1" t="s">
        <v>1630</v>
      </c>
      <c r="H15" s="1" t="s">
        <v>1631</v>
      </c>
      <c r="I15" s="1">
        <v>88.0</v>
      </c>
      <c r="K15" s="4" t="s">
        <v>9327</v>
      </c>
      <c r="L15" s="6" t="s">
        <v>9328</v>
      </c>
    </row>
    <row r="16" ht="15.75" customHeight="1">
      <c r="A16" s="5" t="s">
        <v>1789</v>
      </c>
      <c r="B16" s="1" t="s">
        <v>1628</v>
      </c>
      <c r="C16" s="1" t="s">
        <v>1790</v>
      </c>
      <c r="D16" s="1">
        <v>2011.0</v>
      </c>
      <c r="E16" s="1" t="s">
        <v>14</v>
      </c>
      <c r="F16" s="1" t="s">
        <v>15</v>
      </c>
      <c r="G16" s="1" t="s">
        <v>1791</v>
      </c>
      <c r="H16" s="1" t="s">
        <v>1792</v>
      </c>
      <c r="I16" s="1">
        <v>57.0</v>
      </c>
      <c r="K16" s="4" t="s">
        <v>9327</v>
      </c>
      <c r="L16" s="6" t="s">
        <v>9328</v>
      </c>
    </row>
    <row r="17" ht="15.75" customHeight="1">
      <c r="A17" s="5" t="s">
        <v>462</v>
      </c>
      <c r="B17" s="1" t="s">
        <v>1971</v>
      </c>
      <c r="C17" s="1" t="s">
        <v>1972</v>
      </c>
      <c r="D17" s="1">
        <v>2022.0</v>
      </c>
      <c r="E17" s="1" t="s">
        <v>1974</v>
      </c>
      <c r="F17" s="1" t="s">
        <v>1975</v>
      </c>
      <c r="G17" s="1" t="s">
        <v>465</v>
      </c>
      <c r="H17" s="1" t="s">
        <v>1973</v>
      </c>
      <c r="I17" s="1" t="s">
        <v>3403</v>
      </c>
      <c r="K17" s="4" t="s">
        <v>9327</v>
      </c>
    </row>
    <row r="18" ht="15.75" customHeight="1">
      <c r="A18" s="5" t="s">
        <v>366</v>
      </c>
      <c r="B18" s="1" t="s">
        <v>1984</v>
      </c>
      <c r="C18" s="1" t="s">
        <v>1985</v>
      </c>
      <c r="D18" s="1">
        <v>2023.0</v>
      </c>
      <c r="E18" s="1" t="s">
        <v>1974</v>
      </c>
      <c r="F18" s="1" t="s">
        <v>1975</v>
      </c>
      <c r="G18" s="1" t="s">
        <v>369</v>
      </c>
      <c r="H18" s="1" t="s">
        <v>1986</v>
      </c>
      <c r="I18" s="1">
        <v>2.0</v>
      </c>
      <c r="K18" s="4" t="s">
        <v>9327</v>
      </c>
    </row>
    <row r="19" ht="15.75" customHeight="1">
      <c r="A19" s="5" t="s">
        <v>76</v>
      </c>
      <c r="B19" s="1" t="s">
        <v>1993</v>
      </c>
      <c r="C19" s="1" t="s">
        <v>1994</v>
      </c>
      <c r="D19" s="1">
        <v>2023.0</v>
      </c>
      <c r="E19" s="1" t="s">
        <v>1974</v>
      </c>
      <c r="F19" s="1" t="s">
        <v>1975</v>
      </c>
      <c r="G19" s="1" t="s">
        <v>79</v>
      </c>
      <c r="H19" s="1" t="s">
        <v>1995</v>
      </c>
      <c r="I19" s="1" t="s">
        <v>3403</v>
      </c>
      <c r="K19" s="4" t="s">
        <v>9327</v>
      </c>
      <c r="L19" s="6" t="s">
        <v>9328</v>
      </c>
    </row>
    <row r="20" ht="15.75" customHeight="1">
      <c r="A20" s="5" t="s">
        <v>2010</v>
      </c>
      <c r="B20" s="1" t="s">
        <v>2011</v>
      </c>
      <c r="C20" s="1" t="s">
        <v>2012</v>
      </c>
      <c r="D20" s="1">
        <v>2022.0</v>
      </c>
      <c r="E20" s="1" t="s">
        <v>1974</v>
      </c>
      <c r="F20" s="1" t="s">
        <v>1975</v>
      </c>
      <c r="G20" s="1" t="s">
        <v>2013</v>
      </c>
      <c r="H20" s="1" t="s">
        <v>2014</v>
      </c>
      <c r="I20" s="1">
        <v>4.0</v>
      </c>
      <c r="K20" s="4" t="s">
        <v>9327</v>
      </c>
    </row>
    <row r="21" ht="15.75" customHeight="1">
      <c r="A21" s="5" t="s">
        <v>2015</v>
      </c>
      <c r="B21" s="1" t="s">
        <v>2016</v>
      </c>
      <c r="C21" s="1" t="s">
        <v>2017</v>
      </c>
      <c r="D21" s="1">
        <v>2023.0</v>
      </c>
      <c r="E21" s="1" t="s">
        <v>1974</v>
      </c>
      <c r="F21" s="1" t="s">
        <v>1975</v>
      </c>
      <c r="G21" s="1" t="s">
        <v>2018</v>
      </c>
      <c r="H21" s="1" t="s">
        <v>2019</v>
      </c>
      <c r="I21" s="1" t="s">
        <v>3403</v>
      </c>
      <c r="K21" s="4" t="s">
        <v>9327</v>
      </c>
    </row>
    <row r="22" ht="15.75" customHeight="1">
      <c r="A22" s="5" t="s">
        <v>2028</v>
      </c>
      <c r="B22" s="1" t="s">
        <v>2029</v>
      </c>
      <c r="C22" s="1" t="s">
        <v>2030</v>
      </c>
      <c r="D22" s="1">
        <v>2023.0</v>
      </c>
      <c r="E22" s="1" t="s">
        <v>1974</v>
      </c>
      <c r="F22" s="1" t="s">
        <v>1975</v>
      </c>
      <c r="G22" s="1" t="s">
        <v>2031</v>
      </c>
      <c r="H22" s="1" t="s">
        <v>2032</v>
      </c>
      <c r="I22" s="1">
        <v>1.0</v>
      </c>
      <c r="K22" s="4" t="s">
        <v>9327</v>
      </c>
      <c r="L22" s="6" t="s">
        <v>9328</v>
      </c>
    </row>
    <row r="23" ht="15.75" customHeight="1">
      <c r="A23" s="5" t="s">
        <v>2033</v>
      </c>
      <c r="B23" s="1" t="s">
        <v>2034</v>
      </c>
      <c r="C23" s="1" t="s">
        <v>2035</v>
      </c>
      <c r="D23" s="1">
        <v>2020.0</v>
      </c>
      <c r="E23" s="1" t="s">
        <v>1974</v>
      </c>
      <c r="F23" s="1" t="s">
        <v>1975</v>
      </c>
      <c r="H23" s="1" t="s">
        <v>2036</v>
      </c>
      <c r="I23" s="1">
        <v>4.0</v>
      </c>
      <c r="K23" s="4" t="s">
        <v>9327</v>
      </c>
    </row>
    <row r="24" ht="15.75" customHeight="1">
      <c r="A24" s="5" t="s">
        <v>381</v>
      </c>
      <c r="B24" s="1" t="s">
        <v>2047</v>
      </c>
      <c r="C24" s="1" t="s">
        <v>2048</v>
      </c>
      <c r="D24" s="1">
        <v>2023.0</v>
      </c>
      <c r="E24" s="1" t="s">
        <v>1974</v>
      </c>
      <c r="F24" s="1" t="s">
        <v>1975</v>
      </c>
      <c r="G24" s="1" t="s">
        <v>384</v>
      </c>
      <c r="H24" s="1" t="s">
        <v>2049</v>
      </c>
      <c r="I24" s="1" t="s">
        <v>3403</v>
      </c>
      <c r="K24" s="4" t="s">
        <v>9327</v>
      </c>
    </row>
    <row r="25" ht="15.75" customHeight="1">
      <c r="A25" s="5" t="s">
        <v>1417</v>
      </c>
      <c r="B25" s="1" t="s">
        <v>2078</v>
      </c>
      <c r="C25" s="1" t="s">
        <v>2079</v>
      </c>
      <c r="D25" s="1">
        <v>2012.0</v>
      </c>
      <c r="E25" s="1" t="s">
        <v>1974</v>
      </c>
      <c r="F25" s="1" t="s">
        <v>1975</v>
      </c>
      <c r="G25" s="1" t="s">
        <v>1420</v>
      </c>
      <c r="H25" s="1" t="s">
        <v>2080</v>
      </c>
      <c r="I25" s="1">
        <v>48.0</v>
      </c>
      <c r="K25" s="4" t="s">
        <v>9327</v>
      </c>
    </row>
    <row r="26" ht="15.75" customHeight="1">
      <c r="A26" s="5" t="s">
        <v>571</v>
      </c>
      <c r="B26" s="1" t="s">
        <v>2107</v>
      </c>
      <c r="C26" s="1" t="s">
        <v>2108</v>
      </c>
      <c r="D26" s="1">
        <v>2021.0</v>
      </c>
      <c r="E26" s="1" t="s">
        <v>1974</v>
      </c>
      <c r="F26" s="1" t="s">
        <v>1975</v>
      </c>
      <c r="G26" s="1" t="s">
        <v>574</v>
      </c>
      <c r="H26" s="1" t="s">
        <v>2109</v>
      </c>
      <c r="I26" s="1">
        <v>9.0</v>
      </c>
      <c r="K26" s="4" t="s">
        <v>9327</v>
      </c>
    </row>
    <row r="27" ht="15.75" customHeight="1">
      <c r="A27" s="5" t="s">
        <v>2155</v>
      </c>
      <c r="B27" s="1" t="s">
        <v>2156</v>
      </c>
      <c r="C27" s="1" t="s">
        <v>2157</v>
      </c>
      <c r="D27" s="1">
        <v>2022.0</v>
      </c>
      <c r="E27" s="1" t="s">
        <v>1974</v>
      </c>
      <c r="F27" s="1" t="s">
        <v>1975</v>
      </c>
      <c r="G27" s="1" t="s">
        <v>2158</v>
      </c>
      <c r="H27" s="1" t="s">
        <v>2159</v>
      </c>
      <c r="I27" s="1">
        <v>1.0</v>
      </c>
      <c r="K27" s="4" t="s">
        <v>9327</v>
      </c>
    </row>
    <row r="28" ht="15.75" customHeight="1">
      <c r="A28" s="5" t="s">
        <v>2168</v>
      </c>
      <c r="B28" s="1" t="s">
        <v>2169</v>
      </c>
      <c r="C28" s="1" t="s">
        <v>2012</v>
      </c>
      <c r="D28" s="1">
        <v>2022.0</v>
      </c>
      <c r="E28" s="1" t="s">
        <v>1974</v>
      </c>
      <c r="F28" s="1" t="s">
        <v>1975</v>
      </c>
      <c r="G28" s="1" t="s">
        <v>2170</v>
      </c>
      <c r="H28" s="1" t="s">
        <v>2171</v>
      </c>
      <c r="I28" s="1">
        <v>9.0</v>
      </c>
      <c r="K28" s="4" t="s">
        <v>9327</v>
      </c>
    </row>
    <row r="29" ht="15.75" customHeight="1">
      <c r="A29" s="5" t="s">
        <v>789</v>
      </c>
      <c r="B29" s="1" t="s">
        <v>2177</v>
      </c>
      <c r="C29" s="1" t="s">
        <v>2178</v>
      </c>
      <c r="D29" s="1">
        <v>2021.0</v>
      </c>
      <c r="E29" s="1" t="s">
        <v>1974</v>
      </c>
      <c r="F29" s="1" t="s">
        <v>1975</v>
      </c>
      <c r="G29" s="1" t="s">
        <v>792</v>
      </c>
      <c r="H29" s="1" t="s">
        <v>2179</v>
      </c>
      <c r="I29" s="1">
        <v>1.0</v>
      </c>
      <c r="K29" s="4" t="s">
        <v>9327</v>
      </c>
    </row>
    <row r="30" ht="15.75" customHeight="1">
      <c r="A30" s="5" t="s">
        <v>1036</v>
      </c>
      <c r="B30" s="1" t="s">
        <v>2184</v>
      </c>
      <c r="C30" s="1" t="s">
        <v>2185</v>
      </c>
      <c r="D30" s="1">
        <v>2013.0</v>
      </c>
      <c r="E30" s="1" t="s">
        <v>1974</v>
      </c>
      <c r="F30" s="1" t="s">
        <v>1975</v>
      </c>
      <c r="G30" s="1" t="s">
        <v>1038</v>
      </c>
      <c r="H30" s="1" t="s">
        <v>2186</v>
      </c>
      <c r="I30" s="1">
        <v>16.0</v>
      </c>
      <c r="K30" s="4" t="s">
        <v>9327</v>
      </c>
    </row>
    <row r="31" ht="15.75" customHeight="1">
      <c r="A31" s="5" t="s">
        <v>2215</v>
      </c>
      <c r="B31" s="1" t="s">
        <v>2216</v>
      </c>
      <c r="C31" s="1" t="s">
        <v>1382</v>
      </c>
      <c r="D31" s="1">
        <v>2024.0</v>
      </c>
      <c r="E31" s="1" t="s">
        <v>1974</v>
      </c>
      <c r="F31" s="1" t="s">
        <v>2101</v>
      </c>
      <c r="G31" s="1" t="s">
        <v>2217</v>
      </c>
      <c r="H31" s="1" t="s">
        <v>2218</v>
      </c>
      <c r="I31" s="1" t="s">
        <v>3403</v>
      </c>
      <c r="K31" s="4" t="s">
        <v>9327</v>
      </c>
    </row>
    <row r="32" ht="15.75" customHeight="1">
      <c r="A32" s="5" t="s">
        <v>2236</v>
      </c>
      <c r="B32" s="1" t="s">
        <v>2237</v>
      </c>
      <c r="C32" s="1" t="s">
        <v>1382</v>
      </c>
      <c r="D32" s="1">
        <v>2023.0</v>
      </c>
      <c r="E32" s="1" t="s">
        <v>1974</v>
      </c>
      <c r="F32" s="1" t="s">
        <v>2101</v>
      </c>
      <c r="G32" s="1" t="s">
        <v>2238</v>
      </c>
      <c r="H32" s="1" t="s">
        <v>2239</v>
      </c>
      <c r="I32" s="1">
        <v>1.0</v>
      </c>
      <c r="K32" s="4" t="s">
        <v>9327</v>
      </c>
    </row>
    <row r="33" ht="15.75" customHeight="1">
      <c r="A33" s="5" t="s">
        <v>651</v>
      </c>
      <c r="B33" s="1" t="s">
        <v>2253</v>
      </c>
      <c r="C33" s="1" t="s">
        <v>2254</v>
      </c>
      <c r="D33" s="1">
        <v>2021.0</v>
      </c>
      <c r="E33" s="1" t="s">
        <v>1974</v>
      </c>
      <c r="F33" s="1" t="s">
        <v>1975</v>
      </c>
      <c r="G33" s="1" t="s">
        <v>654</v>
      </c>
      <c r="H33" s="1" t="s">
        <v>2255</v>
      </c>
      <c r="I33" s="1">
        <v>1.0</v>
      </c>
      <c r="K33" s="4" t="s">
        <v>9327</v>
      </c>
    </row>
    <row r="34" ht="15.75" customHeight="1">
      <c r="A34" s="5" t="s">
        <v>2256</v>
      </c>
      <c r="B34" s="1" t="s">
        <v>2257</v>
      </c>
      <c r="C34" s="1" t="s">
        <v>2258</v>
      </c>
      <c r="D34" s="1">
        <v>2021.0</v>
      </c>
      <c r="E34" s="1" t="s">
        <v>1974</v>
      </c>
      <c r="F34" s="1" t="s">
        <v>1975</v>
      </c>
      <c r="G34" s="1" t="s">
        <v>2259</v>
      </c>
      <c r="H34" s="1" t="s">
        <v>2260</v>
      </c>
      <c r="I34" s="1">
        <v>2.0</v>
      </c>
      <c r="K34" s="4" t="s">
        <v>9327</v>
      </c>
    </row>
    <row r="35" ht="15.75" customHeight="1">
      <c r="A35" s="5" t="s">
        <v>2265</v>
      </c>
      <c r="B35" s="1" t="s">
        <v>2266</v>
      </c>
      <c r="C35" s="1" t="s">
        <v>2267</v>
      </c>
      <c r="D35" s="1">
        <v>2020.0</v>
      </c>
      <c r="E35" s="1" t="s">
        <v>1974</v>
      </c>
      <c r="F35" s="1" t="s">
        <v>1975</v>
      </c>
      <c r="H35" s="1" t="s">
        <v>2268</v>
      </c>
      <c r="I35" s="1" t="s">
        <v>3403</v>
      </c>
      <c r="K35" s="4" t="s">
        <v>9327</v>
      </c>
    </row>
    <row r="36" ht="15.75" customHeight="1">
      <c r="A36" s="5" t="s">
        <v>170</v>
      </c>
      <c r="B36" s="1" t="s">
        <v>2277</v>
      </c>
      <c r="C36" s="1" t="s">
        <v>172</v>
      </c>
      <c r="D36" s="1">
        <v>2023.0</v>
      </c>
      <c r="E36" s="1" t="s">
        <v>1974</v>
      </c>
      <c r="F36" s="1" t="s">
        <v>2101</v>
      </c>
      <c r="G36" s="1" t="s">
        <v>173</v>
      </c>
      <c r="H36" s="1" t="s">
        <v>2278</v>
      </c>
      <c r="I36" s="1">
        <v>1.0</v>
      </c>
      <c r="K36" s="4" t="s">
        <v>9327</v>
      </c>
    </row>
    <row r="37" ht="15.75" customHeight="1">
      <c r="A37" s="5" t="s">
        <v>81</v>
      </c>
      <c r="B37" s="1" t="s">
        <v>2282</v>
      </c>
      <c r="C37" s="1" t="s">
        <v>2022</v>
      </c>
      <c r="D37" s="1">
        <v>2023.0</v>
      </c>
      <c r="E37" s="1" t="s">
        <v>1974</v>
      </c>
      <c r="F37" s="1" t="s">
        <v>1975</v>
      </c>
      <c r="G37" s="1" t="s">
        <v>83</v>
      </c>
      <c r="H37" s="1" t="s">
        <v>2283</v>
      </c>
      <c r="I37" s="1">
        <v>2.0</v>
      </c>
      <c r="K37" s="4" t="s">
        <v>9327</v>
      </c>
      <c r="L37" s="6" t="s">
        <v>9328</v>
      </c>
    </row>
    <row r="38" ht="15.75" customHeight="1">
      <c r="A38" s="5" t="s">
        <v>2302</v>
      </c>
      <c r="B38" s="1" t="s">
        <v>2303</v>
      </c>
      <c r="C38" s="1" t="s">
        <v>1985</v>
      </c>
      <c r="D38" s="1">
        <v>2023.0</v>
      </c>
      <c r="E38" s="1" t="s">
        <v>1974</v>
      </c>
      <c r="F38" s="1" t="s">
        <v>1975</v>
      </c>
      <c r="G38" s="1" t="s">
        <v>2304</v>
      </c>
      <c r="H38" s="1" t="s">
        <v>2305</v>
      </c>
      <c r="I38" s="1">
        <v>1.0</v>
      </c>
      <c r="K38" s="4" t="s">
        <v>9327</v>
      </c>
    </row>
    <row r="39" ht="15.75" customHeight="1">
      <c r="A39" s="5" t="s">
        <v>2326</v>
      </c>
      <c r="B39" s="1" t="s">
        <v>2327</v>
      </c>
      <c r="C39" s="1" t="s">
        <v>738</v>
      </c>
      <c r="D39" s="1">
        <v>2019.0</v>
      </c>
      <c r="E39" s="1" t="s">
        <v>1974</v>
      </c>
      <c r="F39" s="1" t="s">
        <v>2101</v>
      </c>
      <c r="G39" s="1" t="s">
        <v>739</v>
      </c>
      <c r="H39" s="1" t="s">
        <v>2328</v>
      </c>
      <c r="I39" s="1">
        <v>34.0</v>
      </c>
      <c r="K39" s="4" t="s">
        <v>9327</v>
      </c>
    </row>
    <row r="40" ht="15.75" customHeight="1">
      <c r="A40" s="5" t="s">
        <v>2329</v>
      </c>
      <c r="B40" s="1" t="s">
        <v>2330</v>
      </c>
      <c r="C40" s="1" t="s">
        <v>2331</v>
      </c>
      <c r="D40" s="1">
        <v>2020.0</v>
      </c>
      <c r="E40" s="1" t="s">
        <v>1974</v>
      </c>
      <c r="F40" s="1" t="s">
        <v>1975</v>
      </c>
      <c r="G40" s="1" t="s">
        <v>537</v>
      </c>
      <c r="H40" s="1" t="s">
        <v>2332</v>
      </c>
      <c r="I40" s="1">
        <v>3.0</v>
      </c>
      <c r="K40" s="4" t="s">
        <v>9327</v>
      </c>
    </row>
    <row r="41" ht="15.75" customHeight="1">
      <c r="A41" s="5" t="s">
        <v>2340</v>
      </c>
      <c r="B41" s="1" t="s">
        <v>2341</v>
      </c>
      <c r="C41" s="1" t="s">
        <v>2342</v>
      </c>
      <c r="D41" s="1">
        <v>2016.0</v>
      </c>
      <c r="E41" s="1" t="s">
        <v>1974</v>
      </c>
      <c r="F41" s="1" t="s">
        <v>1975</v>
      </c>
      <c r="G41" s="1" t="s">
        <v>1393</v>
      </c>
      <c r="H41" s="1" t="s">
        <v>2343</v>
      </c>
      <c r="I41" s="1">
        <v>3.0</v>
      </c>
      <c r="K41" s="4" t="s">
        <v>9327</v>
      </c>
    </row>
    <row r="42" ht="15.75" customHeight="1">
      <c r="A42" s="5" t="s">
        <v>2544</v>
      </c>
      <c r="B42" s="1" t="s">
        <v>2545</v>
      </c>
      <c r="C42" s="1" t="s">
        <v>2546</v>
      </c>
      <c r="D42" s="1">
        <v>2018.0</v>
      </c>
      <c r="E42" s="1" t="s">
        <v>1974</v>
      </c>
      <c r="F42" s="1" t="s">
        <v>1975</v>
      </c>
      <c r="G42" s="1" t="s">
        <v>2547</v>
      </c>
      <c r="H42" s="1" t="s">
        <v>2548</v>
      </c>
      <c r="I42" s="1">
        <v>69.0</v>
      </c>
      <c r="K42" s="4" t="s">
        <v>9327</v>
      </c>
    </row>
    <row r="43" ht="15.75" customHeight="1">
      <c r="A43" s="5" t="s">
        <v>1227</v>
      </c>
      <c r="B43" s="1" t="s">
        <v>2549</v>
      </c>
      <c r="C43" s="1" t="s">
        <v>738</v>
      </c>
      <c r="D43" s="1">
        <v>2018.0</v>
      </c>
      <c r="E43" s="1" t="s">
        <v>1974</v>
      </c>
      <c r="F43" s="1" t="s">
        <v>2101</v>
      </c>
      <c r="G43" s="1" t="s">
        <v>1229</v>
      </c>
      <c r="H43" s="1" t="s">
        <v>2550</v>
      </c>
      <c r="I43" s="1">
        <v>34.0</v>
      </c>
      <c r="K43" s="4" t="s">
        <v>9327</v>
      </c>
    </row>
    <row r="44" ht="15.75" customHeight="1">
      <c r="A44" s="5" t="s">
        <v>2736</v>
      </c>
      <c r="B44" s="1" t="s">
        <v>2737</v>
      </c>
      <c r="C44" s="1" t="s">
        <v>2738</v>
      </c>
      <c r="D44" s="1">
        <v>2019.0</v>
      </c>
      <c r="E44" s="1" t="s">
        <v>1974</v>
      </c>
      <c r="F44" s="1" t="s">
        <v>1975</v>
      </c>
      <c r="H44" s="1" t="s">
        <v>2739</v>
      </c>
      <c r="I44" s="1" t="s">
        <v>3403</v>
      </c>
      <c r="K44" s="4" t="s">
        <v>9327</v>
      </c>
    </row>
    <row r="45" ht="15.75" customHeight="1">
      <c r="A45" s="5" t="s">
        <v>2804</v>
      </c>
      <c r="B45" s="1" t="s">
        <v>2805</v>
      </c>
      <c r="C45" s="1" t="s">
        <v>2012</v>
      </c>
      <c r="D45" s="1">
        <v>2022.0</v>
      </c>
      <c r="E45" s="1" t="s">
        <v>1974</v>
      </c>
      <c r="F45" s="1" t="s">
        <v>1975</v>
      </c>
      <c r="G45" s="1" t="s">
        <v>2806</v>
      </c>
      <c r="H45" s="1" t="s">
        <v>2807</v>
      </c>
      <c r="I45" s="1" t="s">
        <v>3403</v>
      </c>
      <c r="K45" s="4" t="s">
        <v>9327</v>
      </c>
    </row>
    <row r="46" ht="15.75" customHeight="1">
      <c r="A46" s="5" t="s">
        <v>3053</v>
      </c>
      <c r="B46" s="1" t="s">
        <v>3054</v>
      </c>
      <c r="C46" s="1" t="s">
        <v>2022</v>
      </c>
      <c r="D46" s="1">
        <v>2023.0</v>
      </c>
      <c r="E46" s="1" t="s">
        <v>1974</v>
      </c>
      <c r="F46" s="1" t="s">
        <v>1975</v>
      </c>
      <c r="G46" s="1" t="s">
        <v>3055</v>
      </c>
      <c r="H46" s="1" t="s">
        <v>3056</v>
      </c>
      <c r="I46" s="1">
        <v>3.0</v>
      </c>
      <c r="K46" s="4" t="s">
        <v>9327</v>
      </c>
    </row>
    <row r="47" ht="15.75" customHeight="1">
      <c r="A47" s="5" t="s">
        <v>160</v>
      </c>
      <c r="B47" s="1" t="s">
        <v>161</v>
      </c>
      <c r="C47" s="1" t="s">
        <v>162</v>
      </c>
      <c r="D47" s="1">
        <v>2024.0</v>
      </c>
      <c r="E47" s="1" t="s">
        <v>14</v>
      </c>
      <c r="F47" s="1" t="s">
        <v>21</v>
      </c>
      <c r="G47" s="1" t="s">
        <v>163</v>
      </c>
      <c r="H47" s="1" t="s">
        <v>164</v>
      </c>
      <c r="I47" s="1">
        <v>0.0</v>
      </c>
      <c r="K47" s="4" t="s">
        <v>9327</v>
      </c>
    </row>
    <row r="48" ht="15.75" customHeight="1">
      <c r="A48" s="5" t="s">
        <v>224</v>
      </c>
      <c r="B48" s="1" t="s">
        <v>225</v>
      </c>
      <c r="C48" s="1" t="s">
        <v>226</v>
      </c>
      <c r="D48" s="1">
        <v>2022.0</v>
      </c>
      <c r="E48" s="1" t="s">
        <v>14</v>
      </c>
      <c r="F48" s="1" t="s">
        <v>15</v>
      </c>
      <c r="G48" s="1" t="s">
        <v>227</v>
      </c>
      <c r="H48" s="1" t="s">
        <v>228</v>
      </c>
      <c r="I48" s="1">
        <v>8.0</v>
      </c>
      <c r="K48" s="4" t="s">
        <v>9327</v>
      </c>
    </row>
    <row r="49" ht="15.0" customHeight="1">
      <c r="A49" s="5" t="s">
        <v>265</v>
      </c>
      <c r="B49" s="1" t="s">
        <v>266</v>
      </c>
      <c r="C49" s="1" t="s">
        <v>267</v>
      </c>
      <c r="D49" s="1">
        <v>2023.0</v>
      </c>
      <c r="E49" s="1" t="s">
        <v>14</v>
      </c>
      <c r="F49" s="1" t="s">
        <v>21</v>
      </c>
      <c r="G49" s="1" t="s">
        <v>268</v>
      </c>
      <c r="H49" s="1" t="s">
        <v>269</v>
      </c>
      <c r="I49" s="1">
        <v>0.0</v>
      </c>
      <c r="K49" s="4" t="s">
        <v>9327</v>
      </c>
    </row>
    <row r="50" ht="15.75" customHeight="1">
      <c r="A50" s="5" t="s">
        <v>290</v>
      </c>
      <c r="B50" s="1" t="s">
        <v>291</v>
      </c>
      <c r="C50" s="1" t="s">
        <v>292</v>
      </c>
      <c r="D50" s="1">
        <v>2022.0</v>
      </c>
      <c r="E50" s="1" t="s">
        <v>14</v>
      </c>
      <c r="F50" s="1" t="s">
        <v>15</v>
      </c>
      <c r="G50" s="1" t="s">
        <v>293</v>
      </c>
      <c r="H50" s="1" t="s">
        <v>294</v>
      </c>
      <c r="I50" s="1">
        <v>2.0</v>
      </c>
      <c r="K50" s="4" t="s">
        <v>9327</v>
      </c>
    </row>
    <row r="51" ht="15.75" customHeight="1">
      <c r="A51" s="5" t="s">
        <v>410</v>
      </c>
      <c r="B51" s="1" t="s">
        <v>411</v>
      </c>
      <c r="C51" s="1" t="s">
        <v>412</v>
      </c>
      <c r="D51" s="1">
        <v>2023.0</v>
      </c>
      <c r="E51" s="1" t="s">
        <v>14</v>
      </c>
      <c r="F51" s="1" t="s">
        <v>21</v>
      </c>
      <c r="G51" s="1" t="s">
        <v>413</v>
      </c>
      <c r="H51" s="1" t="s">
        <v>414</v>
      </c>
      <c r="I51" s="1">
        <v>0.0</v>
      </c>
      <c r="K51" s="4" t="s">
        <v>9327</v>
      </c>
    </row>
    <row r="52" ht="15.75" customHeight="1">
      <c r="A52" s="5" t="s">
        <v>484</v>
      </c>
      <c r="B52" s="1" t="s">
        <v>485</v>
      </c>
      <c r="C52" s="1" t="s">
        <v>486</v>
      </c>
      <c r="D52" s="1">
        <v>2022.0</v>
      </c>
      <c r="E52" s="1" t="s">
        <v>14</v>
      </c>
      <c r="F52" s="1" t="s">
        <v>15</v>
      </c>
      <c r="H52" s="1" t="s">
        <v>487</v>
      </c>
      <c r="I52" s="1">
        <v>10.0</v>
      </c>
      <c r="K52" s="4" t="s">
        <v>9327</v>
      </c>
      <c r="L52" s="6" t="s">
        <v>9328</v>
      </c>
    </row>
    <row r="53" ht="15.75" customHeight="1">
      <c r="A53" s="5" t="s">
        <v>746</v>
      </c>
      <c r="B53" s="1" t="s">
        <v>747</v>
      </c>
      <c r="C53" s="1" t="s">
        <v>748</v>
      </c>
      <c r="D53" s="1">
        <v>2019.0</v>
      </c>
      <c r="E53" s="1" t="s">
        <v>14</v>
      </c>
      <c r="F53" s="1" t="s">
        <v>21</v>
      </c>
      <c r="G53" s="1" t="s">
        <v>749</v>
      </c>
      <c r="H53" s="1" t="s">
        <v>750</v>
      </c>
      <c r="I53" s="1">
        <v>4.0</v>
      </c>
      <c r="K53" s="4" t="s">
        <v>9327</v>
      </c>
    </row>
    <row r="54" ht="15.75" customHeight="1">
      <c r="A54" s="5" t="s">
        <v>807</v>
      </c>
      <c r="B54" s="1" t="s">
        <v>808</v>
      </c>
      <c r="C54" s="1" t="s">
        <v>292</v>
      </c>
      <c r="D54" s="1">
        <v>2020.0</v>
      </c>
      <c r="E54" s="1" t="s">
        <v>14</v>
      </c>
      <c r="F54" s="1" t="s">
        <v>15</v>
      </c>
      <c r="G54" s="1" t="s">
        <v>809</v>
      </c>
      <c r="H54" s="1" t="s">
        <v>810</v>
      </c>
      <c r="I54" s="1">
        <v>13.0</v>
      </c>
      <c r="K54" s="4" t="s">
        <v>9327</v>
      </c>
    </row>
    <row r="55" ht="15.75" customHeight="1">
      <c r="A55" s="5" t="s">
        <v>1557</v>
      </c>
      <c r="B55" s="1" t="s">
        <v>1558</v>
      </c>
      <c r="C55" s="1" t="s">
        <v>1559</v>
      </c>
      <c r="D55" s="1">
        <v>2004.0</v>
      </c>
      <c r="E55" s="1" t="s">
        <v>14</v>
      </c>
      <c r="F55" s="1" t="s">
        <v>21</v>
      </c>
      <c r="G55" s="1" t="s">
        <v>1560</v>
      </c>
      <c r="H55" s="1" t="s">
        <v>1561</v>
      </c>
      <c r="I55" s="1">
        <v>1.0</v>
      </c>
      <c r="K55" s="4" t="s">
        <v>9327</v>
      </c>
    </row>
    <row r="56" ht="15.75" customHeight="1">
      <c r="A56" s="5" t="s">
        <v>3422</v>
      </c>
      <c r="B56" s="1" t="s">
        <v>3423</v>
      </c>
      <c r="C56" s="1" t="s">
        <v>3424</v>
      </c>
      <c r="D56" s="1">
        <v>2023.0</v>
      </c>
      <c r="E56" s="1" t="s">
        <v>3404</v>
      </c>
      <c r="F56" s="1" t="s">
        <v>3405</v>
      </c>
      <c r="G56" s="1" t="s">
        <v>3425</v>
      </c>
      <c r="H56" s="1" t="s">
        <v>3426</v>
      </c>
      <c r="I56" s="1" t="s">
        <v>3403</v>
      </c>
      <c r="K56" s="4" t="s">
        <v>9327</v>
      </c>
    </row>
    <row r="57" ht="15.75" customHeight="1">
      <c r="A57" s="5" t="s">
        <v>3427</v>
      </c>
      <c r="B57" s="1" t="s">
        <v>3428</v>
      </c>
      <c r="C57" s="1" t="s">
        <v>3414</v>
      </c>
      <c r="D57" s="1">
        <v>2024.0</v>
      </c>
      <c r="E57" s="1" t="s">
        <v>3404</v>
      </c>
      <c r="F57" s="1" t="s">
        <v>3416</v>
      </c>
      <c r="G57" s="1" t="s">
        <v>3429</v>
      </c>
      <c r="H57" s="1" t="s">
        <v>3430</v>
      </c>
      <c r="I57" s="1" t="s">
        <v>3403</v>
      </c>
      <c r="K57" s="4" t="s">
        <v>9327</v>
      </c>
    </row>
    <row r="58" ht="15.75" customHeight="1">
      <c r="A58" s="5" t="s">
        <v>3442</v>
      </c>
      <c r="B58" s="1" t="s">
        <v>3443</v>
      </c>
      <c r="C58" s="1" t="s">
        <v>3444</v>
      </c>
      <c r="D58" s="1">
        <v>2021.0</v>
      </c>
      <c r="E58" s="1" t="s">
        <v>3404</v>
      </c>
      <c r="F58" s="1" t="s">
        <v>3405</v>
      </c>
      <c r="G58" s="1" t="s">
        <v>354</v>
      </c>
      <c r="H58" s="1" t="s">
        <v>3445</v>
      </c>
      <c r="I58" s="1" t="s">
        <v>3403</v>
      </c>
      <c r="K58" s="4" t="s">
        <v>9327</v>
      </c>
    </row>
    <row r="59" ht="15.75" customHeight="1">
      <c r="A59" s="5" t="s">
        <v>3562</v>
      </c>
      <c r="B59" s="1" t="s">
        <v>3563</v>
      </c>
      <c r="C59" s="1" t="s">
        <v>3440</v>
      </c>
      <c r="D59" s="1">
        <v>2024.0</v>
      </c>
      <c r="E59" s="1" t="s">
        <v>3404</v>
      </c>
      <c r="F59" s="1" t="s">
        <v>3405</v>
      </c>
      <c r="G59" s="1" t="s">
        <v>3564</v>
      </c>
      <c r="H59" s="1" t="s">
        <v>3565</v>
      </c>
      <c r="I59" s="1" t="s">
        <v>3403</v>
      </c>
      <c r="K59" s="4" t="s">
        <v>9327</v>
      </c>
    </row>
    <row r="60" ht="15.75" customHeight="1">
      <c r="A60" s="5" t="s">
        <v>2055</v>
      </c>
      <c r="B60" s="1" t="s">
        <v>2056</v>
      </c>
      <c r="C60" s="1" t="s">
        <v>2057</v>
      </c>
      <c r="D60" s="1">
        <v>2012.0</v>
      </c>
      <c r="E60" s="1" t="s">
        <v>1974</v>
      </c>
      <c r="F60" s="1" t="s">
        <v>1975</v>
      </c>
      <c r="G60" s="1" t="s">
        <v>1509</v>
      </c>
      <c r="H60" s="1" t="s">
        <v>2058</v>
      </c>
      <c r="I60" s="1">
        <v>22.0</v>
      </c>
      <c r="K60" s="4" t="s">
        <v>9327</v>
      </c>
    </row>
    <row r="61" ht="15.75" customHeight="1">
      <c r="A61" s="5" t="s">
        <v>2113</v>
      </c>
      <c r="B61" s="1" t="s">
        <v>2114</v>
      </c>
      <c r="C61" s="1" t="s">
        <v>2115</v>
      </c>
      <c r="D61" s="1">
        <v>2014.0</v>
      </c>
      <c r="E61" s="1" t="s">
        <v>1974</v>
      </c>
      <c r="F61" s="1" t="s">
        <v>1975</v>
      </c>
      <c r="G61" s="1" t="s">
        <v>1209</v>
      </c>
      <c r="H61" s="1" t="s">
        <v>2116</v>
      </c>
      <c r="I61" s="1">
        <v>4.0</v>
      </c>
      <c r="K61" s="4" t="s">
        <v>9327</v>
      </c>
    </row>
    <row r="62" ht="15.75" customHeight="1">
      <c r="A62" s="5" t="s">
        <v>1062</v>
      </c>
      <c r="B62" s="1" t="s">
        <v>2165</v>
      </c>
      <c r="C62" s="1" t="s">
        <v>2166</v>
      </c>
      <c r="D62" s="1">
        <v>2013.0</v>
      </c>
      <c r="E62" s="1" t="s">
        <v>1974</v>
      </c>
      <c r="F62" s="1" t="s">
        <v>1975</v>
      </c>
      <c r="G62" s="1" t="s">
        <v>1065</v>
      </c>
      <c r="H62" s="1" t="s">
        <v>2167</v>
      </c>
      <c r="I62" s="1">
        <v>3.0</v>
      </c>
      <c r="K62" s="4" t="s">
        <v>9327</v>
      </c>
    </row>
    <row r="63" ht="15.75" customHeight="1">
      <c r="A63" s="5" t="s">
        <v>2187</v>
      </c>
      <c r="B63" s="1" t="s">
        <v>2188</v>
      </c>
      <c r="C63" s="1" t="s">
        <v>73</v>
      </c>
      <c r="D63" s="1">
        <v>2023.0</v>
      </c>
      <c r="E63" s="1" t="s">
        <v>1974</v>
      </c>
      <c r="F63" s="1" t="s">
        <v>2101</v>
      </c>
      <c r="G63" s="1" t="s">
        <v>2189</v>
      </c>
      <c r="H63" s="1" t="s">
        <v>2190</v>
      </c>
      <c r="I63" s="1" t="s">
        <v>3403</v>
      </c>
      <c r="K63" s="4" t="s">
        <v>9327</v>
      </c>
    </row>
    <row r="64" ht="15.75" customHeight="1">
      <c r="A64" s="5" t="s">
        <v>2360</v>
      </c>
      <c r="B64" s="1" t="s">
        <v>2361</v>
      </c>
      <c r="C64" s="1" t="s">
        <v>2362</v>
      </c>
      <c r="D64" s="1">
        <v>2023.0</v>
      </c>
      <c r="E64" s="1" t="s">
        <v>1974</v>
      </c>
      <c r="F64" s="1" t="s">
        <v>2101</v>
      </c>
      <c r="G64" s="1" t="s">
        <v>2363</v>
      </c>
      <c r="H64" s="1" t="s">
        <v>2364</v>
      </c>
      <c r="I64" s="1" t="s">
        <v>3403</v>
      </c>
      <c r="K64" s="4" t="s">
        <v>9327</v>
      </c>
    </row>
    <row r="65" ht="15.75" customHeight="1">
      <c r="A65" s="5" t="s">
        <v>2442</v>
      </c>
      <c r="B65" s="1" t="s">
        <v>2443</v>
      </c>
      <c r="C65" s="1" t="s">
        <v>2444</v>
      </c>
      <c r="D65" s="1">
        <v>2023.0</v>
      </c>
      <c r="E65" s="1" t="s">
        <v>1974</v>
      </c>
      <c r="F65" s="1" t="s">
        <v>1975</v>
      </c>
      <c r="G65" s="1" t="s">
        <v>2445</v>
      </c>
      <c r="H65" s="1" t="s">
        <v>2446</v>
      </c>
      <c r="I65" s="1" t="s">
        <v>3403</v>
      </c>
      <c r="K65" s="4" t="s">
        <v>9327</v>
      </c>
    </row>
    <row r="66" ht="15.75" customHeight="1">
      <c r="A66" s="5" t="s">
        <v>142</v>
      </c>
      <c r="B66" s="1" t="s">
        <v>143</v>
      </c>
      <c r="C66" s="1" t="s">
        <v>63</v>
      </c>
      <c r="D66" s="1">
        <v>2022.0</v>
      </c>
      <c r="E66" s="1" t="s">
        <v>14</v>
      </c>
      <c r="F66" s="1" t="s">
        <v>15</v>
      </c>
      <c r="G66" s="1" t="s">
        <v>144</v>
      </c>
      <c r="H66" s="1" t="s">
        <v>145</v>
      </c>
      <c r="I66" s="1">
        <v>1.0</v>
      </c>
      <c r="K66" s="4" t="s">
        <v>9327</v>
      </c>
    </row>
    <row r="67" ht="15.75" customHeight="1">
      <c r="A67" s="5" t="s">
        <v>502</v>
      </c>
      <c r="B67" s="1" t="s">
        <v>503</v>
      </c>
      <c r="C67" s="1" t="s">
        <v>504</v>
      </c>
      <c r="D67" s="1">
        <v>2021.0</v>
      </c>
      <c r="E67" s="1" t="s">
        <v>14</v>
      </c>
      <c r="F67" s="1" t="s">
        <v>15</v>
      </c>
      <c r="G67" s="1" t="s">
        <v>505</v>
      </c>
      <c r="H67" s="1" t="s">
        <v>506</v>
      </c>
      <c r="I67" s="1">
        <v>14.0</v>
      </c>
      <c r="K67" s="4" t="s">
        <v>9327</v>
      </c>
    </row>
    <row r="68" ht="15.75" customHeight="1">
      <c r="A68" s="5" t="s">
        <v>756</v>
      </c>
      <c r="B68" s="1" t="s">
        <v>757</v>
      </c>
      <c r="C68" s="1" t="s">
        <v>393</v>
      </c>
      <c r="D68" s="1">
        <v>2020.0</v>
      </c>
      <c r="E68" s="1" t="s">
        <v>14</v>
      </c>
      <c r="F68" s="1" t="s">
        <v>21</v>
      </c>
      <c r="G68" s="1" t="s">
        <v>758</v>
      </c>
      <c r="H68" s="1" t="s">
        <v>759</v>
      </c>
      <c r="I68" s="1">
        <v>32.0</v>
      </c>
      <c r="K68" s="4" t="s">
        <v>9327</v>
      </c>
    </row>
    <row r="69" ht="15.75" customHeight="1">
      <c r="A69" s="5" t="s">
        <v>1175</v>
      </c>
      <c r="B69" s="1" t="s">
        <v>1176</v>
      </c>
      <c r="C69" s="1" t="s">
        <v>216</v>
      </c>
      <c r="D69" s="1">
        <v>2014.0</v>
      </c>
      <c r="E69" s="1" t="s">
        <v>14</v>
      </c>
      <c r="F69" s="1" t="s">
        <v>21</v>
      </c>
      <c r="G69" s="1" t="s">
        <v>1177</v>
      </c>
      <c r="H69" s="1" t="s">
        <v>1178</v>
      </c>
      <c r="I69" s="1">
        <v>35.0</v>
      </c>
      <c r="K69" s="4" t="s">
        <v>9327</v>
      </c>
    </row>
    <row r="70" ht="15.75" customHeight="1">
      <c r="A70" s="5" t="s">
        <v>1767</v>
      </c>
      <c r="B70" s="1" t="s">
        <v>1768</v>
      </c>
      <c r="C70" s="1" t="s">
        <v>63</v>
      </c>
      <c r="D70" s="1">
        <v>2003.0</v>
      </c>
      <c r="E70" s="1" t="s">
        <v>14</v>
      </c>
      <c r="F70" s="1" t="s">
        <v>21</v>
      </c>
      <c r="G70" s="1" t="s">
        <v>1769</v>
      </c>
      <c r="H70" s="1" t="s">
        <v>1770</v>
      </c>
      <c r="I70" s="1">
        <v>115.0</v>
      </c>
      <c r="K70" s="4" t="s">
        <v>9327</v>
      </c>
    </row>
    <row r="71" ht="15.75" customHeight="1">
      <c r="A71" s="10" t="s">
        <v>457</v>
      </c>
      <c r="B71" s="1" t="s">
        <v>2397</v>
      </c>
      <c r="C71" s="1" t="s">
        <v>2398</v>
      </c>
      <c r="D71" s="1">
        <v>2022.0</v>
      </c>
      <c r="E71" s="1" t="s">
        <v>1974</v>
      </c>
      <c r="F71" s="1" t="s">
        <v>1975</v>
      </c>
      <c r="G71" s="1" t="s">
        <v>460</v>
      </c>
      <c r="H71" s="1" t="s">
        <v>2399</v>
      </c>
      <c r="I71" s="1">
        <v>1.0</v>
      </c>
      <c r="K71" s="4" t="s">
        <v>9327</v>
      </c>
    </row>
    <row r="72" ht="15.75" customHeight="1">
      <c r="A72" s="10" t="s">
        <v>71</v>
      </c>
      <c r="B72" s="1" t="s">
        <v>2472</v>
      </c>
      <c r="C72" s="1" t="s">
        <v>73</v>
      </c>
      <c r="D72" s="1">
        <v>2021.0</v>
      </c>
      <c r="E72" s="1" t="s">
        <v>1974</v>
      </c>
      <c r="F72" s="1" t="s">
        <v>2101</v>
      </c>
      <c r="G72" s="1" t="s">
        <v>74</v>
      </c>
      <c r="H72" s="1" t="s">
        <v>2473</v>
      </c>
      <c r="I72" s="1">
        <v>9.0</v>
      </c>
      <c r="K72" s="4" t="s">
        <v>9327</v>
      </c>
    </row>
    <row r="73" ht="15.75" customHeight="1">
      <c r="A73" s="10" t="s">
        <v>9</v>
      </c>
      <c r="B73" s="1" t="s">
        <v>10</v>
      </c>
      <c r="C73" s="1" t="s">
        <v>11</v>
      </c>
      <c r="D73" s="1">
        <v>2021.0</v>
      </c>
      <c r="E73" s="1" t="s">
        <v>14</v>
      </c>
      <c r="F73" s="1" t="s">
        <v>15</v>
      </c>
      <c r="G73" s="1" t="s">
        <v>12</v>
      </c>
      <c r="H73" s="1" t="s">
        <v>13</v>
      </c>
      <c r="I73" s="1">
        <v>3.0</v>
      </c>
      <c r="K73" s="4" t="s">
        <v>9327</v>
      </c>
    </row>
    <row r="74" ht="15.75" customHeight="1">
      <c r="A74" s="10" t="s">
        <v>256</v>
      </c>
      <c r="B74" s="1" t="s">
        <v>257</v>
      </c>
      <c r="C74" s="1" t="s">
        <v>78</v>
      </c>
      <c r="D74" s="1">
        <v>2024.0</v>
      </c>
      <c r="E74" s="1" t="s">
        <v>14</v>
      </c>
      <c r="F74" s="1" t="s">
        <v>15</v>
      </c>
      <c r="G74" s="1" t="s">
        <v>258</v>
      </c>
      <c r="H74" s="1" t="s">
        <v>259</v>
      </c>
      <c r="I74" s="1">
        <v>0.0</v>
      </c>
      <c r="K74" s="4" t="s">
        <v>9327</v>
      </c>
    </row>
    <row r="75" ht="15.75" customHeight="1">
      <c r="A75" s="10" t="s">
        <v>705</v>
      </c>
      <c r="B75" s="1" t="s">
        <v>706</v>
      </c>
      <c r="C75" s="1" t="s">
        <v>707</v>
      </c>
      <c r="D75" s="1">
        <v>2018.0</v>
      </c>
      <c r="E75" s="1" t="s">
        <v>14</v>
      </c>
      <c r="F75" s="1" t="s">
        <v>21</v>
      </c>
      <c r="G75" s="1" t="s">
        <v>708</v>
      </c>
      <c r="H75" s="1" t="s">
        <v>709</v>
      </c>
      <c r="I75" s="1">
        <v>1.0</v>
      </c>
      <c r="K75" s="4" t="s">
        <v>9327</v>
      </c>
    </row>
    <row r="76" ht="15.75" customHeight="1">
      <c r="A76" s="10" t="s">
        <v>1119</v>
      </c>
      <c r="B76" s="1" t="s">
        <v>1120</v>
      </c>
      <c r="C76" s="1" t="s">
        <v>1121</v>
      </c>
      <c r="D76" s="1">
        <v>2015.0</v>
      </c>
      <c r="E76" s="1" t="s">
        <v>14</v>
      </c>
      <c r="F76" s="1" t="s">
        <v>15</v>
      </c>
      <c r="G76" s="1" t="s">
        <v>1122</v>
      </c>
      <c r="H76" s="1" t="s">
        <v>1123</v>
      </c>
      <c r="I76" s="1">
        <v>36.0</v>
      </c>
      <c r="K76" s="4" t="s">
        <v>9327</v>
      </c>
    </row>
    <row r="77" ht="15.75" customHeight="1">
      <c r="A77" s="10" t="s">
        <v>632</v>
      </c>
      <c r="B77" s="1" t="s">
        <v>2436</v>
      </c>
      <c r="C77" s="1" t="s">
        <v>2437</v>
      </c>
      <c r="D77" s="1">
        <v>2021.0</v>
      </c>
      <c r="E77" s="1" t="s">
        <v>1974</v>
      </c>
      <c r="F77" s="1" t="s">
        <v>1975</v>
      </c>
      <c r="G77" s="1" t="s">
        <v>635</v>
      </c>
      <c r="H77" s="1" t="s">
        <v>2438</v>
      </c>
      <c r="I77" s="1" t="s">
        <v>3403</v>
      </c>
      <c r="K77" s="4" t="s">
        <v>9327</v>
      </c>
    </row>
    <row r="78" ht="15.75" customHeight="1">
      <c r="A78" s="11" t="s">
        <v>156</v>
      </c>
      <c r="B78" s="1" t="s">
        <v>157</v>
      </c>
      <c r="C78" s="1" t="s">
        <v>63</v>
      </c>
      <c r="D78" s="1">
        <v>2022.0</v>
      </c>
      <c r="E78" s="1" t="s">
        <v>14</v>
      </c>
      <c r="F78" s="1" t="s">
        <v>15</v>
      </c>
      <c r="G78" s="1" t="s">
        <v>158</v>
      </c>
      <c r="H78" s="1" t="s">
        <v>159</v>
      </c>
      <c r="I78" s="1">
        <v>0.0</v>
      </c>
      <c r="K78" s="4" t="s">
        <v>9332</v>
      </c>
    </row>
    <row r="79" ht="15.75" customHeight="1">
      <c r="A79" s="11" t="s">
        <v>2150</v>
      </c>
      <c r="B79" s="1" t="s">
        <v>2151</v>
      </c>
      <c r="C79" s="1" t="s">
        <v>2152</v>
      </c>
      <c r="D79" s="1">
        <v>2024.0</v>
      </c>
      <c r="E79" s="1" t="s">
        <v>1974</v>
      </c>
      <c r="F79" s="1" t="s">
        <v>2101</v>
      </c>
      <c r="G79" s="1" t="s">
        <v>2153</v>
      </c>
      <c r="H79" s="1" t="s">
        <v>2154</v>
      </c>
      <c r="I79" s="1" t="s">
        <v>3403</v>
      </c>
      <c r="K79" s="4" t="s">
        <v>9332</v>
      </c>
    </row>
    <row r="80" ht="15.75" customHeight="1">
      <c r="A80" s="11" t="s">
        <v>2020</v>
      </c>
      <c r="B80" s="1" t="s">
        <v>2021</v>
      </c>
      <c r="C80" s="1" t="s">
        <v>2022</v>
      </c>
      <c r="D80" s="1">
        <v>2023.0</v>
      </c>
      <c r="E80" s="1" t="s">
        <v>1974</v>
      </c>
      <c r="F80" s="1" t="s">
        <v>1975</v>
      </c>
      <c r="G80" s="1" t="s">
        <v>2023</v>
      </c>
      <c r="H80" s="1" t="s">
        <v>2024</v>
      </c>
      <c r="I80" s="1">
        <v>6.0</v>
      </c>
      <c r="K80" s="4" t="s">
        <v>9332</v>
      </c>
    </row>
    <row r="81" ht="15.75" customHeight="1">
      <c r="A81" s="11" t="s">
        <v>66</v>
      </c>
      <c r="B81" s="1" t="s">
        <v>2086</v>
      </c>
      <c r="C81" s="1" t="s">
        <v>2087</v>
      </c>
      <c r="D81" s="1">
        <v>2023.0</v>
      </c>
      <c r="E81" s="1" t="s">
        <v>1974</v>
      </c>
      <c r="F81" s="1" t="s">
        <v>1975</v>
      </c>
      <c r="G81" s="1" t="s">
        <v>69</v>
      </c>
      <c r="H81" s="1" t="s">
        <v>2088</v>
      </c>
      <c r="I81" s="1" t="s">
        <v>3403</v>
      </c>
      <c r="K81" s="4" t="s">
        <v>9332</v>
      </c>
    </row>
    <row r="82" ht="15.75" customHeight="1">
      <c r="A82" s="11" t="s">
        <v>2102</v>
      </c>
      <c r="B82" s="1" t="s">
        <v>2103</v>
      </c>
      <c r="C82" s="1" t="s">
        <v>2104</v>
      </c>
      <c r="D82" s="1">
        <v>2021.0</v>
      </c>
      <c r="E82" s="1" t="s">
        <v>1974</v>
      </c>
      <c r="F82" s="1" t="s">
        <v>1975</v>
      </c>
      <c r="G82" s="1" t="s">
        <v>2105</v>
      </c>
      <c r="H82" s="1" t="s">
        <v>2106</v>
      </c>
      <c r="I82" s="1">
        <v>1.0</v>
      </c>
      <c r="K82" s="4" t="s">
        <v>9332</v>
      </c>
    </row>
    <row r="83" ht="15.75" customHeight="1">
      <c r="A83" s="11" t="s">
        <v>260</v>
      </c>
      <c r="B83" s="1" t="s">
        <v>2554</v>
      </c>
      <c r="C83" s="1" t="s">
        <v>2494</v>
      </c>
      <c r="D83" s="1">
        <v>2023.0</v>
      </c>
      <c r="E83" s="1" t="s">
        <v>1974</v>
      </c>
      <c r="F83" s="1" t="s">
        <v>1975</v>
      </c>
      <c r="G83" s="1" t="s">
        <v>263</v>
      </c>
      <c r="H83" s="1" t="s">
        <v>2555</v>
      </c>
      <c r="I83" s="1" t="s">
        <v>3403</v>
      </c>
      <c r="K83" s="4" t="s">
        <v>9332</v>
      </c>
    </row>
    <row r="84" ht="15.75" customHeight="1">
      <c r="A84" s="11" t="s">
        <v>396</v>
      </c>
      <c r="B84" s="1" t="s">
        <v>2887</v>
      </c>
      <c r="C84" s="1" t="s">
        <v>73</v>
      </c>
      <c r="D84" s="1">
        <v>2024.0</v>
      </c>
      <c r="E84" s="1" t="s">
        <v>1974</v>
      </c>
      <c r="F84" s="1" t="s">
        <v>2889</v>
      </c>
      <c r="G84" s="1" t="s">
        <v>398</v>
      </c>
      <c r="H84" s="1" t="s">
        <v>2888</v>
      </c>
      <c r="I84" s="1" t="s">
        <v>3403</v>
      </c>
      <c r="K84" s="4" t="s">
        <v>9332</v>
      </c>
    </row>
    <row r="85" ht="15.75" customHeight="1">
      <c r="A85" s="11" t="s">
        <v>642</v>
      </c>
      <c r="B85" s="1" t="s">
        <v>643</v>
      </c>
      <c r="C85" s="1" t="s">
        <v>644</v>
      </c>
      <c r="D85" s="1">
        <v>2021.0</v>
      </c>
      <c r="E85" s="1" t="s">
        <v>14</v>
      </c>
      <c r="F85" s="1" t="s">
        <v>15</v>
      </c>
      <c r="H85" s="1" t="s">
        <v>645</v>
      </c>
      <c r="I85" s="1">
        <v>8.0</v>
      </c>
      <c r="K85" s="4" t="s">
        <v>9332</v>
      </c>
    </row>
    <row r="86" ht="15.75" customHeight="1">
      <c r="A86" s="11" t="s">
        <v>1267</v>
      </c>
      <c r="B86" s="1" t="s">
        <v>3193</v>
      </c>
      <c r="C86" s="1" t="s">
        <v>3194</v>
      </c>
      <c r="D86" s="1">
        <v>2017.0</v>
      </c>
      <c r="E86" s="1" t="s">
        <v>1974</v>
      </c>
      <c r="F86" s="1" t="s">
        <v>1975</v>
      </c>
      <c r="G86" s="1" t="s">
        <v>1270</v>
      </c>
      <c r="H86" s="1" t="s">
        <v>3195</v>
      </c>
      <c r="I86" s="1">
        <v>12.0</v>
      </c>
      <c r="K86" s="4" t="s">
        <v>9332</v>
      </c>
    </row>
    <row r="87" ht="15.75" customHeight="1">
      <c r="A87" s="11" t="s">
        <v>2211</v>
      </c>
      <c r="B87" s="1" t="s">
        <v>2212</v>
      </c>
      <c r="C87" s="1" t="s">
        <v>2213</v>
      </c>
      <c r="D87" s="1">
        <v>2020.0</v>
      </c>
      <c r="E87" s="1" t="s">
        <v>1974</v>
      </c>
      <c r="F87" s="1" t="s">
        <v>1975</v>
      </c>
      <c r="H87" s="1" t="s">
        <v>2214</v>
      </c>
      <c r="I87" s="1" t="s">
        <v>3403</v>
      </c>
      <c r="K87" s="4" t="s">
        <v>9332</v>
      </c>
    </row>
    <row r="88" ht="15.75" customHeight="1">
      <c r="A88" s="11" t="s">
        <v>2483</v>
      </c>
      <c r="B88" s="1" t="s">
        <v>2484</v>
      </c>
      <c r="C88" s="1" t="s">
        <v>2485</v>
      </c>
      <c r="D88" s="1">
        <v>2016.0</v>
      </c>
      <c r="E88" s="1" t="s">
        <v>1974</v>
      </c>
      <c r="F88" s="1" t="s">
        <v>1975</v>
      </c>
      <c r="G88" s="1" t="s">
        <v>2486</v>
      </c>
      <c r="H88" s="1" t="s">
        <v>2487</v>
      </c>
      <c r="I88" s="1">
        <v>17.0</v>
      </c>
      <c r="K88" s="4" t="s">
        <v>9332</v>
      </c>
    </row>
    <row r="89" ht="15.75" customHeight="1">
      <c r="A89" s="11" t="s">
        <v>2499</v>
      </c>
      <c r="B89" s="1" t="s">
        <v>2500</v>
      </c>
      <c r="C89" s="1" t="s">
        <v>2501</v>
      </c>
      <c r="D89" s="1">
        <v>2015.0</v>
      </c>
      <c r="E89" s="1" t="s">
        <v>1974</v>
      </c>
      <c r="F89" s="1" t="s">
        <v>1975</v>
      </c>
      <c r="G89" s="1" t="s">
        <v>2502</v>
      </c>
      <c r="H89" s="1" t="s">
        <v>2503</v>
      </c>
      <c r="I89" s="1">
        <v>14.0</v>
      </c>
      <c r="K89" s="4" t="s">
        <v>9332</v>
      </c>
    </row>
    <row r="90" ht="15.75" customHeight="1">
      <c r="A90" s="11" t="s">
        <v>2575</v>
      </c>
      <c r="B90" s="1" t="s">
        <v>2576</v>
      </c>
      <c r="C90" s="1" t="s">
        <v>2577</v>
      </c>
      <c r="D90" s="1">
        <v>2009.0</v>
      </c>
      <c r="E90" s="1" t="s">
        <v>1974</v>
      </c>
      <c r="F90" s="1" t="s">
        <v>1975</v>
      </c>
      <c r="G90" s="1" t="s">
        <v>1625</v>
      </c>
      <c r="H90" s="1" t="s">
        <v>2578</v>
      </c>
      <c r="I90" s="1">
        <v>12.0</v>
      </c>
      <c r="K90" s="4" t="s">
        <v>9332</v>
      </c>
    </row>
    <row r="91" ht="15.75" customHeight="1">
      <c r="A91" s="11" t="s">
        <v>2921</v>
      </c>
      <c r="B91" s="1" t="s">
        <v>2922</v>
      </c>
      <c r="C91" s="1" t="s">
        <v>2923</v>
      </c>
      <c r="D91" s="1">
        <v>2021.0</v>
      </c>
      <c r="E91" s="1" t="s">
        <v>1974</v>
      </c>
      <c r="F91" s="1" t="s">
        <v>1975</v>
      </c>
      <c r="G91" s="1" t="s">
        <v>2924</v>
      </c>
      <c r="H91" s="1" t="s">
        <v>2925</v>
      </c>
      <c r="I91" s="1">
        <v>2.0</v>
      </c>
      <c r="K91" s="4" t="s">
        <v>9332</v>
      </c>
    </row>
    <row r="92" ht="15.75" customHeight="1">
      <c r="A92" s="11" t="s">
        <v>2980</v>
      </c>
      <c r="B92" s="1" t="s">
        <v>2981</v>
      </c>
      <c r="C92" s="1" t="s">
        <v>2022</v>
      </c>
      <c r="D92" s="1">
        <v>2023.0</v>
      </c>
      <c r="E92" s="1" t="s">
        <v>1974</v>
      </c>
      <c r="F92" s="1" t="s">
        <v>1975</v>
      </c>
      <c r="G92" s="1" t="s">
        <v>2982</v>
      </c>
      <c r="H92" s="1" t="s">
        <v>2983</v>
      </c>
      <c r="I92" s="1" t="s">
        <v>3403</v>
      </c>
      <c r="K92" s="4" t="s">
        <v>9332</v>
      </c>
    </row>
    <row r="93" ht="15.75" customHeight="1">
      <c r="A93" s="11" t="s">
        <v>3134</v>
      </c>
      <c r="B93" s="1" t="s">
        <v>3135</v>
      </c>
      <c r="C93" s="1" t="s">
        <v>3136</v>
      </c>
      <c r="D93" s="1">
        <v>2010.0</v>
      </c>
      <c r="E93" s="1" t="s">
        <v>1974</v>
      </c>
      <c r="F93" s="1" t="s">
        <v>1975</v>
      </c>
      <c r="G93" s="1" t="s">
        <v>3137</v>
      </c>
      <c r="H93" s="1" t="s">
        <v>3138</v>
      </c>
      <c r="I93" s="1" t="s">
        <v>3403</v>
      </c>
      <c r="K93" s="4" t="s">
        <v>9332</v>
      </c>
    </row>
    <row r="94" ht="15.75" customHeight="1">
      <c r="A94" s="11" t="s">
        <v>834</v>
      </c>
      <c r="B94" s="1" t="s">
        <v>3345</v>
      </c>
      <c r="C94" s="1" t="s">
        <v>3346</v>
      </c>
      <c r="D94" s="1">
        <v>2021.0</v>
      </c>
      <c r="E94" s="1" t="s">
        <v>1974</v>
      </c>
      <c r="F94" s="1" t="s">
        <v>1975</v>
      </c>
      <c r="G94" s="1" t="s">
        <v>837</v>
      </c>
      <c r="H94" s="1" t="s">
        <v>3347</v>
      </c>
      <c r="I94" s="1">
        <v>1.0</v>
      </c>
      <c r="K94" s="4" t="s">
        <v>9332</v>
      </c>
    </row>
    <row r="95" ht="15.75" customHeight="1">
      <c r="A95" s="11" t="s">
        <v>209</v>
      </c>
      <c r="B95" s="1" t="s">
        <v>210</v>
      </c>
      <c r="C95" s="1" t="s">
        <v>211</v>
      </c>
      <c r="D95" s="1">
        <v>2021.0</v>
      </c>
      <c r="E95" s="1" t="s">
        <v>14</v>
      </c>
      <c r="F95" s="1" t="s">
        <v>21</v>
      </c>
      <c r="G95" s="1" t="s">
        <v>212</v>
      </c>
      <c r="H95" s="1" t="s">
        <v>213</v>
      </c>
      <c r="I95" s="1">
        <v>16.0</v>
      </c>
      <c r="K95" s="4" t="s">
        <v>9332</v>
      </c>
    </row>
    <row r="96" ht="15.75" customHeight="1">
      <c r="A96" s="11" t="s">
        <v>214</v>
      </c>
      <c r="B96" s="1" t="s">
        <v>215</v>
      </c>
      <c r="C96" s="1" t="s">
        <v>216</v>
      </c>
      <c r="D96" s="1">
        <v>2023.0</v>
      </c>
      <c r="E96" s="1" t="s">
        <v>14</v>
      </c>
      <c r="F96" s="1" t="s">
        <v>21</v>
      </c>
      <c r="G96" s="1" t="s">
        <v>217</v>
      </c>
      <c r="H96" s="1" t="s">
        <v>218</v>
      </c>
      <c r="I96" s="1">
        <v>10.0</v>
      </c>
      <c r="K96" s="4" t="s">
        <v>9332</v>
      </c>
    </row>
    <row r="97" ht="15.75" customHeight="1">
      <c r="A97" s="11" t="s">
        <v>493</v>
      </c>
      <c r="B97" s="1" t="s">
        <v>494</v>
      </c>
      <c r="C97" s="1" t="s">
        <v>495</v>
      </c>
      <c r="D97" s="1">
        <v>2020.0</v>
      </c>
      <c r="E97" s="1" t="s">
        <v>14</v>
      </c>
      <c r="F97" s="1" t="s">
        <v>21</v>
      </c>
      <c r="G97" s="1" t="s">
        <v>496</v>
      </c>
      <c r="H97" s="1" t="s">
        <v>497</v>
      </c>
      <c r="I97" s="1">
        <v>1.0</v>
      </c>
      <c r="K97" s="4" t="s">
        <v>9332</v>
      </c>
    </row>
    <row r="98" ht="15.75" customHeight="1">
      <c r="A98" s="11" t="s">
        <v>1022</v>
      </c>
      <c r="B98" s="1" t="s">
        <v>1023</v>
      </c>
      <c r="C98" s="1" t="s">
        <v>1024</v>
      </c>
      <c r="D98" s="1">
        <v>2015.0</v>
      </c>
      <c r="E98" s="1" t="s">
        <v>14</v>
      </c>
      <c r="F98" s="1" t="s">
        <v>21</v>
      </c>
      <c r="G98" s="1" t="s">
        <v>1025</v>
      </c>
      <c r="H98" s="1" t="s">
        <v>1026</v>
      </c>
      <c r="I98" s="1">
        <v>15.0</v>
      </c>
      <c r="K98" s="4" t="s">
        <v>9332</v>
      </c>
    </row>
    <row r="99" ht="15.75" customHeight="1">
      <c r="A99" s="11" t="s">
        <v>1087</v>
      </c>
      <c r="B99" s="1" t="s">
        <v>1023</v>
      </c>
      <c r="C99" s="1" t="s">
        <v>63</v>
      </c>
      <c r="D99" s="1">
        <v>2014.0</v>
      </c>
      <c r="E99" s="1" t="s">
        <v>14</v>
      </c>
      <c r="F99" s="1" t="s">
        <v>15</v>
      </c>
      <c r="G99" s="1" t="s">
        <v>1088</v>
      </c>
      <c r="H99" s="1" t="s">
        <v>1089</v>
      </c>
      <c r="I99" s="1">
        <v>14.0</v>
      </c>
      <c r="K99" s="4" t="s">
        <v>9332</v>
      </c>
    </row>
    <row r="100" ht="15.75" customHeight="1">
      <c r="A100" s="11" t="s">
        <v>1160</v>
      </c>
      <c r="B100" s="1" t="s">
        <v>1161</v>
      </c>
      <c r="C100" s="1" t="s">
        <v>1162</v>
      </c>
      <c r="D100" s="1">
        <v>2016.0</v>
      </c>
      <c r="E100" s="1" t="s">
        <v>14</v>
      </c>
      <c r="F100" s="1" t="s">
        <v>21</v>
      </c>
      <c r="G100" s="1" t="s">
        <v>1163</v>
      </c>
      <c r="H100" s="1" t="s">
        <v>1164</v>
      </c>
      <c r="I100" s="1">
        <v>17.0</v>
      </c>
      <c r="K100" s="4" t="s">
        <v>9332</v>
      </c>
    </row>
    <row r="101" ht="15.75" customHeight="1">
      <c r="A101" s="11" t="s">
        <v>1292</v>
      </c>
      <c r="B101" s="1" t="s">
        <v>1293</v>
      </c>
      <c r="C101" s="1" t="s">
        <v>1294</v>
      </c>
      <c r="D101" s="1">
        <v>2017.0</v>
      </c>
      <c r="E101" s="1" t="s">
        <v>14</v>
      </c>
      <c r="F101" s="1" t="s">
        <v>15</v>
      </c>
      <c r="G101" s="1" t="s">
        <v>1295</v>
      </c>
      <c r="H101" s="1" t="s">
        <v>1296</v>
      </c>
      <c r="I101" s="1">
        <v>219.0</v>
      </c>
      <c r="K101" s="4" t="s">
        <v>9332</v>
      </c>
    </row>
    <row r="102" ht="15.75" customHeight="1">
      <c r="A102" s="11" t="s">
        <v>1591</v>
      </c>
      <c r="B102" s="1" t="s">
        <v>1592</v>
      </c>
      <c r="C102" s="1" t="s">
        <v>1593</v>
      </c>
      <c r="D102" s="1">
        <v>2009.0</v>
      </c>
      <c r="E102" s="1" t="s">
        <v>14</v>
      </c>
      <c r="F102" s="1" t="s">
        <v>15</v>
      </c>
      <c r="G102" s="1" t="s">
        <v>1594</v>
      </c>
      <c r="H102" s="1" t="s">
        <v>1595</v>
      </c>
      <c r="I102" s="1">
        <v>5.0</v>
      </c>
      <c r="K102" s="4" t="s">
        <v>9332</v>
      </c>
    </row>
    <row r="103" ht="15.75" customHeight="1">
      <c r="A103" s="11" t="s">
        <v>1738</v>
      </c>
      <c r="B103" s="1" t="s">
        <v>1739</v>
      </c>
      <c r="C103" s="1" t="s">
        <v>63</v>
      </c>
      <c r="D103" s="1">
        <v>2008.0</v>
      </c>
      <c r="E103" s="1" t="s">
        <v>14</v>
      </c>
      <c r="F103" s="1" t="s">
        <v>15</v>
      </c>
      <c r="G103" s="1" t="s">
        <v>1740</v>
      </c>
      <c r="H103" s="1" t="s">
        <v>1741</v>
      </c>
      <c r="I103" s="1">
        <v>15.0</v>
      </c>
      <c r="K103" s="4" t="s">
        <v>9332</v>
      </c>
    </row>
    <row r="104" ht="15.75" customHeight="1">
      <c r="A104" s="11" t="s">
        <v>1746</v>
      </c>
      <c r="B104" s="1" t="s">
        <v>1747</v>
      </c>
      <c r="C104" s="1" t="s">
        <v>1748</v>
      </c>
      <c r="D104" s="1">
        <v>2011.0</v>
      </c>
      <c r="E104" s="1" t="s">
        <v>14</v>
      </c>
      <c r="F104" s="1" t="s">
        <v>15</v>
      </c>
      <c r="G104" s="1" t="s">
        <v>1749</v>
      </c>
      <c r="H104" s="1" t="s">
        <v>1750</v>
      </c>
      <c r="I104" s="1">
        <v>3.0</v>
      </c>
      <c r="K104" s="4" t="s">
        <v>9332</v>
      </c>
    </row>
    <row r="105" ht="15.75" customHeight="1">
      <c r="A105" s="1" t="s">
        <v>94</v>
      </c>
      <c r="B105" s="1" t="s">
        <v>1976</v>
      </c>
      <c r="C105" s="1" t="s">
        <v>1977</v>
      </c>
      <c r="D105" s="1">
        <v>2023.0</v>
      </c>
      <c r="E105" s="1" t="s">
        <v>1974</v>
      </c>
      <c r="F105" s="1" t="s">
        <v>1975</v>
      </c>
      <c r="G105" s="1" t="s">
        <v>97</v>
      </c>
      <c r="H105" s="1" t="s">
        <v>1978</v>
      </c>
      <c r="I105" s="1">
        <v>1.0</v>
      </c>
      <c r="K105" s="4" t="s">
        <v>9332</v>
      </c>
    </row>
    <row r="106" ht="15.75" customHeight="1">
      <c r="A106" s="1" t="s">
        <v>1979</v>
      </c>
      <c r="B106" s="1" t="s">
        <v>1980</v>
      </c>
      <c r="C106" s="1" t="s">
        <v>1981</v>
      </c>
      <c r="D106" s="1">
        <v>2018.0</v>
      </c>
      <c r="E106" s="1" t="s">
        <v>1974</v>
      </c>
      <c r="F106" s="1" t="s">
        <v>1975</v>
      </c>
      <c r="G106" s="1" t="s">
        <v>1982</v>
      </c>
      <c r="H106" s="1" t="s">
        <v>1983</v>
      </c>
      <c r="I106" s="1" t="s">
        <v>3403</v>
      </c>
      <c r="K106" s="4" t="s">
        <v>9332</v>
      </c>
    </row>
    <row r="107" ht="15.75" customHeight="1">
      <c r="A107" s="1" t="s">
        <v>698</v>
      </c>
      <c r="B107" s="1" t="s">
        <v>1987</v>
      </c>
      <c r="C107" s="1" t="s">
        <v>1988</v>
      </c>
      <c r="D107" s="1">
        <v>2021.0</v>
      </c>
      <c r="E107" s="1" t="s">
        <v>1974</v>
      </c>
      <c r="F107" s="1" t="s">
        <v>1975</v>
      </c>
      <c r="G107" s="1" t="s">
        <v>699</v>
      </c>
      <c r="H107" s="1" t="s">
        <v>1989</v>
      </c>
      <c r="I107" s="1" t="s">
        <v>3403</v>
      </c>
      <c r="K107" s="4" t="s">
        <v>9332</v>
      </c>
    </row>
    <row r="108" ht="15.75" customHeight="1">
      <c r="A108" s="1" t="s">
        <v>415</v>
      </c>
      <c r="B108" s="1" t="s">
        <v>1990</v>
      </c>
      <c r="C108" s="1" t="s">
        <v>1991</v>
      </c>
      <c r="D108" s="1">
        <v>2023.0</v>
      </c>
      <c r="E108" s="1" t="s">
        <v>1974</v>
      </c>
      <c r="F108" s="1" t="s">
        <v>1975</v>
      </c>
      <c r="G108" s="1" t="s">
        <v>418</v>
      </c>
      <c r="H108" s="1" t="s">
        <v>1992</v>
      </c>
      <c r="I108" s="1" t="s">
        <v>3403</v>
      </c>
      <c r="K108" s="4" t="s">
        <v>9332</v>
      </c>
    </row>
    <row r="109" ht="15.75" customHeight="1">
      <c r="A109" s="1" t="s">
        <v>2006</v>
      </c>
      <c r="B109" s="1" t="s">
        <v>2007</v>
      </c>
      <c r="C109" s="1" t="s">
        <v>2008</v>
      </c>
      <c r="D109" s="1">
        <v>2019.0</v>
      </c>
      <c r="E109" s="1" t="s">
        <v>1974</v>
      </c>
      <c r="F109" s="1" t="s">
        <v>1975</v>
      </c>
      <c r="G109" s="1" t="s">
        <v>777</v>
      </c>
      <c r="H109" s="1" t="s">
        <v>2009</v>
      </c>
      <c r="I109" s="1">
        <v>3.0</v>
      </c>
      <c r="K109" s="4" t="s">
        <v>9332</v>
      </c>
    </row>
    <row r="110" ht="15.75" customHeight="1">
      <c r="A110" s="1" t="s">
        <v>305</v>
      </c>
      <c r="B110" s="1" t="s">
        <v>2025</v>
      </c>
      <c r="C110" s="1" t="s">
        <v>2026</v>
      </c>
      <c r="D110" s="1">
        <v>2023.0</v>
      </c>
      <c r="E110" s="1" t="s">
        <v>1974</v>
      </c>
      <c r="F110" s="1" t="s">
        <v>1975</v>
      </c>
      <c r="G110" s="1" t="s">
        <v>307</v>
      </c>
      <c r="H110" s="1" t="s">
        <v>2027</v>
      </c>
      <c r="I110" s="1" t="s">
        <v>3403</v>
      </c>
      <c r="K110" s="4" t="s">
        <v>9332</v>
      </c>
    </row>
    <row r="111" ht="15.75" customHeight="1">
      <c r="A111" s="1" t="s">
        <v>2037</v>
      </c>
      <c r="B111" s="1" t="s">
        <v>2038</v>
      </c>
      <c r="C111" s="1" t="s">
        <v>2039</v>
      </c>
      <c r="D111" s="1">
        <v>2021.0</v>
      </c>
      <c r="E111" s="1" t="s">
        <v>1974</v>
      </c>
      <c r="F111" s="1" t="s">
        <v>1975</v>
      </c>
      <c r="G111" s="1" t="s">
        <v>2040</v>
      </c>
      <c r="H111" s="1" t="s">
        <v>2041</v>
      </c>
      <c r="I111" s="1" t="s">
        <v>3403</v>
      </c>
      <c r="K111" s="4" t="s">
        <v>9332</v>
      </c>
    </row>
    <row r="112" ht="15.75" customHeight="1">
      <c r="A112" s="1" t="s">
        <v>2042</v>
      </c>
      <c r="B112" s="1" t="s">
        <v>2043</v>
      </c>
      <c r="C112" s="1" t="s">
        <v>2044</v>
      </c>
      <c r="D112" s="1">
        <v>2021.0</v>
      </c>
      <c r="E112" s="1" t="s">
        <v>1974</v>
      </c>
      <c r="F112" s="1" t="s">
        <v>1975</v>
      </c>
      <c r="G112" s="1" t="s">
        <v>2045</v>
      </c>
      <c r="H112" s="1" t="s">
        <v>2046</v>
      </c>
      <c r="I112" s="1">
        <v>18.0</v>
      </c>
      <c r="K112" s="4" t="s">
        <v>9332</v>
      </c>
    </row>
    <row r="113" ht="15.75" customHeight="1">
      <c r="A113" s="1" t="s">
        <v>2059</v>
      </c>
      <c r="B113" s="1" t="s">
        <v>2060</v>
      </c>
      <c r="C113" s="1" t="s">
        <v>2061</v>
      </c>
      <c r="D113" s="1">
        <v>2011.0</v>
      </c>
      <c r="E113" s="1" t="s">
        <v>1974</v>
      </c>
      <c r="F113" s="1" t="s">
        <v>1975</v>
      </c>
      <c r="G113" s="1" t="s">
        <v>2062</v>
      </c>
      <c r="H113" s="1" t="s">
        <v>2063</v>
      </c>
      <c r="I113" s="1" t="s">
        <v>3403</v>
      </c>
      <c r="K113" s="4" t="s">
        <v>9332</v>
      </c>
    </row>
    <row r="114" ht="15.75" customHeight="1">
      <c r="A114" s="1" t="s">
        <v>2064</v>
      </c>
      <c r="B114" s="1" t="s">
        <v>2065</v>
      </c>
      <c r="C114" s="1" t="s">
        <v>2066</v>
      </c>
      <c r="D114" s="1">
        <v>2018.0</v>
      </c>
      <c r="E114" s="1" t="s">
        <v>1974</v>
      </c>
      <c r="F114" s="1" t="s">
        <v>1975</v>
      </c>
      <c r="G114" s="1" t="s">
        <v>2067</v>
      </c>
      <c r="H114" s="1" t="s">
        <v>2068</v>
      </c>
      <c r="I114" s="1">
        <v>3.0</v>
      </c>
      <c r="K114" s="4" t="s">
        <v>9332</v>
      </c>
    </row>
    <row r="115" ht="15.75" customHeight="1">
      <c r="A115" s="1" t="s">
        <v>2069</v>
      </c>
      <c r="B115" s="1" t="s">
        <v>2070</v>
      </c>
      <c r="C115" s="1" t="s">
        <v>2071</v>
      </c>
      <c r="D115" s="1">
        <v>2023.0</v>
      </c>
      <c r="E115" s="1" t="s">
        <v>1974</v>
      </c>
      <c r="F115" s="1" t="s">
        <v>2074</v>
      </c>
      <c r="G115" s="1" t="s">
        <v>2072</v>
      </c>
      <c r="H115" s="1" t="s">
        <v>2073</v>
      </c>
      <c r="I115" s="1">
        <v>2.0</v>
      </c>
      <c r="K115" s="4" t="s">
        <v>9332</v>
      </c>
    </row>
    <row r="116" ht="15.75" customHeight="1">
      <c r="A116" s="1" t="s">
        <v>1322</v>
      </c>
      <c r="B116" s="1" t="s">
        <v>2075</v>
      </c>
      <c r="C116" s="1" t="s">
        <v>2076</v>
      </c>
      <c r="D116" s="1">
        <v>2016.0</v>
      </c>
      <c r="E116" s="1" t="s">
        <v>1974</v>
      </c>
      <c r="F116" s="1" t="s">
        <v>1975</v>
      </c>
      <c r="G116" s="1" t="s">
        <v>1325</v>
      </c>
      <c r="H116" s="1" t="s">
        <v>2077</v>
      </c>
      <c r="I116" s="1">
        <v>2.0</v>
      </c>
      <c r="K116" s="4" t="s">
        <v>9332</v>
      </c>
    </row>
    <row r="117" ht="15.75" customHeight="1">
      <c r="A117" s="1" t="s">
        <v>2081</v>
      </c>
      <c r="B117" s="1" t="s">
        <v>2082</v>
      </c>
      <c r="C117" s="1" t="s">
        <v>2083</v>
      </c>
      <c r="D117" s="1">
        <v>2015.0</v>
      </c>
      <c r="E117" s="1" t="s">
        <v>1974</v>
      </c>
      <c r="F117" s="1" t="s">
        <v>1975</v>
      </c>
      <c r="G117" s="1" t="s">
        <v>2084</v>
      </c>
      <c r="H117" s="1" t="s">
        <v>2085</v>
      </c>
      <c r="I117" s="1">
        <v>1.0</v>
      </c>
      <c r="K117" s="4" t="s">
        <v>9332</v>
      </c>
    </row>
    <row r="118" ht="15.75" customHeight="1">
      <c r="A118" s="1" t="s">
        <v>323</v>
      </c>
      <c r="B118" s="1" t="s">
        <v>2089</v>
      </c>
      <c r="C118" s="1" t="s">
        <v>2090</v>
      </c>
      <c r="D118" s="1">
        <v>2023.0</v>
      </c>
      <c r="E118" s="1" t="s">
        <v>1974</v>
      </c>
      <c r="F118" s="1" t="s">
        <v>1975</v>
      </c>
      <c r="G118" s="1" t="s">
        <v>325</v>
      </c>
      <c r="H118" s="1" t="s">
        <v>2091</v>
      </c>
      <c r="I118" s="1" t="s">
        <v>3403</v>
      </c>
      <c r="K118" s="4" t="s">
        <v>9332</v>
      </c>
    </row>
    <row r="119" ht="15.75" customHeight="1">
      <c r="A119" s="1" t="s">
        <v>2097</v>
      </c>
      <c r="B119" s="1" t="s">
        <v>2098</v>
      </c>
      <c r="C119" s="1" t="s">
        <v>172</v>
      </c>
      <c r="D119" s="1">
        <v>2023.0</v>
      </c>
      <c r="E119" s="1" t="s">
        <v>1974</v>
      </c>
      <c r="F119" s="1" t="s">
        <v>2101</v>
      </c>
      <c r="G119" s="1" t="s">
        <v>2099</v>
      </c>
      <c r="H119" s="1" t="s">
        <v>2100</v>
      </c>
      <c r="I119" s="1">
        <v>2.0</v>
      </c>
      <c r="K119" s="4" t="s">
        <v>9332</v>
      </c>
    </row>
    <row r="120" ht="15.75" customHeight="1">
      <c r="A120" s="1" t="s">
        <v>2117</v>
      </c>
      <c r="B120" s="1" t="s">
        <v>2118</v>
      </c>
      <c r="C120" s="1" t="s">
        <v>2119</v>
      </c>
      <c r="D120" s="1">
        <v>2014.0</v>
      </c>
      <c r="E120" s="1" t="s">
        <v>1974</v>
      </c>
      <c r="F120" s="1" t="s">
        <v>1975</v>
      </c>
      <c r="G120" s="1" t="s">
        <v>1220</v>
      </c>
      <c r="H120" s="1" t="s">
        <v>2120</v>
      </c>
      <c r="I120" s="1" t="s">
        <v>3403</v>
      </c>
      <c r="K120" s="4" t="s">
        <v>9332</v>
      </c>
    </row>
    <row r="121" ht="15.75" customHeight="1">
      <c r="A121" s="1" t="s">
        <v>1645</v>
      </c>
      <c r="B121" s="1" t="s">
        <v>2121</v>
      </c>
      <c r="C121" s="1" t="s">
        <v>2122</v>
      </c>
      <c r="D121" s="1">
        <v>2010.0</v>
      </c>
      <c r="E121" s="1" t="s">
        <v>1974</v>
      </c>
      <c r="F121" s="1" t="s">
        <v>1975</v>
      </c>
      <c r="G121" s="1" t="s">
        <v>1648</v>
      </c>
      <c r="H121" s="1" t="s">
        <v>2123</v>
      </c>
      <c r="I121" s="1">
        <v>2.0</v>
      </c>
      <c r="K121" s="4" t="s">
        <v>9332</v>
      </c>
    </row>
    <row r="122" ht="15.75" customHeight="1">
      <c r="A122" s="1" t="s">
        <v>2124</v>
      </c>
      <c r="B122" s="1" t="s">
        <v>2125</v>
      </c>
      <c r="C122" s="1" t="s">
        <v>2126</v>
      </c>
      <c r="D122" s="1">
        <v>2023.0</v>
      </c>
      <c r="E122" s="1" t="s">
        <v>1974</v>
      </c>
      <c r="F122" s="1" t="s">
        <v>1975</v>
      </c>
      <c r="G122" s="1" t="s">
        <v>2127</v>
      </c>
      <c r="H122" s="1" t="s">
        <v>2128</v>
      </c>
      <c r="I122" s="1" t="s">
        <v>3403</v>
      </c>
      <c r="K122" s="4" t="s">
        <v>9332</v>
      </c>
    </row>
    <row r="123" ht="15.75" customHeight="1">
      <c r="A123" s="1" t="s">
        <v>1331</v>
      </c>
      <c r="B123" s="1" t="s">
        <v>2129</v>
      </c>
      <c r="C123" s="1" t="s">
        <v>2130</v>
      </c>
      <c r="D123" s="1">
        <v>2014.0</v>
      </c>
      <c r="E123" s="1" t="s">
        <v>1974</v>
      </c>
      <c r="F123" s="1" t="s">
        <v>1975</v>
      </c>
      <c r="G123" s="1" t="s">
        <v>1333</v>
      </c>
      <c r="H123" s="1" t="s">
        <v>2131</v>
      </c>
      <c r="I123" s="1">
        <v>1.0</v>
      </c>
      <c r="K123" s="4" t="s">
        <v>9332</v>
      </c>
    </row>
    <row r="124" ht="15.75" customHeight="1">
      <c r="A124" s="1" t="s">
        <v>114</v>
      </c>
      <c r="B124" s="1" t="s">
        <v>2132</v>
      </c>
      <c r="C124" s="1" t="s">
        <v>2133</v>
      </c>
      <c r="D124" s="1">
        <v>2022.0</v>
      </c>
      <c r="E124" s="1" t="s">
        <v>1974</v>
      </c>
      <c r="F124" s="1" t="s">
        <v>1975</v>
      </c>
      <c r="G124" s="1" t="s">
        <v>116</v>
      </c>
      <c r="H124" s="1" t="s">
        <v>2134</v>
      </c>
      <c r="I124" s="1" t="s">
        <v>3403</v>
      </c>
      <c r="K124" s="4" t="s">
        <v>9332</v>
      </c>
    </row>
    <row r="125" ht="15.75" customHeight="1">
      <c r="A125" s="1" t="s">
        <v>2135</v>
      </c>
      <c r="B125" s="1" t="s">
        <v>2136</v>
      </c>
      <c r="C125" s="1" t="s">
        <v>2137</v>
      </c>
      <c r="D125" s="1">
        <v>2011.0</v>
      </c>
      <c r="E125" s="1" t="s">
        <v>1974</v>
      </c>
      <c r="F125" s="1" t="s">
        <v>1975</v>
      </c>
      <c r="G125" s="1" t="s">
        <v>1728</v>
      </c>
      <c r="H125" s="1" t="s">
        <v>2138</v>
      </c>
      <c r="I125" s="1">
        <v>2.0</v>
      </c>
      <c r="K125" s="4" t="s">
        <v>9332</v>
      </c>
    </row>
    <row r="126" ht="15.75" customHeight="1">
      <c r="A126" s="1" t="s">
        <v>576</v>
      </c>
      <c r="B126" s="1" t="s">
        <v>2139</v>
      </c>
      <c r="C126" s="1" t="s">
        <v>2140</v>
      </c>
      <c r="D126" s="1">
        <v>2021.0</v>
      </c>
      <c r="E126" s="1" t="s">
        <v>1974</v>
      </c>
      <c r="F126" s="1" t="s">
        <v>1975</v>
      </c>
      <c r="G126" s="1" t="s">
        <v>579</v>
      </c>
      <c r="H126" s="1" t="s">
        <v>2141</v>
      </c>
      <c r="I126" s="1" t="s">
        <v>3403</v>
      </c>
      <c r="K126" s="4" t="s">
        <v>9332</v>
      </c>
    </row>
    <row r="127" ht="15.75" customHeight="1">
      <c r="A127" s="1" t="s">
        <v>1027</v>
      </c>
      <c r="B127" s="1" t="s">
        <v>2142</v>
      </c>
      <c r="C127" s="1" t="s">
        <v>2143</v>
      </c>
      <c r="D127" s="1">
        <v>2017.0</v>
      </c>
      <c r="E127" s="1" t="s">
        <v>1974</v>
      </c>
      <c r="F127" s="1" t="s">
        <v>1975</v>
      </c>
      <c r="G127" s="1" t="s">
        <v>1030</v>
      </c>
      <c r="H127" s="1" t="s">
        <v>2144</v>
      </c>
      <c r="I127" s="1">
        <v>4.0</v>
      </c>
      <c r="K127" s="4" t="s">
        <v>9332</v>
      </c>
    </row>
    <row r="128" ht="15.75" customHeight="1">
      <c r="A128" s="1" t="s">
        <v>2145</v>
      </c>
      <c r="B128" s="1" t="s">
        <v>2146</v>
      </c>
      <c r="C128" s="1" t="s">
        <v>2147</v>
      </c>
      <c r="D128" s="1">
        <v>2018.0</v>
      </c>
      <c r="E128" s="1" t="s">
        <v>1974</v>
      </c>
      <c r="F128" s="1" t="s">
        <v>1975</v>
      </c>
      <c r="G128" s="1" t="s">
        <v>2148</v>
      </c>
      <c r="H128" s="1" t="s">
        <v>2149</v>
      </c>
      <c r="I128" s="1">
        <v>2.0</v>
      </c>
      <c r="K128" s="4" t="s">
        <v>9332</v>
      </c>
    </row>
    <row r="129" ht="15.75" customHeight="1">
      <c r="A129" s="1" t="s">
        <v>2160</v>
      </c>
      <c r="B129" s="1" t="s">
        <v>2161</v>
      </c>
      <c r="C129" s="1" t="s">
        <v>2162</v>
      </c>
      <c r="D129" s="1">
        <v>2012.0</v>
      </c>
      <c r="E129" s="1" t="s">
        <v>1974</v>
      </c>
      <c r="F129" s="1" t="s">
        <v>1975</v>
      </c>
      <c r="G129" s="1" t="s">
        <v>2163</v>
      </c>
      <c r="H129" s="1" t="s">
        <v>2164</v>
      </c>
      <c r="I129" s="1">
        <v>2.0</v>
      </c>
      <c r="K129" s="4" t="s">
        <v>9332</v>
      </c>
    </row>
    <row r="130" ht="15.75" customHeight="1">
      <c r="A130" s="1" t="s">
        <v>2172</v>
      </c>
      <c r="B130" s="1" t="s">
        <v>2173</v>
      </c>
      <c r="C130" s="1" t="s">
        <v>2174</v>
      </c>
      <c r="D130" s="1">
        <v>2018.0</v>
      </c>
      <c r="E130" s="1" t="s">
        <v>1974</v>
      </c>
      <c r="F130" s="1" t="s">
        <v>1975</v>
      </c>
      <c r="G130" s="1" t="s">
        <v>2175</v>
      </c>
      <c r="H130" s="1" t="s">
        <v>2176</v>
      </c>
      <c r="I130" s="1">
        <v>3.0</v>
      </c>
      <c r="K130" s="4" t="s">
        <v>9332</v>
      </c>
    </row>
    <row r="131" ht="15.75" customHeight="1">
      <c r="A131" s="1" t="s">
        <v>1900</v>
      </c>
      <c r="B131" s="1" t="s">
        <v>2180</v>
      </c>
      <c r="C131" s="1" t="s">
        <v>2181</v>
      </c>
      <c r="D131" s="1">
        <v>1994.0</v>
      </c>
      <c r="E131" s="1" t="s">
        <v>1974</v>
      </c>
      <c r="F131" s="1" t="s">
        <v>1975</v>
      </c>
      <c r="G131" s="1" t="s">
        <v>2182</v>
      </c>
      <c r="H131" s="1" t="s">
        <v>2183</v>
      </c>
      <c r="I131" s="1">
        <v>2.0</v>
      </c>
      <c r="K131" s="4" t="s">
        <v>9332</v>
      </c>
    </row>
    <row r="132" ht="15.75" customHeight="1">
      <c r="A132" s="1" t="s">
        <v>2191</v>
      </c>
      <c r="B132" s="1" t="s">
        <v>2192</v>
      </c>
      <c r="C132" s="1" t="s">
        <v>73</v>
      </c>
      <c r="D132" s="1">
        <v>2013.0</v>
      </c>
      <c r="E132" s="1" t="s">
        <v>1974</v>
      </c>
      <c r="F132" s="1" t="s">
        <v>2101</v>
      </c>
      <c r="G132" s="1" t="s">
        <v>2193</v>
      </c>
      <c r="H132" s="1" t="s">
        <v>2194</v>
      </c>
      <c r="I132" s="1">
        <v>88.0</v>
      </c>
      <c r="K132" s="4" t="s">
        <v>9332</v>
      </c>
    </row>
    <row r="133" ht="15.75" customHeight="1">
      <c r="A133" s="1" t="s">
        <v>539</v>
      </c>
      <c r="B133" s="1" t="s">
        <v>2195</v>
      </c>
      <c r="C133" s="1" t="s">
        <v>2196</v>
      </c>
      <c r="D133" s="1">
        <v>2021.0</v>
      </c>
      <c r="E133" s="1" t="s">
        <v>1974</v>
      </c>
      <c r="F133" s="1" t="s">
        <v>1975</v>
      </c>
      <c r="G133" s="1" t="s">
        <v>542</v>
      </c>
      <c r="H133" s="1" t="s">
        <v>2197</v>
      </c>
      <c r="I133" s="1">
        <v>3.0</v>
      </c>
      <c r="K133" s="4" t="s">
        <v>9332</v>
      </c>
    </row>
    <row r="134" ht="15.75" customHeight="1">
      <c r="A134" s="1" t="s">
        <v>2202</v>
      </c>
      <c r="B134" s="1" t="s">
        <v>2203</v>
      </c>
      <c r="C134" s="1" t="s">
        <v>2204</v>
      </c>
      <c r="D134" s="1">
        <v>2019.0</v>
      </c>
      <c r="E134" s="1" t="s">
        <v>1974</v>
      </c>
      <c r="F134" s="1" t="s">
        <v>1975</v>
      </c>
      <c r="G134" s="1" t="s">
        <v>2205</v>
      </c>
      <c r="H134" s="1" t="s">
        <v>2206</v>
      </c>
      <c r="I134" s="1" t="s">
        <v>3403</v>
      </c>
      <c r="K134" s="4" t="s">
        <v>9332</v>
      </c>
    </row>
    <row r="135" ht="15.75" customHeight="1">
      <c r="A135" s="1" t="s">
        <v>2207</v>
      </c>
      <c r="B135" s="1" t="s">
        <v>2208</v>
      </c>
      <c r="C135" s="1" t="s">
        <v>2209</v>
      </c>
      <c r="D135" s="1">
        <v>2008.0</v>
      </c>
      <c r="E135" s="1" t="s">
        <v>1974</v>
      </c>
      <c r="F135" s="1" t="s">
        <v>1975</v>
      </c>
      <c r="G135" s="1" t="s">
        <v>1402</v>
      </c>
      <c r="H135" s="1" t="s">
        <v>2210</v>
      </c>
      <c r="I135" s="1">
        <v>1.0</v>
      </c>
      <c r="K135" s="4" t="s">
        <v>9332</v>
      </c>
    </row>
    <row r="136" ht="15.75" customHeight="1">
      <c r="A136" s="1" t="s">
        <v>2219</v>
      </c>
      <c r="B136" s="1" t="s">
        <v>2220</v>
      </c>
      <c r="C136" s="1" t="s">
        <v>2221</v>
      </c>
      <c r="D136" s="1">
        <v>2012.0</v>
      </c>
      <c r="E136" s="1" t="s">
        <v>1974</v>
      </c>
      <c r="F136" s="1" t="s">
        <v>1975</v>
      </c>
      <c r="G136" s="1" t="s">
        <v>1575</v>
      </c>
      <c r="H136" s="1" t="s">
        <v>2222</v>
      </c>
      <c r="I136" s="1">
        <v>12.0</v>
      </c>
      <c r="K136" s="4" t="s">
        <v>9332</v>
      </c>
    </row>
    <row r="137" ht="15.75" customHeight="1">
      <c r="A137" s="1" t="s">
        <v>246</v>
      </c>
      <c r="B137" s="1" t="s">
        <v>2223</v>
      </c>
      <c r="C137" s="1" t="s">
        <v>2224</v>
      </c>
      <c r="D137" s="1">
        <v>2024.0</v>
      </c>
      <c r="E137" s="1" t="s">
        <v>1974</v>
      </c>
      <c r="F137" s="1" t="s">
        <v>1975</v>
      </c>
      <c r="G137" s="1" t="s">
        <v>249</v>
      </c>
      <c r="H137" s="1" t="s">
        <v>2225</v>
      </c>
      <c r="I137" s="1" t="s">
        <v>3403</v>
      </c>
      <c r="K137" s="4" t="s">
        <v>9332</v>
      </c>
    </row>
    <row r="138" ht="15.75" customHeight="1">
      <c r="A138" s="1" t="s">
        <v>2226</v>
      </c>
      <c r="B138" s="1" t="s">
        <v>2227</v>
      </c>
      <c r="C138" s="1" t="s">
        <v>2228</v>
      </c>
      <c r="D138" s="1">
        <v>2023.0</v>
      </c>
      <c r="E138" s="1" t="s">
        <v>1974</v>
      </c>
      <c r="F138" s="1" t="s">
        <v>1975</v>
      </c>
      <c r="G138" s="1" t="s">
        <v>2229</v>
      </c>
      <c r="H138" s="1" t="s">
        <v>2230</v>
      </c>
      <c r="I138" s="1" t="s">
        <v>3403</v>
      </c>
      <c r="K138" s="4" t="s">
        <v>9332</v>
      </c>
    </row>
    <row r="139" ht="15.75" customHeight="1">
      <c r="A139" s="1" t="s">
        <v>2231</v>
      </c>
      <c r="B139" s="1" t="s">
        <v>2232</v>
      </c>
      <c r="C139" s="1" t="s">
        <v>2233</v>
      </c>
      <c r="D139" s="1">
        <v>2021.0</v>
      </c>
      <c r="E139" s="1" t="s">
        <v>1974</v>
      </c>
      <c r="F139" s="1" t="s">
        <v>1975</v>
      </c>
      <c r="G139" s="1" t="s">
        <v>2234</v>
      </c>
      <c r="H139" s="1" t="s">
        <v>2235</v>
      </c>
      <c r="I139" s="1" t="s">
        <v>3403</v>
      </c>
      <c r="K139" s="4" t="s">
        <v>9332</v>
      </c>
    </row>
    <row r="140" ht="15.75" customHeight="1">
      <c r="A140" s="1" t="s">
        <v>1600</v>
      </c>
      <c r="B140" s="1" t="s">
        <v>2240</v>
      </c>
      <c r="C140" s="1" t="s">
        <v>2241</v>
      </c>
      <c r="D140" s="1">
        <v>2006.0</v>
      </c>
      <c r="E140" s="1" t="s">
        <v>1974</v>
      </c>
      <c r="F140" s="1" t="s">
        <v>1975</v>
      </c>
      <c r="G140" s="1" t="s">
        <v>1603</v>
      </c>
      <c r="H140" s="1" t="s">
        <v>2242</v>
      </c>
      <c r="I140" s="1">
        <v>1.0</v>
      </c>
      <c r="K140" s="4" t="s">
        <v>9332</v>
      </c>
    </row>
    <row r="141" ht="15.75" customHeight="1">
      <c r="A141" s="1" t="s">
        <v>2243</v>
      </c>
      <c r="B141" s="1" t="s">
        <v>2244</v>
      </c>
      <c r="C141" s="1" t="s">
        <v>2245</v>
      </c>
      <c r="D141" s="1">
        <v>2017.0</v>
      </c>
      <c r="E141" s="1" t="s">
        <v>1974</v>
      </c>
      <c r="F141" s="1" t="s">
        <v>1975</v>
      </c>
      <c r="G141" s="1" t="s">
        <v>2246</v>
      </c>
      <c r="H141" s="1" t="s">
        <v>2247</v>
      </c>
      <c r="I141" s="1">
        <v>6.0</v>
      </c>
      <c r="K141" s="4" t="s">
        <v>9332</v>
      </c>
    </row>
    <row r="142" ht="15.75" customHeight="1">
      <c r="A142" s="1" t="s">
        <v>2248</v>
      </c>
      <c r="B142" s="1" t="s">
        <v>2249</v>
      </c>
      <c r="C142" s="1" t="s">
        <v>2250</v>
      </c>
      <c r="D142" s="1">
        <v>2006.0</v>
      </c>
      <c r="E142" s="1" t="s">
        <v>1974</v>
      </c>
      <c r="F142" s="1" t="s">
        <v>1975</v>
      </c>
      <c r="G142" s="1" t="s">
        <v>2251</v>
      </c>
      <c r="H142" s="1" t="s">
        <v>2252</v>
      </c>
      <c r="I142" s="1">
        <v>7.0</v>
      </c>
      <c r="K142" s="4" t="s">
        <v>9332</v>
      </c>
    </row>
    <row r="143" ht="15.75" customHeight="1">
      <c r="A143" s="1" t="s">
        <v>1877</v>
      </c>
      <c r="B143" s="1" t="s">
        <v>2261</v>
      </c>
      <c r="C143" s="1" t="s">
        <v>2262</v>
      </c>
      <c r="D143" s="1">
        <v>1990.0</v>
      </c>
      <c r="E143" s="1" t="s">
        <v>1974</v>
      </c>
      <c r="F143" s="1" t="s">
        <v>1975</v>
      </c>
      <c r="G143" s="1" t="s">
        <v>2263</v>
      </c>
      <c r="H143" s="1" t="s">
        <v>2264</v>
      </c>
      <c r="I143" s="1">
        <v>10.0</v>
      </c>
      <c r="K143" s="4" t="s">
        <v>9332</v>
      </c>
    </row>
    <row r="144" ht="15.75" customHeight="1">
      <c r="A144" s="1" t="s">
        <v>2269</v>
      </c>
      <c r="B144" s="1" t="s">
        <v>2270</v>
      </c>
      <c r="C144" s="1" t="s">
        <v>2271</v>
      </c>
      <c r="D144" s="1">
        <v>2004.0</v>
      </c>
      <c r="E144" s="1" t="s">
        <v>1974</v>
      </c>
      <c r="F144" s="1" t="s">
        <v>1975</v>
      </c>
      <c r="G144" s="1" t="s">
        <v>2272</v>
      </c>
      <c r="H144" s="1" t="s">
        <v>2273</v>
      </c>
      <c r="I144" s="1" t="s">
        <v>3403</v>
      </c>
      <c r="K144" s="4" t="s">
        <v>9332</v>
      </c>
    </row>
    <row r="145" ht="15.75" customHeight="1">
      <c r="A145" s="1" t="s">
        <v>867</v>
      </c>
      <c r="B145" s="1" t="s">
        <v>2274</v>
      </c>
      <c r="C145" s="1" t="s">
        <v>2275</v>
      </c>
      <c r="D145" s="1">
        <v>2019.0</v>
      </c>
      <c r="E145" s="1" t="s">
        <v>1974</v>
      </c>
      <c r="F145" s="1" t="s">
        <v>1975</v>
      </c>
      <c r="G145" s="1" t="s">
        <v>870</v>
      </c>
      <c r="H145" s="1" t="s">
        <v>2276</v>
      </c>
      <c r="I145" s="1">
        <v>2.0</v>
      </c>
      <c r="K145" s="4" t="s">
        <v>9332</v>
      </c>
    </row>
    <row r="146" ht="15.75" customHeight="1">
      <c r="A146" s="1" t="s">
        <v>784</v>
      </c>
      <c r="B146" s="1" t="s">
        <v>2279</v>
      </c>
      <c r="C146" s="1" t="s">
        <v>2280</v>
      </c>
      <c r="D146" s="1">
        <v>2018.0</v>
      </c>
      <c r="E146" s="1" t="s">
        <v>1974</v>
      </c>
      <c r="F146" s="1" t="s">
        <v>1975</v>
      </c>
      <c r="G146" s="1" t="s">
        <v>787</v>
      </c>
      <c r="H146" s="1" t="s">
        <v>2281</v>
      </c>
      <c r="I146" s="1">
        <v>3.0</v>
      </c>
      <c r="K146" s="4" t="s">
        <v>9332</v>
      </c>
    </row>
    <row r="147" ht="15.75" customHeight="1">
      <c r="A147" s="1" t="s">
        <v>2284</v>
      </c>
      <c r="B147" s="1" t="s">
        <v>2285</v>
      </c>
      <c r="C147" s="1" t="s">
        <v>1564</v>
      </c>
      <c r="D147" s="1">
        <v>2001.0</v>
      </c>
      <c r="E147" s="1" t="s">
        <v>1974</v>
      </c>
      <c r="F147" s="1" t="s">
        <v>2287</v>
      </c>
      <c r="G147" s="1" t="s">
        <v>1565</v>
      </c>
      <c r="H147" s="1" t="s">
        <v>2286</v>
      </c>
      <c r="I147" s="1">
        <v>31.0</v>
      </c>
      <c r="K147" s="4" t="s">
        <v>9332</v>
      </c>
    </row>
    <row r="148" ht="15.75" customHeight="1">
      <c r="A148" s="1" t="s">
        <v>2288</v>
      </c>
      <c r="B148" s="1" t="s">
        <v>2289</v>
      </c>
      <c r="C148" s="1" t="s">
        <v>2290</v>
      </c>
      <c r="D148" s="1">
        <v>1992.0</v>
      </c>
      <c r="E148" s="1" t="s">
        <v>1974</v>
      </c>
      <c r="F148" s="1" t="s">
        <v>1975</v>
      </c>
      <c r="G148" s="1" t="s">
        <v>2291</v>
      </c>
      <c r="H148" s="1" t="s">
        <v>2292</v>
      </c>
      <c r="I148" s="1">
        <v>30.0</v>
      </c>
      <c r="K148" s="4" t="s">
        <v>9332</v>
      </c>
    </row>
    <row r="149" ht="15.75" customHeight="1">
      <c r="A149" s="1" t="s">
        <v>2293</v>
      </c>
      <c r="B149" s="1" t="s">
        <v>2294</v>
      </c>
      <c r="C149" s="1" t="s">
        <v>2295</v>
      </c>
      <c r="D149" s="1">
        <v>2013.0</v>
      </c>
      <c r="E149" s="1" t="s">
        <v>1974</v>
      </c>
      <c r="F149" s="1" t="s">
        <v>1975</v>
      </c>
      <c r="G149" s="1" t="s">
        <v>1374</v>
      </c>
      <c r="H149" s="1" t="s">
        <v>2296</v>
      </c>
      <c r="I149" s="1">
        <v>3.0</v>
      </c>
      <c r="K149" s="4" t="s">
        <v>9332</v>
      </c>
    </row>
    <row r="150" ht="15.75" customHeight="1">
      <c r="A150" s="1" t="s">
        <v>2297</v>
      </c>
      <c r="B150" s="1" t="s">
        <v>2298</v>
      </c>
      <c r="C150" s="1" t="s">
        <v>2299</v>
      </c>
      <c r="D150" s="1">
        <v>2017.0</v>
      </c>
      <c r="E150" s="1" t="s">
        <v>1974</v>
      </c>
      <c r="F150" s="1" t="s">
        <v>1975</v>
      </c>
      <c r="G150" s="1" t="s">
        <v>2300</v>
      </c>
      <c r="H150" s="1" t="s">
        <v>2301</v>
      </c>
      <c r="I150" s="1" t="s">
        <v>3403</v>
      </c>
      <c r="K150" s="4" t="s">
        <v>9332</v>
      </c>
    </row>
    <row r="151" ht="15.75" customHeight="1">
      <c r="A151" s="1" t="s">
        <v>2306</v>
      </c>
      <c r="B151" s="1" t="s">
        <v>2307</v>
      </c>
      <c r="C151" s="1" t="s">
        <v>2308</v>
      </c>
      <c r="D151" s="1">
        <v>2019.0</v>
      </c>
      <c r="E151" s="1" t="s">
        <v>1974</v>
      </c>
      <c r="F151" s="1" t="s">
        <v>1975</v>
      </c>
      <c r="G151" s="1" t="s">
        <v>922</v>
      </c>
      <c r="H151" s="1" t="s">
        <v>2309</v>
      </c>
      <c r="I151" s="1">
        <v>6.0</v>
      </c>
      <c r="K151" s="4" t="s">
        <v>9332</v>
      </c>
    </row>
    <row r="152" ht="15.75" customHeight="1">
      <c r="A152" s="1" t="s">
        <v>2310</v>
      </c>
      <c r="B152" s="1" t="s">
        <v>2311</v>
      </c>
      <c r="C152" s="1" t="s">
        <v>2312</v>
      </c>
      <c r="D152" s="1">
        <v>2014.0</v>
      </c>
      <c r="E152" s="1" t="s">
        <v>1974</v>
      </c>
      <c r="F152" s="1" t="s">
        <v>1975</v>
      </c>
      <c r="G152" s="1" t="s">
        <v>1388</v>
      </c>
      <c r="H152" s="1" t="s">
        <v>2313</v>
      </c>
      <c r="I152" s="1">
        <v>2.0</v>
      </c>
      <c r="K152" s="4" t="s">
        <v>9332</v>
      </c>
    </row>
    <row r="153" ht="15.75" customHeight="1">
      <c r="A153" s="1" t="s">
        <v>2317</v>
      </c>
      <c r="B153" s="1" t="s">
        <v>2318</v>
      </c>
      <c r="C153" s="1" t="s">
        <v>2319</v>
      </c>
      <c r="D153" s="1">
        <v>2024.0</v>
      </c>
      <c r="E153" s="1" t="s">
        <v>1974</v>
      </c>
      <c r="F153" s="1" t="s">
        <v>1975</v>
      </c>
      <c r="G153" s="1" t="s">
        <v>2320</v>
      </c>
      <c r="H153" s="1" t="s">
        <v>2321</v>
      </c>
      <c r="I153" s="1" t="s">
        <v>3403</v>
      </c>
      <c r="K153" s="4" t="s">
        <v>9332</v>
      </c>
    </row>
    <row r="154" ht="15.75" customHeight="1">
      <c r="A154" s="1" t="s">
        <v>2322</v>
      </c>
      <c r="B154" s="1" t="s">
        <v>2323</v>
      </c>
      <c r="C154" s="1" t="s">
        <v>436</v>
      </c>
      <c r="D154" s="1">
        <v>2024.0</v>
      </c>
      <c r="E154" s="1" t="s">
        <v>1974</v>
      </c>
      <c r="F154" s="1" t="s">
        <v>2101</v>
      </c>
      <c r="G154" s="1" t="s">
        <v>2324</v>
      </c>
      <c r="H154" s="1" t="s">
        <v>2325</v>
      </c>
      <c r="I154" s="1" t="s">
        <v>3403</v>
      </c>
      <c r="K154" s="4" t="s">
        <v>9332</v>
      </c>
    </row>
    <row r="155" ht="15.75" customHeight="1">
      <c r="A155" s="1" t="s">
        <v>2336</v>
      </c>
      <c r="B155" s="1" t="s">
        <v>2337</v>
      </c>
      <c r="C155" s="1" t="s">
        <v>2338</v>
      </c>
      <c r="D155" s="1">
        <v>2018.0</v>
      </c>
      <c r="E155" s="1" t="s">
        <v>1974</v>
      </c>
      <c r="F155" s="1" t="s">
        <v>1975</v>
      </c>
      <c r="G155" s="1" t="s">
        <v>888</v>
      </c>
      <c r="H155" s="1" t="s">
        <v>2339</v>
      </c>
      <c r="I155" s="1">
        <v>3.0</v>
      </c>
      <c r="K155" s="4" t="s">
        <v>9332</v>
      </c>
    </row>
    <row r="156" ht="15.75" customHeight="1">
      <c r="A156" s="1" t="s">
        <v>985</v>
      </c>
      <c r="B156" s="1" t="s">
        <v>2344</v>
      </c>
      <c r="C156" s="1" t="s">
        <v>2345</v>
      </c>
      <c r="D156" s="1">
        <v>2014.0</v>
      </c>
      <c r="E156" s="1" t="s">
        <v>1974</v>
      </c>
      <c r="F156" s="1" t="s">
        <v>1975</v>
      </c>
      <c r="G156" s="1" t="s">
        <v>988</v>
      </c>
      <c r="H156" s="1" t="s">
        <v>2346</v>
      </c>
      <c r="I156" s="1">
        <v>64.0</v>
      </c>
      <c r="K156" s="4" t="s">
        <v>9332</v>
      </c>
    </row>
    <row r="157" ht="15.75" customHeight="1">
      <c r="A157" s="1" t="s">
        <v>2347</v>
      </c>
      <c r="B157" s="1" t="s">
        <v>2348</v>
      </c>
      <c r="C157" s="1" t="s">
        <v>2349</v>
      </c>
      <c r="D157" s="1">
        <v>2011.0</v>
      </c>
      <c r="E157" s="1" t="s">
        <v>1974</v>
      </c>
      <c r="F157" s="1" t="s">
        <v>1975</v>
      </c>
      <c r="G157" s="1" t="s">
        <v>2350</v>
      </c>
      <c r="H157" s="1" t="s">
        <v>2351</v>
      </c>
      <c r="I157" s="1">
        <v>12.0</v>
      </c>
      <c r="K157" s="4" t="s">
        <v>9332</v>
      </c>
    </row>
    <row r="158" ht="15.75" customHeight="1">
      <c r="A158" s="1" t="s">
        <v>405</v>
      </c>
      <c r="B158" s="1" t="s">
        <v>2352</v>
      </c>
      <c r="C158" s="1" t="s">
        <v>407</v>
      </c>
      <c r="D158" s="1">
        <v>2022.0</v>
      </c>
      <c r="E158" s="1" t="s">
        <v>1974</v>
      </c>
      <c r="F158" s="1" t="s">
        <v>2101</v>
      </c>
      <c r="G158" s="1" t="s">
        <v>408</v>
      </c>
      <c r="H158" s="1" t="s">
        <v>2353</v>
      </c>
      <c r="I158" s="1">
        <v>11.0</v>
      </c>
      <c r="K158" s="4" t="s">
        <v>9332</v>
      </c>
    </row>
    <row r="159" ht="15.75" customHeight="1">
      <c r="A159" s="1" t="s">
        <v>309</v>
      </c>
      <c r="B159" s="1" t="s">
        <v>2358</v>
      </c>
      <c r="C159" s="1" t="s">
        <v>311</v>
      </c>
      <c r="D159" s="1">
        <v>2022.0</v>
      </c>
      <c r="E159" s="1" t="s">
        <v>1974</v>
      </c>
      <c r="F159" s="1" t="s">
        <v>2287</v>
      </c>
      <c r="G159" s="1" t="s">
        <v>312</v>
      </c>
      <c r="H159" s="1" t="s">
        <v>2359</v>
      </c>
      <c r="I159" s="1" t="s">
        <v>3403</v>
      </c>
      <c r="K159" s="4" t="s">
        <v>9332</v>
      </c>
    </row>
    <row r="160" ht="15.75" customHeight="1">
      <c r="A160" s="1" t="s">
        <v>1889</v>
      </c>
      <c r="B160" s="1" t="s">
        <v>2365</v>
      </c>
      <c r="C160" s="1" t="s">
        <v>2366</v>
      </c>
      <c r="D160" s="1">
        <v>1997.0</v>
      </c>
      <c r="E160" s="1" t="s">
        <v>1974</v>
      </c>
      <c r="F160" s="1" t="s">
        <v>1975</v>
      </c>
      <c r="G160" s="1" t="s">
        <v>2367</v>
      </c>
      <c r="H160" s="1" t="s">
        <v>2368</v>
      </c>
      <c r="I160" s="1">
        <v>13.0</v>
      </c>
      <c r="K160" s="4" t="s">
        <v>9332</v>
      </c>
    </row>
    <row r="161" ht="15.75" customHeight="1">
      <c r="A161" s="1" t="s">
        <v>2369</v>
      </c>
      <c r="B161" s="1" t="s">
        <v>2370</v>
      </c>
      <c r="C161" s="1" t="s">
        <v>2371</v>
      </c>
      <c r="D161" s="1">
        <v>2011.0</v>
      </c>
      <c r="E161" s="1" t="s">
        <v>1974</v>
      </c>
      <c r="F161" s="1" t="s">
        <v>1975</v>
      </c>
      <c r="G161" s="1" t="s">
        <v>2372</v>
      </c>
      <c r="H161" s="1" t="s">
        <v>2373</v>
      </c>
      <c r="I161" s="1" t="s">
        <v>3403</v>
      </c>
      <c r="K161" s="4" t="s">
        <v>9332</v>
      </c>
    </row>
    <row r="162" ht="15.75" customHeight="1">
      <c r="A162" s="1" t="s">
        <v>2374</v>
      </c>
      <c r="B162" s="1" t="s">
        <v>2375</v>
      </c>
      <c r="C162" s="1" t="s">
        <v>2376</v>
      </c>
      <c r="D162" s="1">
        <v>2022.0</v>
      </c>
      <c r="E162" s="1" t="s">
        <v>1974</v>
      </c>
      <c r="F162" s="1" t="s">
        <v>1975</v>
      </c>
      <c r="G162" s="1" t="s">
        <v>2377</v>
      </c>
      <c r="H162" s="1" t="s">
        <v>2378</v>
      </c>
      <c r="I162" s="1">
        <v>1.0</v>
      </c>
      <c r="K162" s="4" t="s">
        <v>9332</v>
      </c>
    </row>
    <row r="163" ht="15.75" customHeight="1">
      <c r="A163" s="1" t="s">
        <v>2379</v>
      </c>
      <c r="B163" s="1" t="s">
        <v>2380</v>
      </c>
      <c r="C163" s="1" t="s">
        <v>91</v>
      </c>
      <c r="D163" s="1">
        <v>2020.0</v>
      </c>
      <c r="E163" s="1" t="s">
        <v>1974</v>
      </c>
      <c r="F163" s="1" t="s">
        <v>2101</v>
      </c>
      <c r="G163" s="1" t="s">
        <v>2381</v>
      </c>
      <c r="H163" s="1" t="s">
        <v>2382</v>
      </c>
      <c r="I163" s="1">
        <v>2.0</v>
      </c>
      <c r="K163" s="4" t="s">
        <v>9332</v>
      </c>
    </row>
    <row r="164" ht="15.75" customHeight="1">
      <c r="A164" s="1" t="s">
        <v>2383</v>
      </c>
      <c r="B164" s="1" t="s">
        <v>2384</v>
      </c>
      <c r="C164" s="1" t="s">
        <v>2385</v>
      </c>
      <c r="D164" s="1">
        <v>2009.0</v>
      </c>
      <c r="E164" s="1" t="s">
        <v>1974</v>
      </c>
      <c r="F164" s="1" t="s">
        <v>1975</v>
      </c>
      <c r="G164" s="1" t="s">
        <v>2386</v>
      </c>
      <c r="H164" s="1" t="s">
        <v>2387</v>
      </c>
      <c r="I164" s="1">
        <v>16.0</v>
      </c>
      <c r="K164" s="4" t="s">
        <v>9332</v>
      </c>
    </row>
    <row r="165" ht="15.75" customHeight="1">
      <c r="A165" s="1" t="s">
        <v>2388</v>
      </c>
      <c r="B165" s="1" t="s">
        <v>2389</v>
      </c>
      <c r="C165" s="1" t="s">
        <v>2390</v>
      </c>
      <c r="D165" s="1">
        <v>2014.0</v>
      </c>
      <c r="E165" s="1" t="s">
        <v>1974</v>
      </c>
      <c r="F165" s="1" t="s">
        <v>1975</v>
      </c>
      <c r="G165" s="1" t="s">
        <v>997</v>
      </c>
      <c r="H165" s="1" t="s">
        <v>2391</v>
      </c>
      <c r="I165" s="1">
        <v>10.0</v>
      </c>
      <c r="K165" s="4" t="s">
        <v>9332</v>
      </c>
    </row>
    <row r="166" ht="15.75" customHeight="1">
      <c r="A166" s="1" t="s">
        <v>2392</v>
      </c>
      <c r="B166" s="1" t="s">
        <v>2393</v>
      </c>
      <c r="C166" s="1" t="s">
        <v>2394</v>
      </c>
      <c r="D166" s="1">
        <v>2021.0</v>
      </c>
      <c r="E166" s="1" t="s">
        <v>1974</v>
      </c>
      <c r="F166" s="1" t="s">
        <v>1975</v>
      </c>
      <c r="G166" s="1" t="s">
        <v>2395</v>
      </c>
      <c r="H166" s="1" t="s">
        <v>2396</v>
      </c>
      <c r="I166" s="1">
        <v>5.0</v>
      </c>
      <c r="K166" s="4" t="s">
        <v>9332</v>
      </c>
    </row>
    <row r="167" ht="15.75" customHeight="1">
      <c r="A167" s="1" t="s">
        <v>2400</v>
      </c>
      <c r="B167" s="1" t="s">
        <v>2401</v>
      </c>
      <c r="C167" s="1" t="s">
        <v>2402</v>
      </c>
      <c r="D167" s="1">
        <v>2008.0</v>
      </c>
      <c r="E167" s="1" t="s">
        <v>1974</v>
      </c>
      <c r="F167" s="1" t="s">
        <v>1975</v>
      </c>
      <c r="G167" s="1" t="s">
        <v>2403</v>
      </c>
      <c r="H167" s="1" t="s">
        <v>2404</v>
      </c>
      <c r="I167" s="1" t="s">
        <v>3403</v>
      </c>
      <c r="K167" s="4" t="s">
        <v>9332</v>
      </c>
    </row>
    <row r="168" ht="15.75" customHeight="1">
      <c r="A168" s="1" t="s">
        <v>929</v>
      </c>
      <c r="B168" s="1" t="s">
        <v>2405</v>
      </c>
      <c r="C168" s="1" t="s">
        <v>2406</v>
      </c>
      <c r="D168" s="1">
        <v>2019.0</v>
      </c>
      <c r="E168" s="1" t="s">
        <v>1974</v>
      </c>
      <c r="F168" s="1" t="s">
        <v>1975</v>
      </c>
      <c r="G168" s="1" t="s">
        <v>932</v>
      </c>
      <c r="H168" s="1" t="s">
        <v>2407</v>
      </c>
      <c r="I168" s="1" t="s">
        <v>3403</v>
      </c>
      <c r="K168" s="4" t="s">
        <v>9332</v>
      </c>
    </row>
    <row r="169" ht="15.75" customHeight="1">
      <c r="A169" s="1" t="s">
        <v>2408</v>
      </c>
      <c r="B169" s="1" t="s">
        <v>2409</v>
      </c>
      <c r="C169" s="1" t="s">
        <v>2410</v>
      </c>
      <c r="D169" s="1">
        <v>2021.0</v>
      </c>
      <c r="E169" s="1" t="s">
        <v>1974</v>
      </c>
      <c r="F169" s="1" t="s">
        <v>1975</v>
      </c>
      <c r="G169" s="1" t="s">
        <v>2411</v>
      </c>
      <c r="H169" s="1" t="s">
        <v>2412</v>
      </c>
      <c r="I169" s="1">
        <v>3.0</v>
      </c>
      <c r="K169" s="4" t="s">
        <v>9332</v>
      </c>
    </row>
    <row r="170" ht="15.75" customHeight="1">
      <c r="A170" s="1" t="s">
        <v>429</v>
      </c>
      <c r="B170" s="1" t="s">
        <v>2413</v>
      </c>
      <c r="C170" s="1" t="s">
        <v>2414</v>
      </c>
      <c r="D170" s="1">
        <v>2022.0</v>
      </c>
      <c r="E170" s="1" t="s">
        <v>1974</v>
      </c>
      <c r="F170" s="1" t="s">
        <v>1975</v>
      </c>
      <c r="G170" s="1" t="s">
        <v>432</v>
      </c>
      <c r="H170" s="1" t="s">
        <v>2415</v>
      </c>
      <c r="I170" s="1" t="s">
        <v>3403</v>
      </c>
      <c r="K170" s="4" t="s">
        <v>9332</v>
      </c>
    </row>
    <row r="171" ht="15.75" customHeight="1">
      <c r="A171" s="1" t="s">
        <v>2416</v>
      </c>
      <c r="B171" s="1" t="s">
        <v>2417</v>
      </c>
      <c r="C171" s="1" t="s">
        <v>2418</v>
      </c>
      <c r="D171" s="1">
        <v>2016.0</v>
      </c>
      <c r="E171" s="1" t="s">
        <v>1974</v>
      </c>
      <c r="F171" s="1" t="s">
        <v>1975</v>
      </c>
      <c r="G171" s="1" t="s">
        <v>2419</v>
      </c>
      <c r="H171" s="1" t="s">
        <v>2420</v>
      </c>
      <c r="I171" s="1">
        <v>2.0</v>
      </c>
      <c r="K171" s="4" t="s">
        <v>9332</v>
      </c>
    </row>
    <row r="172" ht="15.75" customHeight="1">
      <c r="A172" s="1" t="s">
        <v>2421</v>
      </c>
      <c r="B172" s="1" t="s">
        <v>2422</v>
      </c>
      <c r="C172" s="1" t="s">
        <v>2423</v>
      </c>
      <c r="D172" s="1">
        <v>2021.0</v>
      </c>
      <c r="E172" s="1" t="s">
        <v>1974</v>
      </c>
      <c r="F172" s="1" t="s">
        <v>1975</v>
      </c>
      <c r="G172" s="1" t="s">
        <v>2424</v>
      </c>
      <c r="H172" s="1" t="s">
        <v>2425</v>
      </c>
      <c r="I172" s="1">
        <v>2.0</v>
      </c>
      <c r="K172" s="4" t="s">
        <v>9332</v>
      </c>
    </row>
    <row r="173" ht="15.75" customHeight="1">
      <c r="A173" s="1" t="s">
        <v>2426</v>
      </c>
      <c r="B173" s="1" t="s">
        <v>2427</v>
      </c>
      <c r="C173" s="1" t="s">
        <v>2428</v>
      </c>
      <c r="D173" s="1">
        <v>2023.0</v>
      </c>
      <c r="E173" s="1" t="s">
        <v>1974</v>
      </c>
      <c r="F173" s="1" t="s">
        <v>2101</v>
      </c>
      <c r="G173" s="1" t="s">
        <v>2429</v>
      </c>
      <c r="H173" s="1" t="s">
        <v>2430</v>
      </c>
      <c r="I173" s="1">
        <v>1.0</v>
      </c>
      <c r="K173" s="4" t="s">
        <v>9332</v>
      </c>
    </row>
    <row r="174" ht="15.75" customHeight="1">
      <c r="A174" s="1" t="s">
        <v>2431</v>
      </c>
      <c r="B174" s="1" t="s">
        <v>2432</v>
      </c>
      <c r="C174" s="1" t="s">
        <v>2433</v>
      </c>
      <c r="D174" s="1">
        <v>2023.0</v>
      </c>
      <c r="E174" s="1" t="s">
        <v>1974</v>
      </c>
      <c r="F174" s="1" t="s">
        <v>1975</v>
      </c>
      <c r="G174" s="1" t="s">
        <v>2434</v>
      </c>
      <c r="H174" s="1" t="s">
        <v>2435</v>
      </c>
      <c r="I174" s="1">
        <v>7.0</v>
      </c>
      <c r="K174" s="4" t="s">
        <v>9332</v>
      </c>
    </row>
    <row r="175" ht="15.75" customHeight="1">
      <c r="A175" s="1" t="s">
        <v>849</v>
      </c>
      <c r="B175" s="1" t="s">
        <v>2439</v>
      </c>
      <c r="C175" s="1" t="s">
        <v>2440</v>
      </c>
      <c r="D175" s="1">
        <v>2018.0</v>
      </c>
      <c r="E175" s="1" t="s">
        <v>1974</v>
      </c>
      <c r="F175" s="1" t="s">
        <v>1975</v>
      </c>
      <c r="G175" s="1" t="s">
        <v>852</v>
      </c>
      <c r="H175" s="1" t="s">
        <v>2441</v>
      </c>
      <c r="I175" s="1">
        <v>17.0</v>
      </c>
      <c r="K175" s="4" t="s">
        <v>9332</v>
      </c>
    </row>
    <row r="176" ht="15.75" customHeight="1">
      <c r="A176" s="1" t="s">
        <v>2447</v>
      </c>
      <c r="B176" s="1" t="s">
        <v>2448</v>
      </c>
      <c r="C176" s="1" t="s">
        <v>2319</v>
      </c>
      <c r="D176" s="1">
        <v>2024.0</v>
      </c>
      <c r="E176" s="1" t="s">
        <v>1974</v>
      </c>
      <c r="F176" s="1" t="s">
        <v>1975</v>
      </c>
      <c r="G176" s="1" t="s">
        <v>2449</v>
      </c>
      <c r="H176" s="1" t="s">
        <v>2450</v>
      </c>
      <c r="I176" s="1" t="s">
        <v>3403</v>
      </c>
      <c r="K176" s="4" t="s">
        <v>9332</v>
      </c>
    </row>
    <row r="177" ht="15.75" customHeight="1">
      <c r="A177" s="1" t="s">
        <v>2451</v>
      </c>
      <c r="B177" s="1" t="s">
        <v>2452</v>
      </c>
      <c r="C177" s="1" t="s">
        <v>2453</v>
      </c>
      <c r="D177" s="1">
        <v>2009.0</v>
      </c>
      <c r="E177" s="1" t="s">
        <v>1974</v>
      </c>
      <c r="F177" s="1" t="s">
        <v>1975</v>
      </c>
      <c r="G177" s="1" t="s">
        <v>1584</v>
      </c>
      <c r="H177" s="1" t="s">
        <v>2454</v>
      </c>
      <c r="I177" s="1">
        <v>1.0</v>
      </c>
      <c r="K177" s="4" t="s">
        <v>9332</v>
      </c>
    </row>
    <row r="178" ht="15.75" customHeight="1">
      <c r="A178" s="1" t="s">
        <v>2455</v>
      </c>
      <c r="B178" s="1" t="s">
        <v>2456</v>
      </c>
      <c r="C178" s="1" t="s">
        <v>2457</v>
      </c>
      <c r="D178" s="1">
        <v>2022.0</v>
      </c>
      <c r="E178" s="1" t="s">
        <v>1974</v>
      </c>
      <c r="F178" s="1" t="s">
        <v>1975</v>
      </c>
      <c r="G178" s="1" t="s">
        <v>2458</v>
      </c>
      <c r="H178" s="1" t="s">
        <v>2459</v>
      </c>
      <c r="I178" s="1" t="s">
        <v>3403</v>
      </c>
      <c r="K178" s="4" t="s">
        <v>9332</v>
      </c>
    </row>
    <row r="179" ht="15.75" customHeight="1">
      <c r="A179" s="1" t="s">
        <v>2460</v>
      </c>
      <c r="B179" s="1" t="s">
        <v>2461</v>
      </c>
      <c r="C179" s="1" t="s">
        <v>2462</v>
      </c>
      <c r="D179" s="1">
        <v>2021.0</v>
      </c>
      <c r="E179" s="1" t="s">
        <v>1974</v>
      </c>
      <c r="F179" s="1" t="s">
        <v>1975</v>
      </c>
      <c r="G179" s="1" t="s">
        <v>2463</v>
      </c>
      <c r="H179" s="1" t="s">
        <v>2464</v>
      </c>
      <c r="I179" s="1" t="s">
        <v>3403</v>
      </c>
      <c r="K179" s="4" t="s">
        <v>9332</v>
      </c>
    </row>
    <row r="180" ht="15.75" customHeight="1">
      <c r="A180" s="1" t="s">
        <v>1124</v>
      </c>
      <c r="B180" s="1" t="s">
        <v>2465</v>
      </c>
      <c r="C180" s="1" t="s">
        <v>2466</v>
      </c>
      <c r="D180" s="1">
        <v>2013.0</v>
      </c>
      <c r="E180" s="1" t="s">
        <v>1974</v>
      </c>
      <c r="F180" s="1" t="s">
        <v>1975</v>
      </c>
      <c r="H180" s="1" t="s">
        <v>2467</v>
      </c>
      <c r="I180" s="1" t="s">
        <v>3403</v>
      </c>
      <c r="K180" s="4" t="s">
        <v>9332</v>
      </c>
    </row>
    <row r="181" ht="15.75" customHeight="1">
      <c r="A181" s="1" t="s">
        <v>2468</v>
      </c>
      <c r="B181" s="1" t="s">
        <v>2469</v>
      </c>
      <c r="C181" s="1" t="s">
        <v>129</v>
      </c>
      <c r="D181" s="1">
        <v>2020.0</v>
      </c>
      <c r="E181" s="1" t="s">
        <v>1974</v>
      </c>
      <c r="F181" s="1" t="s">
        <v>2101</v>
      </c>
      <c r="G181" s="1" t="s">
        <v>2470</v>
      </c>
      <c r="H181" s="1" t="s">
        <v>2471</v>
      </c>
      <c r="I181" s="1">
        <v>1.0</v>
      </c>
      <c r="K181" s="4" t="s">
        <v>9332</v>
      </c>
    </row>
    <row r="182" ht="15.75" customHeight="1">
      <c r="A182" s="1" t="s">
        <v>2474</v>
      </c>
      <c r="B182" s="1" t="s">
        <v>2475</v>
      </c>
      <c r="C182" s="1" t="s">
        <v>2476</v>
      </c>
      <c r="D182" s="1">
        <v>2003.0</v>
      </c>
      <c r="E182" s="1" t="s">
        <v>1974</v>
      </c>
      <c r="F182" s="1" t="s">
        <v>1975</v>
      </c>
      <c r="G182" s="1" t="s">
        <v>2477</v>
      </c>
      <c r="H182" s="1" t="s">
        <v>2478</v>
      </c>
      <c r="I182" s="1" t="s">
        <v>3403</v>
      </c>
      <c r="K182" s="4" t="s">
        <v>9332</v>
      </c>
    </row>
    <row r="183" ht="15.75" customHeight="1">
      <c r="A183" s="1" t="s">
        <v>1516</v>
      </c>
      <c r="B183" s="1" t="s">
        <v>2479</v>
      </c>
      <c r="C183" s="1" t="s">
        <v>2480</v>
      </c>
      <c r="D183" s="1">
        <v>2001.0</v>
      </c>
      <c r="E183" s="1" t="s">
        <v>1974</v>
      </c>
      <c r="F183" s="1" t="s">
        <v>1975</v>
      </c>
      <c r="G183" s="1" t="s">
        <v>2481</v>
      </c>
      <c r="H183" s="1" t="s">
        <v>2482</v>
      </c>
      <c r="I183" s="1">
        <v>2.0</v>
      </c>
      <c r="K183" s="4" t="s">
        <v>9332</v>
      </c>
    </row>
    <row r="184" ht="15.75" customHeight="1">
      <c r="A184" s="1" t="s">
        <v>2488</v>
      </c>
      <c r="B184" s="1" t="s">
        <v>2489</v>
      </c>
      <c r="C184" s="1" t="s">
        <v>106</v>
      </c>
      <c r="D184" s="1">
        <v>2023.0</v>
      </c>
      <c r="E184" s="1" t="s">
        <v>1974</v>
      </c>
      <c r="F184" s="1" t="s">
        <v>2101</v>
      </c>
      <c r="G184" s="1" t="s">
        <v>2490</v>
      </c>
      <c r="H184" s="1" t="s">
        <v>2491</v>
      </c>
      <c r="I184" s="1">
        <v>1.0</v>
      </c>
      <c r="K184" s="4" t="s">
        <v>9332</v>
      </c>
    </row>
    <row r="185" ht="15.75" customHeight="1">
      <c r="A185" s="1" t="s">
        <v>2492</v>
      </c>
      <c r="B185" s="1" t="s">
        <v>2493</v>
      </c>
      <c r="C185" s="1" t="s">
        <v>2494</v>
      </c>
      <c r="D185" s="1">
        <v>2023.0</v>
      </c>
      <c r="E185" s="1" t="s">
        <v>1974</v>
      </c>
      <c r="F185" s="1" t="s">
        <v>1975</v>
      </c>
      <c r="G185" s="1" t="s">
        <v>2495</v>
      </c>
      <c r="H185" s="1" t="s">
        <v>2496</v>
      </c>
      <c r="I185" s="1" t="s">
        <v>3403</v>
      </c>
      <c r="K185" s="4" t="s">
        <v>9332</v>
      </c>
    </row>
    <row r="186" ht="15.75" customHeight="1">
      <c r="A186" s="1" t="s">
        <v>799</v>
      </c>
      <c r="B186" s="1" t="s">
        <v>2497</v>
      </c>
      <c r="C186" s="1" t="s">
        <v>2104</v>
      </c>
      <c r="D186" s="1">
        <v>2021.0</v>
      </c>
      <c r="E186" s="1" t="s">
        <v>1974</v>
      </c>
      <c r="F186" s="1" t="s">
        <v>1975</v>
      </c>
      <c r="G186" s="1" t="s">
        <v>801</v>
      </c>
      <c r="H186" s="1" t="s">
        <v>2498</v>
      </c>
      <c r="I186" s="1" t="s">
        <v>3403</v>
      </c>
      <c r="K186" s="4" t="s">
        <v>9332</v>
      </c>
    </row>
    <row r="187" ht="15.75" customHeight="1">
      <c r="A187" s="1" t="s">
        <v>2504</v>
      </c>
      <c r="B187" s="1" t="s">
        <v>2505</v>
      </c>
      <c r="C187" s="1" t="s">
        <v>2506</v>
      </c>
      <c r="D187" s="1">
        <v>2017.0</v>
      </c>
      <c r="E187" s="1" t="s">
        <v>1974</v>
      </c>
      <c r="F187" s="1" t="s">
        <v>1975</v>
      </c>
      <c r="G187" s="1" t="s">
        <v>2507</v>
      </c>
      <c r="H187" s="1" t="s">
        <v>2508</v>
      </c>
      <c r="I187" s="1">
        <v>10.0</v>
      </c>
      <c r="K187" s="4" t="s">
        <v>9332</v>
      </c>
    </row>
    <row r="188" ht="15.75" customHeight="1">
      <c r="A188" s="1" t="s">
        <v>2509</v>
      </c>
      <c r="B188" s="1" t="s">
        <v>2510</v>
      </c>
      <c r="C188" s="1" t="s">
        <v>2511</v>
      </c>
      <c r="D188" s="1">
        <v>2019.0</v>
      </c>
      <c r="E188" s="1" t="s">
        <v>1974</v>
      </c>
      <c r="F188" s="1" t="s">
        <v>1975</v>
      </c>
      <c r="G188" s="1" t="s">
        <v>2512</v>
      </c>
      <c r="H188" s="1" t="s">
        <v>2513</v>
      </c>
      <c r="I188" s="1">
        <v>4.0</v>
      </c>
      <c r="K188" s="4" t="s">
        <v>9332</v>
      </c>
    </row>
    <row r="189" ht="15.75" customHeight="1">
      <c r="A189" s="1" t="s">
        <v>2514</v>
      </c>
      <c r="B189" s="1" t="s">
        <v>2515</v>
      </c>
      <c r="C189" s="1" t="s">
        <v>2516</v>
      </c>
      <c r="D189" s="1">
        <v>2021.0</v>
      </c>
      <c r="E189" s="1" t="s">
        <v>1974</v>
      </c>
      <c r="F189" s="1" t="s">
        <v>1975</v>
      </c>
      <c r="G189" s="1" t="s">
        <v>2517</v>
      </c>
      <c r="H189" s="1" t="s">
        <v>2518</v>
      </c>
      <c r="I189" s="1">
        <v>2.0</v>
      </c>
      <c r="K189" s="4" t="s">
        <v>9332</v>
      </c>
    </row>
    <row r="190" ht="15.75" customHeight="1">
      <c r="A190" s="1" t="s">
        <v>1650</v>
      </c>
      <c r="B190" s="1" t="s">
        <v>2519</v>
      </c>
      <c r="C190" s="1" t="s">
        <v>2520</v>
      </c>
      <c r="D190" s="1">
        <v>2010.0</v>
      </c>
      <c r="E190" s="1" t="s">
        <v>1974</v>
      </c>
      <c r="F190" s="1" t="s">
        <v>1975</v>
      </c>
      <c r="G190" s="1" t="s">
        <v>1653</v>
      </c>
      <c r="H190" s="1" t="s">
        <v>2521</v>
      </c>
      <c r="I190" s="1">
        <v>10.0</v>
      </c>
      <c r="K190" s="4" t="s">
        <v>9332</v>
      </c>
    </row>
    <row r="191" ht="15.75" customHeight="1">
      <c r="A191" s="1" t="s">
        <v>2522</v>
      </c>
      <c r="B191" s="1" t="s">
        <v>2523</v>
      </c>
      <c r="C191" s="1" t="s">
        <v>2524</v>
      </c>
      <c r="D191" s="1">
        <v>2012.0</v>
      </c>
      <c r="E191" s="1" t="s">
        <v>1974</v>
      </c>
      <c r="F191" s="1" t="s">
        <v>1975</v>
      </c>
      <c r="H191" s="1" t="s">
        <v>2525</v>
      </c>
      <c r="I191" s="1" t="s">
        <v>3403</v>
      </c>
      <c r="K191" s="4" t="s">
        <v>9332</v>
      </c>
    </row>
    <row r="192" ht="15.75" customHeight="1">
      <c r="A192" s="1" t="s">
        <v>2526</v>
      </c>
      <c r="B192" s="1" t="s">
        <v>2527</v>
      </c>
      <c r="C192" s="1" t="s">
        <v>2528</v>
      </c>
      <c r="D192" s="1">
        <v>2011.0</v>
      </c>
      <c r="E192" s="1" t="s">
        <v>1974</v>
      </c>
      <c r="F192" s="1" t="s">
        <v>1975</v>
      </c>
      <c r="G192" s="1" t="s">
        <v>2529</v>
      </c>
      <c r="H192" s="1" t="s">
        <v>2530</v>
      </c>
      <c r="I192" s="1" t="s">
        <v>3403</v>
      </c>
      <c r="K192" s="4" t="s">
        <v>9332</v>
      </c>
    </row>
    <row r="193" ht="15.75" customHeight="1">
      <c r="A193" s="1" t="s">
        <v>2531</v>
      </c>
      <c r="B193" s="1" t="s">
        <v>2532</v>
      </c>
      <c r="C193" s="1" t="s">
        <v>2533</v>
      </c>
      <c r="D193" s="1">
        <v>1991.0</v>
      </c>
      <c r="E193" s="1" t="s">
        <v>1974</v>
      </c>
      <c r="F193" s="1" t="s">
        <v>1975</v>
      </c>
      <c r="G193" s="1" t="s">
        <v>1914</v>
      </c>
      <c r="H193" s="1" t="s">
        <v>2534</v>
      </c>
      <c r="I193" s="1">
        <v>3.0</v>
      </c>
      <c r="K193" s="4" t="s">
        <v>9332</v>
      </c>
    </row>
    <row r="194" ht="15.75" customHeight="1">
      <c r="A194" s="1" t="s">
        <v>2535</v>
      </c>
      <c r="B194" s="1" t="s">
        <v>2536</v>
      </c>
      <c r="C194" s="1" t="s">
        <v>2537</v>
      </c>
      <c r="D194" s="1">
        <v>2019.0</v>
      </c>
      <c r="E194" s="1" t="s">
        <v>1974</v>
      </c>
      <c r="F194" s="1" t="s">
        <v>1975</v>
      </c>
      <c r="G194" s="1" t="s">
        <v>2538</v>
      </c>
      <c r="H194" s="1" t="s">
        <v>2539</v>
      </c>
      <c r="I194" s="1">
        <v>7.0</v>
      </c>
      <c r="K194" s="4" t="s">
        <v>9332</v>
      </c>
    </row>
    <row r="195" ht="15.75" customHeight="1">
      <c r="A195" s="1" t="s">
        <v>2540</v>
      </c>
      <c r="B195" s="1" t="s">
        <v>2541</v>
      </c>
      <c r="C195" s="1" t="s">
        <v>106</v>
      </c>
      <c r="D195" s="1">
        <v>2021.0</v>
      </c>
      <c r="E195" s="1" t="s">
        <v>1974</v>
      </c>
      <c r="F195" s="1" t="s">
        <v>2101</v>
      </c>
      <c r="G195" s="1" t="s">
        <v>2542</v>
      </c>
      <c r="H195" s="1" t="s">
        <v>2543</v>
      </c>
      <c r="I195" s="1">
        <v>12.0</v>
      </c>
      <c r="K195" s="4" t="s">
        <v>9332</v>
      </c>
    </row>
    <row r="196" ht="15.75" customHeight="1">
      <c r="A196" s="1" t="s">
        <v>275</v>
      </c>
      <c r="B196" s="1" t="s">
        <v>2551</v>
      </c>
      <c r="C196" s="1" t="s">
        <v>2552</v>
      </c>
      <c r="D196" s="1">
        <v>2023.0</v>
      </c>
      <c r="E196" s="1" t="s">
        <v>1974</v>
      </c>
      <c r="F196" s="1" t="s">
        <v>1975</v>
      </c>
      <c r="G196" s="1" t="s">
        <v>278</v>
      </c>
      <c r="H196" s="1" t="s">
        <v>2553</v>
      </c>
      <c r="I196" s="1" t="s">
        <v>3403</v>
      </c>
      <c r="K196" s="4" t="s">
        <v>9332</v>
      </c>
    </row>
    <row r="197" ht="15.75" customHeight="1">
      <c r="A197" s="1" t="s">
        <v>2556</v>
      </c>
      <c r="B197" s="1" t="s">
        <v>2557</v>
      </c>
      <c r="C197" s="1" t="s">
        <v>2558</v>
      </c>
      <c r="D197" s="1">
        <v>2015.0</v>
      </c>
      <c r="E197" s="1" t="s">
        <v>1974</v>
      </c>
      <c r="F197" s="1" t="s">
        <v>1975</v>
      </c>
      <c r="G197" s="1" t="s">
        <v>1098</v>
      </c>
      <c r="H197" s="1" t="s">
        <v>2559</v>
      </c>
      <c r="I197" s="1" t="s">
        <v>3403</v>
      </c>
      <c r="K197" s="4" t="s">
        <v>9332</v>
      </c>
    </row>
    <row r="198" ht="15.75" customHeight="1">
      <c r="A198" s="1" t="s">
        <v>2560</v>
      </c>
      <c r="B198" s="1" t="s">
        <v>2561</v>
      </c>
      <c r="C198" s="1" t="s">
        <v>2562</v>
      </c>
      <c r="D198" s="1">
        <v>2016.0</v>
      </c>
      <c r="E198" s="1" t="s">
        <v>1974</v>
      </c>
      <c r="F198" s="1" t="s">
        <v>1975</v>
      </c>
      <c r="H198" s="1" t="s">
        <v>2563</v>
      </c>
      <c r="I198" s="1" t="s">
        <v>3403</v>
      </c>
      <c r="K198" s="4" t="s">
        <v>9332</v>
      </c>
    </row>
    <row r="199" ht="15.75" customHeight="1">
      <c r="A199" s="1" t="s">
        <v>566</v>
      </c>
      <c r="B199" s="1" t="s">
        <v>2564</v>
      </c>
      <c r="C199" s="1" t="s">
        <v>2565</v>
      </c>
      <c r="D199" s="1">
        <v>2020.0</v>
      </c>
      <c r="E199" s="1" t="s">
        <v>1974</v>
      </c>
      <c r="F199" s="1" t="s">
        <v>1975</v>
      </c>
      <c r="G199" s="1" t="s">
        <v>569</v>
      </c>
      <c r="H199" s="1" t="s">
        <v>2566</v>
      </c>
      <c r="I199" s="1">
        <v>9.0</v>
      </c>
      <c r="K199" s="4" t="s">
        <v>9332</v>
      </c>
    </row>
    <row r="200" ht="15.75" customHeight="1">
      <c r="A200" s="1" t="s">
        <v>970</v>
      </c>
      <c r="B200" s="1" t="s">
        <v>2567</v>
      </c>
      <c r="C200" s="1" t="s">
        <v>2568</v>
      </c>
      <c r="D200" s="1">
        <v>2016.0</v>
      </c>
      <c r="E200" s="1" t="s">
        <v>1974</v>
      </c>
      <c r="F200" s="1" t="s">
        <v>1975</v>
      </c>
      <c r="G200" s="1" t="s">
        <v>973</v>
      </c>
      <c r="H200" s="1" t="s">
        <v>2569</v>
      </c>
      <c r="I200" s="1">
        <v>62.0</v>
      </c>
      <c r="K200" s="4" t="s">
        <v>9332</v>
      </c>
    </row>
    <row r="201" ht="15.75" customHeight="1">
      <c r="A201" s="1" t="s">
        <v>2570</v>
      </c>
      <c r="B201" s="1" t="s">
        <v>2571</v>
      </c>
      <c r="C201" s="1" t="s">
        <v>2572</v>
      </c>
      <c r="D201" s="1">
        <v>2016.0</v>
      </c>
      <c r="E201" s="1" t="s">
        <v>1974</v>
      </c>
      <c r="F201" s="1" t="s">
        <v>1975</v>
      </c>
      <c r="G201" s="1" t="s">
        <v>2573</v>
      </c>
      <c r="H201" s="1" t="s">
        <v>2574</v>
      </c>
      <c r="I201" s="1" t="s">
        <v>3403</v>
      </c>
      <c r="K201" s="4" t="s">
        <v>9332</v>
      </c>
    </row>
    <row r="202" ht="15.75" customHeight="1">
      <c r="A202" s="1" t="s">
        <v>434</v>
      </c>
      <c r="B202" s="1" t="s">
        <v>2579</v>
      </c>
      <c r="C202" s="1" t="s">
        <v>436</v>
      </c>
      <c r="D202" s="1">
        <v>2022.0</v>
      </c>
      <c r="E202" s="1" t="s">
        <v>1974</v>
      </c>
      <c r="F202" s="1" t="s">
        <v>2101</v>
      </c>
      <c r="G202" s="1" t="s">
        <v>437</v>
      </c>
      <c r="H202" s="1" t="s">
        <v>2580</v>
      </c>
      <c r="I202" s="1">
        <v>7.0</v>
      </c>
      <c r="K202" s="4" t="s">
        <v>9332</v>
      </c>
    </row>
    <row r="203" ht="15.75" customHeight="1">
      <c r="A203" s="1" t="s">
        <v>2581</v>
      </c>
      <c r="B203" s="1" t="s">
        <v>2582</v>
      </c>
      <c r="C203" s="1" t="s">
        <v>2583</v>
      </c>
      <c r="D203" s="1">
        <v>2008.0</v>
      </c>
      <c r="E203" s="1" t="s">
        <v>1974</v>
      </c>
      <c r="F203" s="1" t="s">
        <v>1975</v>
      </c>
      <c r="G203" s="1" t="s">
        <v>2584</v>
      </c>
      <c r="H203" s="1" t="s">
        <v>2585</v>
      </c>
      <c r="I203" s="1" t="s">
        <v>3403</v>
      </c>
      <c r="K203" s="4" t="s">
        <v>9332</v>
      </c>
    </row>
    <row r="204" ht="15.75" customHeight="1">
      <c r="A204" s="1" t="s">
        <v>2586</v>
      </c>
      <c r="B204" s="1" t="s">
        <v>2587</v>
      </c>
      <c r="C204" s="1" t="s">
        <v>2588</v>
      </c>
      <c r="D204" s="1">
        <v>2006.0</v>
      </c>
      <c r="E204" s="1" t="s">
        <v>1974</v>
      </c>
      <c r="F204" s="1" t="s">
        <v>1975</v>
      </c>
      <c r="G204" s="1" t="s">
        <v>2589</v>
      </c>
      <c r="H204" s="1" t="s">
        <v>2590</v>
      </c>
      <c r="I204" s="1">
        <v>5.0</v>
      </c>
      <c r="K204" s="4" t="s">
        <v>9332</v>
      </c>
    </row>
    <row r="205" ht="15.75" customHeight="1">
      <c r="A205" s="1" t="s">
        <v>2591</v>
      </c>
      <c r="B205" s="1" t="s">
        <v>2592</v>
      </c>
      <c r="C205" s="1" t="s">
        <v>2593</v>
      </c>
      <c r="D205" s="1">
        <v>1998.0</v>
      </c>
      <c r="E205" s="1" t="s">
        <v>1974</v>
      </c>
      <c r="F205" s="1" t="s">
        <v>1975</v>
      </c>
      <c r="G205" s="1" t="s">
        <v>2594</v>
      </c>
      <c r="H205" s="1" t="s">
        <v>2595</v>
      </c>
      <c r="I205" s="1">
        <v>1.0</v>
      </c>
      <c r="K205" s="4" t="s">
        <v>9332</v>
      </c>
    </row>
    <row r="206" ht="15.75" customHeight="1">
      <c r="A206" s="1" t="s">
        <v>2596</v>
      </c>
      <c r="B206" s="1" t="s">
        <v>2597</v>
      </c>
      <c r="C206" s="1" t="s">
        <v>2598</v>
      </c>
      <c r="D206" s="1">
        <v>2015.0</v>
      </c>
      <c r="E206" s="1" t="s">
        <v>1974</v>
      </c>
      <c r="F206" s="1" t="s">
        <v>1975</v>
      </c>
      <c r="G206" s="1" t="s">
        <v>2599</v>
      </c>
      <c r="H206" s="1" t="s">
        <v>2600</v>
      </c>
      <c r="I206" s="1">
        <v>5.0</v>
      </c>
      <c r="K206" s="4" t="s">
        <v>9332</v>
      </c>
    </row>
    <row r="207" ht="15.75" customHeight="1">
      <c r="A207" s="1" t="s">
        <v>2601</v>
      </c>
      <c r="B207" s="1" t="s">
        <v>2602</v>
      </c>
      <c r="C207" s="1" t="s">
        <v>2603</v>
      </c>
      <c r="D207" s="1">
        <v>2014.0</v>
      </c>
      <c r="E207" s="1" t="s">
        <v>1974</v>
      </c>
      <c r="F207" s="1" t="s">
        <v>1975</v>
      </c>
      <c r="G207" s="1" t="s">
        <v>2604</v>
      </c>
      <c r="H207" s="1" t="s">
        <v>2605</v>
      </c>
      <c r="I207" s="1">
        <v>3.0</v>
      </c>
      <c r="K207" s="4" t="s">
        <v>9332</v>
      </c>
    </row>
    <row r="208" ht="15.75" customHeight="1">
      <c r="A208" s="1" t="s">
        <v>2606</v>
      </c>
      <c r="B208" s="1" t="s">
        <v>2607</v>
      </c>
      <c r="C208" s="1" t="s">
        <v>2608</v>
      </c>
      <c r="D208" s="1">
        <v>2009.0</v>
      </c>
      <c r="E208" s="1" t="s">
        <v>1974</v>
      </c>
      <c r="F208" s="1" t="s">
        <v>1975</v>
      </c>
      <c r="G208" s="1" t="s">
        <v>2609</v>
      </c>
      <c r="H208" s="1" t="s">
        <v>2610</v>
      </c>
      <c r="I208" s="1">
        <v>1.0</v>
      </c>
      <c r="K208" s="4" t="s">
        <v>9332</v>
      </c>
    </row>
    <row r="209" ht="15.75" customHeight="1">
      <c r="A209" s="1" t="s">
        <v>2611</v>
      </c>
      <c r="B209" s="1" t="s">
        <v>2612</v>
      </c>
      <c r="C209" s="1" t="s">
        <v>2613</v>
      </c>
      <c r="D209" s="1">
        <v>2011.0</v>
      </c>
      <c r="E209" s="1" t="s">
        <v>1974</v>
      </c>
      <c r="F209" s="1" t="s">
        <v>1975</v>
      </c>
      <c r="G209" s="1" t="s">
        <v>2614</v>
      </c>
      <c r="H209" s="1" t="s">
        <v>2615</v>
      </c>
      <c r="I209" s="1">
        <v>1.0</v>
      </c>
      <c r="K209" s="4" t="s">
        <v>9332</v>
      </c>
    </row>
    <row r="210" ht="15.75" customHeight="1">
      <c r="A210" s="1" t="s">
        <v>2616</v>
      </c>
      <c r="B210" s="1" t="s">
        <v>2617</v>
      </c>
      <c r="C210" s="1" t="s">
        <v>2618</v>
      </c>
      <c r="D210" s="1">
        <v>2011.0</v>
      </c>
      <c r="E210" s="1" t="s">
        <v>1974</v>
      </c>
      <c r="F210" s="1" t="s">
        <v>1975</v>
      </c>
      <c r="G210" s="1" t="s">
        <v>2619</v>
      </c>
      <c r="H210" s="1" t="s">
        <v>2620</v>
      </c>
      <c r="I210" s="1">
        <v>34.0</v>
      </c>
      <c r="K210" s="4" t="s">
        <v>9332</v>
      </c>
    </row>
    <row r="211" ht="15.75" customHeight="1">
      <c r="A211" s="1" t="s">
        <v>2621</v>
      </c>
      <c r="B211" s="1" t="s">
        <v>2622</v>
      </c>
      <c r="C211" s="1" t="s">
        <v>53</v>
      </c>
      <c r="D211" s="1">
        <v>2021.0</v>
      </c>
      <c r="E211" s="1" t="s">
        <v>1974</v>
      </c>
      <c r="F211" s="1" t="s">
        <v>2101</v>
      </c>
      <c r="G211" s="1" t="s">
        <v>54</v>
      </c>
      <c r="H211" s="1" t="s">
        <v>2623</v>
      </c>
      <c r="I211" s="1" t="s">
        <v>3403</v>
      </c>
      <c r="K211" s="4" t="s">
        <v>9332</v>
      </c>
    </row>
    <row r="212" ht="15.75" customHeight="1">
      <c r="A212" s="1" t="s">
        <v>2624</v>
      </c>
      <c r="B212" s="1" t="s">
        <v>2625</v>
      </c>
      <c r="C212" s="1" t="s">
        <v>2626</v>
      </c>
      <c r="D212" s="1">
        <v>2022.0</v>
      </c>
      <c r="E212" s="1" t="s">
        <v>1974</v>
      </c>
      <c r="F212" s="1" t="s">
        <v>1975</v>
      </c>
      <c r="G212" s="1" t="s">
        <v>2627</v>
      </c>
      <c r="H212" s="1" t="s">
        <v>2628</v>
      </c>
      <c r="I212" s="1" t="s">
        <v>3403</v>
      </c>
      <c r="K212" s="4" t="s">
        <v>9332</v>
      </c>
    </row>
    <row r="213" ht="15.75" customHeight="1">
      <c r="A213" s="1" t="s">
        <v>741</v>
      </c>
      <c r="B213" s="1" t="s">
        <v>2629</v>
      </c>
      <c r="C213" s="1" t="s">
        <v>2630</v>
      </c>
      <c r="D213" s="1">
        <v>2020.0</v>
      </c>
      <c r="E213" s="1" t="s">
        <v>1974</v>
      </c>
      <c r="F213" s="1" t="s">
        <v>1975</v>
      </c>
      <c r="G213" s="1" t="s">
        <v>744</v>
      </c>
      <c r="H213" s="1" t="s">
        <v>2631</v>
      </c>
      <c r="I213" s="1" t="s">
        <v>3403</v>
      </c>
      <c r="K213" s="4" t="s">
        <v>9332</v>
      </c>
    </row>
    <row r="214" ht="15.75" customHeight="1">
      <c r="A214" s="1" t="s">
        <v>2632</v>
      </c>
      <c r="B214" s="1" t="s">
        <v>2633</v>
      </c>
      <c r="C214" s="1" t="s">
        <v>101</v>
      </c>
      <c r="D214" s="1">
        <v>2023.0</v>
      </c>
      <c r="E214" s="1" t="s">
        <v>1974</v>
      </c>
      <c r="F214" s="1" t="s">
        <v>2101</v>
      </c>
      <c r="G214" s="1" t="s">
        <v>102</v>
      </c>
      <c r="H214" s="1" t="s">
        <v>2634</v>
      </c>
      <c r="I214" s="1">
        <v>2.0</v>
      </c>
      <c r="K214" s="4" t="s">
        <v>9332</v>
      </c>
    </row>
    <row r="215" ht="15.75" customHeight="1">
      <c r="A215" s="1" t="s">
        <v>2635</v>
      </c>
      <c r="B215" s="1" t="s">
        <v>2636</v>
      </c>
      <c r="C215" s="1" t="s">
        <v>2637</v>
      </c>
      <c r="D215" s="1">
        <v>2014.0</v>
      </c>
      <c r="E215" s="1" t="s">
        <v>1974</v>
      </c>
      <c r="F215" s="1" t="s">
        <v>1975</v>
      </c>
      <c r="G215" s="1" t="s">
        <v>2638</v>
      </c>
      <c r="H215" s="1" t="s">
        <v>2639</v>
      </c>
      <c r="I215" s="1">
        <v>1.0</v>
      </c>
      <c r="K215" s="4" t="s">
        <v>9332</v>
      </c>
    </row>
    <row r="216" ht="15.75" customHeight="1">
      <c r="A216" s="1" t="s">
        <v>2640</v>
      </c>
      <c r="B216" s="1" t="s">
        <v>2641</v>
      </c>
      <c r="C216" s="1" t="s">
        <v>129</v>
      </c>
      <c r="D216" s="1">
        <v>2020.0</v>
      </c>
      <c r="E216" s="1" t="s">
        <v>1974</v>
      </c>
      <c r="F216" s="1" t="s">
        <v>2101</v>
      </c>
      <c r="G216" s="1" t="s">
        <v>2642</v>
      </c>
      <c r="H216" s="1" t="s">
        <v>2643</v>
      </c>
      <c r="I216" s="1">
        <v>54.0</v>
      </c>
      <c r="K216" s="4" t="s">
        <v>9332</v>
      </c>
    </row>
    <row r="217" ht="15.75" customHeight="1">
      <c r="A217" s="1" t="s">
        <v>2644</v>
      </c>
      <c r="B217" s="1" t="s">
        <v>2645</v>
      </c>
      <c r="C217" s="1" t="s">
        <v>2646</v>
      </c>
      <c r="D217" s="1">
        <v>2003.0</v>
      </c>
      <c r="E217" s="1" t="s">
        <v>1974</v>
      </c>
      <c r="F217" s="1" t="s">
        <v>1975</v>
      </c>
      <c r="G217" s="1" t="s">
        <v>2647</v>
      </c>
      <c r="H217" s="1" t="s">
        <v>2648</v>
      </c>
      <c r="I217" s="1">
        <v>25.0</v>
      </c>
      <c r="K217" s="4" t="s">
        <v>9332</v>
      </c>
    </row>
    <row r="218" ht="15.75" customHeight="1">
      <c r="A218" s="1" t="s">
        <v>2649</v>
      </c>
      <c r="B218" s="1" t="s">
        <v>2650</v>
      </c>
      <c r="C218" s="1" t="s">
        <v>2651</v>
      </c>
      <c r="D218" s="1">
        <v>2000.0</v>
      </c>
      <c r="E218" s="1" t="s">
        <v>1974</v>
      </c>
      <c r="F218" s="1" t="s">
        <v>1975</v>
      </c>
      <c r="G218" s="1" t="s">
        <v>2652</v>
      </c>
      <c r="H218" s="1" t="s">
        <v>2653</v>
      </c>
      <c r="I218" s="1">
        <v>16.0</v>
      </c>
      <c r="K218" s="4" t="s">
        <v>9332</v>
      </c>
    </row>
    <row r="219" ht="15.75" customHeight="1">
      <c r="A219" s="1" t="s">
        <v>2654</v>
      </c>
      <c r="B219" s="1" t="s">
        <v>2655</v>
      </c>
      <c r="C219" s="1" t="s">
        <v>2656</v>
      </c>
      <c r="D219" s="1">
        <v>2018.0</v>
      </c>
      <c r="E219" s="1" t="s">
        <v>1974</v>
      </c>
      <c r="F219" s="1" t="s">
        <v>1975</v>
      </c>
      <c r="G219" s="1" t="s">
        <v>2657</v>
      </c>
      <c r="H219" s="1" t="s">
        <v>2658</v>
      </c>
      <c r="I219" s="1">
        <v>7.0</v>
      </c>
      <c r="K219" s="4" t="s">
        <v>9332</v>
      </c>
    </row>
    <row r="220" ht="15.75" customHeight="1">
      <c r="A220" s="1" t="s">
        <v>2659</v>
      </c>
      <c r="B220" s="1" t="s">
        <v>2660</v>
      </c>
      <c r="C220" s="1" t="s">
        <v>2661</v>
      </c>
      <c r="D220" s="1">
        <v>2000.0</v>
      </c>
      <c r="E220" s="1" t="s">
        <v>1974</v>
      </c>
      <c r="F220" s="1" t="s">
        <v>1975</v>
      </c>
      <c r="G220" s="1" t="s">
        <v>2662</v>
      </c>
      <c r="H220" s="1" t="s">
        <v>2663</v>
      </c>
      <c r="I220" s="1">
        <v>3.0</v>
      </c>
      <c r="K220" s="4" t="s">
        <v>9332</v>
      </c>
    </row>
    <row r="221" ht="15.75" customHeight="1">
      <c r="A221" s="1" t="s">
        <v>2664</v>
      </c>
      <c r="B221" s="1" t="s">
        <v>2665</v>
      </c>
      <c r="C221" s="1" t="s">
        <v>2666</v>
      </c>
      <c r="D221" s="1">
        <v>2018.0</v>
      </c>
      <c r="E221" s="1" t="s">
        <v>1974</v>
      </c>
      <c r="F221" s="1" t="s">
        <v>1975</v>
      </c>
      <c r="G221" s="1" t="s">
        <v>2667</v>
      </c>
      <c r="H221" s="1" t="s">
        <v>2668</v>
      </c>
      <c r="I221" s="1">
        <v>4.0</v>
      </c>
      <c r="K221" s="4" t="s">
        <v>9332</v>
      </c>
    </row>
    <row r="222" ht="15.75" customHeight="1">
      <c r="A222" s="1" t="s">
        <v>2669</v>
      </c>
      <c r="B222" s="1" t="s">
        <v>2670</v>
      </c>
      <c r="C222" s="1" t="s">
        <v>2671</v>
      </c>
      <c r="D222" s="1">
        <v>2023.0</v>
      </c>
      <c r="E222" s="1" t="s">
        <v>1974</v>
      </c>
      <c r="F222" s="1" t="s">
        <v>2101</v>
      </c>
      <c r="G222" s="1" t="s">
        <v>2672</v>
      </c>
      <c r="H222" s="1" t="s">
        <v>2673</v>
      </c>
      <c r="I222" s="1">
        <v>8.0</v>
      </c>
      <c r="K222" s="4" t="s">
        <v>9332</v>
      </c>
    </row>
    <row r="223" ht="15.75" customHeight="1">
      <c r="A223" s="1" t="s">
        <v>548</v>
      </c>
      <c r="B223" s="1" t="s">
        <v>2674</v>
      </c>
      <c r="C223" s="1" t="s">
        <v>2675</v>
      </c>
      <c r="D223" s="1">
        <v>2018.0</v>
      </c>
      <c r="E223" s="1" t="s">
        <v>1974</v>
      </c>
      <c r="F223" s="1" t="s">
        <v>1975</v>
      </c>
      <c r="G223" s="1" t="s">
        <v>551</v>
      </c>
      <c r="H223" s="1" t="s">
        <v>2676</v>
      </c>
      <c r="I223" s="1" t="s">
        <v>3403</v>
      </c>
      <c r="K223" s="4" t="s">
        <v>9332</v>
      </c>
    </row>
    <row r="224" ht="15.75" customHeight="1">
      <c r="A224" s="1" t="s">
        <v>2677</v>
      </c>
      <c r="B224" s="1" t="s">
        <v>2678</v>
      </c>
      <c r="C224" s="1" t="s">
        <v>2679</v>
      </c>
      <c r="D224" s="1">
        <v>2019.0</v>
      </c>
      <c r="E224" s="1" t="s">
        <v>1974</v>
      </c>
      <c r="F224" s="1" t="s">
        <v>1975</v>
      </c>
      <c r="G224" s="1" t="s">
        <v>2680</v>
      </c>
      <c r="H224" s="1" t="s">
        <v>2681</v>
      </c>
      <c r="I224" s="1">
        <v>16.0</v>
      </c>
      <c r="K224" s="4" t="s">
        <v>9332</v>
      </c>
    </row>
    <row r="225" ht="15.75" customHeight="1">
      <c r="A225" s="1" t="s">
        <v>2682</v>
      </c>
      <c r="B225" s="1" t="s">
        <v>2683</v>
      </c>
      <c r="C225" s="1" t="s">
        <v>2684</v>
      </c>
      <c r="D225" s="1">
        <v>2020.0</v>
      </c>
      <c r="E225" s="1" t="s">
        <v>1974</v>
      </c>
      <c r="F225" s="1" t="s">
        <v>1975</v>
      </c>
      <c r="G225" s="1" t="s">
        <v>2685</v>
      </c>
      <c r="H225" s="1" t="s">
        <v>2686</v>
      </c>
      <c r="I225" s="1">
        <v>1.0</v>
      </c>
      <c r="K225" s="4" t="s">
        <v>9332</v>
      </c>
    </row>
    <row r="226" ht="15.75" customHeight="1">
      <c r="A226" s="1" t="s">
        <v>2687</v>
      </c>
      <c r="B226" s="1" t="s">
        <v>2688</v>
      </c>
      <c r="C226" s="1" t="s">
        <v>2689</v>
      </c>
      <c r="D226" s="1">
        <v>2022.0</v>
      </c>
      <c r="E226" s="1" t="s">
        <v>1974</v>
      </c>
      <c r="F226" s="1" t="s">
        <v>1975</v>
      </c>
      <c r="G226" s="1" t="s">
        <v>2690</v>
      </c>
      <c r="H226" s="1" t="s">
        <v>2691</v>
      </c>
      <c r="I226" s="1">
        <v>1.0</v>
      </c>
      <c r="K226" s="4" t="s">
        <v>9332</v>
      </c>
    </row>
    <row r="227" ht="15.75" customHeight="1">
      <c r="A227" s="1" t="s">
        <v>2692</v>
      </c>
      <c r="B227" s="1" t="s">
        <v>2693</v>
      </c>
      <c r="C227" s="1" t="s">
        <v>1382</v>
      </c>
      <c r="D227" s="1">
        <v>2016.0</v>
      </c>
      <c r="E227" s="1" t="s">
        <v>1974</v>
      </c>
      <c r="F227" s="1" t="s">
        <v>2101</v>
      </c>
      <c r="G227" s="1" t="s">
        <v>1383</v>
      </c>
      <c r="H227" s="1" t="s">
        <v>2694</v>
      </c>
      <c r="I227" s="1">
        <v>23.0</v>
      </c>
      <c r="K227" s="4" t="s">
        <v>9332</v>
      </c>
    </row>
    <row r="228" ht="15.75" customHeight="1">
      <c r="A228" s="1" t="s">
        <v>2695</v>
      </c>
      <c r="B228" s="1" t="s">
        <v>2696</v>
      </c>
      <c r="C228" s="1" t="s">
        <v>2697</v>
      </c>
      <c r="D228" s="1">
        <v>2023.0</v>
      </c>
      <c r="E228" s="1" t="s">
        <v>1974</v>
      </c>
      <c r="F228" s="1" t="s">
        <v>1975</v>
      </c>
      <c r="G228" s="1" t="s">
        <v>2698</v>
      </c>
      <c r="H228" s="1" t="s">
        <v>2699</v>
      </c>
      <c r="I228" s="1" t="s">
        <v>3403</v>
      </c>
      <c r="K228" s="4" t="s">
        <v>9332</v>
      </c>
    </row>
    <row r="229" ht="15.75" customHeight="1">
      <c r="A229" s="1" t="s">
        <v>2700</v>
      </c>
      <c r="B229" s="1" t="s">
        <v>2701</v>
      </c>
      <c r="C229" s="1" t="s">
        <v>2702</v>
      </c>
      <c r="D229" s="1">
        <v>1997.0</v>
      </c>
      <c r="E229" s="1" t="s">
        <v>1974</v>
      </c>
      <c r="F229" s="1" t="s">
        <v>1975</v>
      </c>
      <c r="G229" s="1" t="s">
        <v>2703</v>
      </c>
      <c r="H229" s="1" t="s">
        <v>2704</v>
      </c>
      <c r="I229" s="1">
        <v>1.0</v>
      </c>
      <c r="K229" s="4" t="s">
        <v>9332</v>
      </c>
    </row>
    <row r="230" ht="15.75" customHeight="1">
      <c r="A230" s="1" t="s">
        <v>2705</v>
      </c>
      <c r="B230" s="1" t="s">
        <v>2641</v>
      </c>
      <c r="C230" s="1" t="s">
        <v>2706</v>
      </c>
      <c r="D230" s="1">
        <v>2019.0</v>
      </c>
      <c r="E230" s="1" t="s">
        <v>1974</v>
      </c>
      <c r="F230" s="1" t="s">
        <v>1975</v>
      </c>
      <c r="G230" s="1" t="s">
        <v>2707</v>
      </c>
      <c r="H230" s="1" t="s">
        <v>2708</v>
      </c>
      <c r="I230" s="1">
        <v>7.0</v>
      </c>
      <c r="K230" s="4" t="s">
        <v>9332</v>
      </c>
    </row>
    <row r="231" ht="15.75" customHeight="1">
      <c r="A231" s="1" t="s">
        <v>2709</v>
      </c>
      <c r="B231" s="1" t="s">
        <v>2710</v>
      </c>
      <c r="C231" s="1" t="s">
        <v>129</v>
      </c>
      <c r="D231" s="1">
        <v>2022.0</v>
      </c>
      <c r="E231" s="1" t="s">
        <v>1974</v>
      </c>
      <c r="F231" s="1" t="s">
        <v>2101</v>
      </c>
      <c r="G231" s="1" t="s">
        <v>2711</v>
      </c>
      <c r="H231" s="1" t="s">
        <v>2712</v>
      </c>
      <c r="I231" s="1">
        <v>7.0</v>
      </c>
      <c r="K231" s="4" t="s">
        <v>9332</v>
      </c>
    </row>
    <row r="232" ht="15.75" customHeight="1">
      <c r="A232" s="1" t="s">
        <v>2713</v>
      </c>
      <c r="B232" s="1" t="s">
        <v>2714</v>
      </c>
      <c r="C232" s="1" t="s">
        <v>2715</v>
      </c>
      <c r="D232" s="1">
        <v>2019.0</v>
      </c>
      <c r="E232" s="1" t="s">
        <v>1974</v>
      </c>
      <c r="F232" s="1" t="s">
        <v>1975</v>
      </c>
      <c r="G232" s="1" t="s">
        <v>2716</v>
      </c>
      <c r="H232" s="1" t="s">
        <v>2717</v>
      </c>
      <c r="I232" s="1">
        <v>3.0</v>
      </c>
      <c r="K232" s="4" t="s">
        <v>9332</v>
      </c>
    </row>
    <row r="233" ht="15.75" customHeight="1">
      <c r="A233" s="1" t="s">
        <v>2718</v>
      </c>
      <c r="B233" s="1" t="s">
        <v>2719</v>
      </c>
      <c r="C233" s="1" t="s">
        <v>2720</v>
      </c>
      <c r="D233" s="1">
        <v>2017.0</v>
      </c>
      <c r="E233" s="1" t="s">
        <v>1974</v>
      </c>
      <c r="F233" s="1" t="s">
        <v>1975</v>
      </c>
      <c r="G233" s="1" t="s">
        <v>2721</v>
      </c>
      <c r="H233" s="1" t="s">
        <v>2722</v>
      </c>
      <c r="I233" s="1">
        <v>14.0</v>
      </c>
      <c r="K233" s="4" t="s">
        <v>9332</v>
      </c>
    </row>
    <row r="234" ht="15.75" customHeight="1">
      <c r="A234" s="1" t="s">
        <v>2723</v>
      </c>
      <c r="B234" s="1" t="s">
        <v>2724</v>
      </c>
      <c r="C234" s="1" t="s">
        <v>2725</v>
      </c>
      <c r="D234" s="1">
        <v>2008.0</v>
      </c>
      <c r="E234" s="1" t="s">
        <v>1974</v>
      </c>
      <c r="F234" s="1" t="s">
        <v>1975</v>
      </c>
      <c r="G234" s="1" t="s">
        <v>2726</v>
      </c>
      <c r="H234" s="1" t="s">
        <v>2727</v>
      </c>
      <c r="I234" s="1">
        <v>30.0</v>
      </c>
      <c r="K234" s="4" t="s">
        <v>9332</v>
      </c>
    </row>
    <row r="235" ht="15.75" customHeight="1">
      <c r="A235" s="1" t="s">
        <v>2728</v>
      </c>
      <c r="B235" s="1" t="s">
        <v>2729</v>
      </c>
      <c r="C235" s="1" t="s">
        <v>2684</v>
      </c>
      <c r="D235" s="1">
        <v>2020.0</v>
      </c>
      <c r="E235" s="1" t="s">
        <v>1974</v>
      </c>
      <c r="F235" s="1" t="s">
        <v>1975</v>
      </c>
      <c r="G235" s="1" t="s">
        <v>2730</v>
      </c>
      <c r="H235" s="1" t="s">
        <v>2731</v>
      </c>
      <c r="I235" s="1">
        <v>1.0</v>
      </c>
      <c r="K235" s="4" t="s">
        <v>9332</v>
      </c>
    </row>
    <row r="236" ht="15.75" customHeight="1">
      <c r="A236" s="1" t="s">
        <v>2732</v>
      </c>
      <c r="B236" s="1" t="s">
        <v>2733</v>
      </c>
      <c r="C236" s="1" t="s">
        <v>2022</v>
      </c>
      <c r="D236" s="1">
        <v>2023.0</v>
      </c>
      <c r="E236" s="1" t="s">
        <v>1974</v>
      </c>
      <c r="F236" s="1" t="s">
        <v>1975</v>
      </c>
      <c r="G236" s="1" t="s">
        <v>2734</v>
      </c>
      <c r="H236" s="1" t="s">
        <v>2735</v>
      </c>
      <c r="I236" s="1" t="s">
        <v>3403</v>
      </c>
      <c r="K236" s="4" t="s">
        <v>9332</v>
      </c>
    </row>
    <row r="237" ht="15.75" customHeight="1">
      <c r="A237" s="1" t="s">
        <v>2740</v>
      </c>
      <c r="B237" s="1" t="s">
        <v>2741</v>
      </c>
      <c r="C237" s="1" t="s">
        <v>2742</v>
      </c>
      <c r="D237" s="1">
        <v>2024.0</v>
      </c>
      <c r="E237" s="1" t="s">
        <v>1974</v>
      </c>
      <c r="F237" s="1" t="s">
        <v>2101</v>
      </c>
      <c r="G237" s="1" t="s">
        <v>2743</v>
      </c>
      <c r="H237" s="1" t="s">
        <v>2744</v>
      </c>
      <c r="I237" s="1" t="s">
        <v>3403</v>
      </c>
      <c r="K237" s="4" t="s">
        <v>9332</v>
      </c>
    </row>
    <row r="238" ht="15.75" customHeight="1">
      <c r="A238" s="1" t="s">
        <v>2745</v>
      </c>
      <c r="B238" s="1" t="s">
        <v>2746</v>
      </c>
      <c r="C238" s="1" t="s">
        <v>2747</v>
      </c>
      <c r="D238" s="1">
        <v>1994.0</v>
      </c>
      <c r="E238" s="1" t="s">
        <v>1974</v>
      </c>
      <c r="F238" s="1" t="s">
        <v>1975</v>
      </c>
      <c r="G238" s="1" t="s">
        <v>2748</v>
      </c>
      <c r="H238" s="1" t="s">
        <v>2749</v>
      </c>
      <c r="I238" s="1" t="s">
        <v>3403</v>
      </c>
      <c r="K238" s="4" t="s">
        <v>9332</v>
      </c>
    </row>
    <row r="239" ht="15.75" customHeight="1">
      <c r="A239" s="1" t="s">
        <v>2750</v>
      </c>
      <c r="B239" s="1" t="s">
        <v>2751</v>
      </c>
      <c r="C239" s="1" t="s">
        <v>2752</v>
      </c>
      <c r="D239" s="1">
        <v>2021.0</v>
      </c>
      <c r="E239" s="1" t="s">
        <v>1974</v>
      </c>
      <c r="F239" s="1" t="s">
        <v>1975</v>
      </c>
      <c r="G239" s="1" t="s">
        <v>2753</v>
      </c>
      <c r="H239" s="1" t="s">
        <v>2754</v>
      </c>
      <c r="I239" s="1">
        <v>1.0</v>
      </c>
      <c r="K239" s="4" t="s">
        <v>9332</v>
      </c>
    </row>
    <row r="240" ht="15.75" customHeight="1">
      <c r="A240" s="1" t="s">
        <v>2755</v>
      </c>
      <c r="B240" s="1" t="s">
        <v>2756</v>
      </c>
      <c r="C240" s="1" t="s">
        <v>2757</v>
      </c>
      <c r="D240" s="1">
        <v>1994.0</v>
      </c>
      <c r="E240" s="1" t="s">
        <v>1974</v>
      </c>
      <c r="F240" s="1" t="s">
        <v>1975</v>
      </c>
      <c r="G240" s="1" t="s">
        <v>2758</v>
      </c>
      <c r="H240" s="1" t="s">
        <v>2759</v>
      </c>
      <c r="I240" s="1">
        <v>3.0</v>
      </c>
      <c r="K240" s="4" t="s">
        <v>9332</v>
      </c>
    </row>
    <row r="241" ht="15.75" customHeight="1">
      <c r="A241" s="1" t="s">
        <v>2760</v>
      </c>
      <c r="B241" s="1" t="s">
        <v>2761</v>
      </c>
      <c r="C241" s="1" t="s">
        <v>2762</v>
      </c>
      <c r="D241" s="1">
        <v>2018.0</v>
      </c>
      <c r="E241" s="1" t="s">
        <v>1974</v>
      </c>
      <c r="F241" s="1" t="s">
        <v>1975</v>
      </c>
      <c r="G241" s="1" t="s">
        <v>2763</v>
      </c>
      <c r="H241" s="1" t="s">
        <v>2764</v>
      </c>
      <c r="I241" s="1">
        <v>2.0</v>
      </c>
      <c r="K241" s="4" t="s">
        <v>9332</v>
      </c>
    </row>
    <row r="242" ht="15.75" customHeight="1">
      <c r="A242" s="1" t="s">
        <v>2765</v>
      </c>
      <c r="B242" s="1" t="s">
        <v>2766</v>
      </c>
      <c r="C242" s="1" t="s">
        <v>73</v>
      </c>
      <c r="D242" s="1">
        <v>2013.0</v>
      </c>
      <c r="E242" s="1" t="s">
        <v>1974</v>
      </c>
      <c r="F242" s="1" t="s">
        <v>2101</v>
      </c>
      <c r="G242" s="1" t="s">
        <v>2767</v>
      </c>
      <c r="H242" s="1" t="s">
        <v>2768</v>
      </c>
      <c r="I242" s="1">
        <v>6.0</v>
      </c>
      <c r="K242" s="4" t="s">
        <v>9332</v>
      </c>
    </row>
    <row r="243" ht="15.75" customHeight="1">
      <c r="A243" s="1" t="s">
        <v>2769</v>
      </c>
      <c r="B243" s="1" t="s">
        <v>2523</v>
      </c>
      <c r="C243" s="1" t="s">
        <v>2524</v>
      </c>
      <c r="D243" s="1">
        <v>2012.0</v>
      </c>
      <c r="E243" s="1" t="s">
        <v>1974</v>
      </c>
      <c r="F243" s="1" t="s">
        <v>1975</v>
      </c>
      <c r="H243" s="1" t="s">
        <v>2770</v>
      </c>
      <c r="I243" s="1" t="s">
        <v>3403</v>
      </c>
      <c r="K243" s="4" t="s">
        <v>9332</v>
      </c>
    </row>
    <row r="244" ht="15.75" customHeight="1">
      <c r="A244" s="1" t="s">
        <v>104</v>
      </c>
      <c r="B244" s="1" t="s">
        <v>2771</v>
      </c>
      <c r="C244" s="1" t="s">
        <v>106</v>
      </c>
      <c r="D244" s="1">
        <v>2024.0</v>
      </c>
      <c r="E244" s="1" t="s">
        <v>1974</v>
      </c>
      <c r="F244" s="1" t="s">
        <v>2101</v>
      </c>
      <c r="G244" s="1" t="s">
        <v>107</v>
      </c>
      <c r="H244" s="1" t="s">
        <v>2772</v>
      </c>
      <c r="I244" s="1" t="s">
        <v>3403</v>
      </c>
      <c r="K244" s="4" t="s">
        <v>9332</v>
      </c>
    </row>
    <row r="245" ht="15.75" customHeight="1">
      <c r="A245" s="1" t="s">
        <v>2773</v>
      </c>
      <c r="B245" s="1" t="s">
        <v>2774</v>
      </c>
      <c r="C245" s="1" t="s">
        <v>2775</v>
      </c>
      <c r="D245" s="1">
        <v>2023.0</v>
      </c>
      <c r="E245" s="1" t="s">
        <v>1974</v>
      </c>
      <c r="F245" s="1" t="s">
        <v>1975</v>
      </c>
      <c r="G245" s="1" t="s">
        <v>2776</v>
      </c>
      <c r="H245" s="1" t="s">
        <v>2777</v>
      </c>
      <c r="I245" s="1" t="s">
        <v>3403</v>
      </c>
      <c r="K245" s="4" t="s">
        <v>9332</v>
      </c>
    </row>
    <row r="246" ht="15.75" customHeight="1">
      <c r="A246" s="1" t="s">
        <v>2778</v>
      </c>
      <c r="B246" s="1" t="s">
        <v>2779</v>
      </c>
      <c r="C246" s="1" t="s">
        <v>2656</v>
      </c>
      <c r="D246" s="1">
        <v>2018.0</v>
      </c>
      <c r="E246" s="1" t="s">
        <v>1974</v>
      </c>
      <c r="F246" s="1" t="s">
        <v>1975</v>
      </c>
      <c r="G246" s="1" t="s">
        <v>2780</v>
      </c>
      <c r="H246" s="1" t="s">
        <v>2781</v>
      </c>
      <c r="I246" s="1">
        <v>13.0</v>
      </c>
      <c r="K246" s="4" t="s">
        <v>9332</v>
      </c>
    </row>
    <row r="247" ht="15.75" customHeight="1">
      <c r="A247" s="1" t="s">
        <v>2782</v>
      </c>
      <c r="B247" s="1" t="s">
        <v>2783</v>
      </c>
      <c r="C247" s="1" t="s">
        <v>2784</v>
      </c>
      <c r="D247" s="1">
        <v>2018.0</v>
      </c>
      <c r="E247" s="1" t="s">
        <v>1974</v>
      </c>
      <c r="F247" s="1" t="s">
        <v>1975</v>
      </c>
      <c r="G247" s="1" t="s">
        <v>2785</v>
      </c>
      <c r="H247" s="1" t="s">
        <v>2786</v>
      </c>
      <c r="I247" s="1">
        <v>9.0</v>
      </c>
      <c r="K247" s="4" t="s">
        <v>9332</v>
      </c>
    </row>
    <row r="248" ht="15.75" customHeight="1">
      <c r="A248" s="1" t="s">
        <v>553</v>
      </c>
      <c r="B248" s="1" t="s">
        <v>2787</v>
      </c>
      <c r="C248" s="1" t="s">
        <v>2666</v>
      </c>
      <c r="D248" s="1">
        <v>2018.0</v>
      </c>
      <c r="E248" s="1" t="s">
        <v>1974</v>
      </c>
      <c r="F248" s="1" t="s">
        <v>1975</v>
      </c>
      <c r="G248" s="1" t="s">
        <v>556</v>
      </c>
      <c r="H248" s="1" t="s">
        <v>2788</v>
      </c>
      <c r="I248" s="1">
        <v>3.0</v>
      </c>
      <c r="K248" s="4" t="s">
        <v>9332</v>
      </c>
    </row>
    <row r="249" ht="15.75" customHeight="1">
      <c r="A249" s="1" t="s">
        <v>2789</v>
      </c>
      <c r="B249" s="1" t="s">
        <v>2790</v>
      </c>
      <c r="C249" s="1" t="s">
        <v>2791</v>
      </c>
      <c r="D249" s="1">
        <v>1982.0</v>
      </c>
      <c r="E249" s="1" t="s">
        <v>1974</v>
      </c>
      <c r="F249" s="1" t="s">
        <v>1975</v>
      </c>
      <c r="G249" s="1" t="s">
        <v>2792</v>
      </c>
      <c r="H249" s="1" t="s">
        <v>2793</v>
      </c>
      <c r="I249" s="1">
        <v>4.0</v>
      </c>
      <c r="K249" s="4" t="s">
        <v>9332</v>
      </c>
    </row>
    <row r="250" ht="15.75" customHeight="1">
      <c r="A250" s="1" t="s">
        <v>2794</v>
      </c>
      <c r="B250" s="1" t="s">
        <v>2795</v>
      </c>
      <c r="C250" s="1" t="s">
        <v>2796</v>
      </c>
      <c r="D250" s="1">
        <v>2023.0</v>
      </c>
      <c r="E250" s="1" t="s">
        <v>1974</v>
      </c>
      <c r="F250" s="1" t="s">
        <v>1975</v>
      </c>
      <c r="G250" s="1" t="s">
        <v>2797</v>
      </c>
      <c r="H250" s="1" t="s">
        <v>2798</v>
      </c>
      <c r="I250" s="1" t="s">
        <v>3403</v>
      </c>
      <c r="K250" s="4" t="s">
        <v>9332</v>
      </c>
    </row>
    <row r="251" ht="15.75" customHeight="1">
      <c r="A251" s="1" t="s">
        <v>2799</v>
      </c>
      <c r="B251" s="1" t="s">
        <v>2800</v>
      </c>
      <c r="C251" s="1" t="s">
        <v>2801</v>
      </c>
      <c r="D251" s="1">
        <v>1995.0</v>
      </c>
      <c r="E251" s="1" t="s">
        <v>1974</v>
      </c>
      <c r="F251" s="1" t="s">
        <v>1975</v>
      </c>
      <c r="G251" s="1" t="s">
        <v>2802</v>
      </c>
      <c r="H251" s="1" t="s">
        <v>2803</v>
      </c>
      <c r="I251" s="1" t="s">
        <v>3403</v>
      </c>
      <c r="K251" s="4" t="s">
        <v>9332</v>
      </c>
    </row>
    <row r="252" ht="15.75" customHeight="1">
      <c r="A252" s="1" t="s">
        <v>2808</v>
      </c>
      <c r="B252" s="1" t="s">
        <v>2809</v>
      </c>
      <c r="C252" s="1" t="s">
        <v>2810</v>
      </c>
      <c r="D252" s="1">
        <v>2020.0</v>
      </c>
      <c r="E252" s="1" t="s">
        <v>1974</v>
      </c>
      <c r="F252" s="1" t="s">
        <v>1975</v>
      </c>
      <c r="G252" s="1" t="s">
        <v>2811</v>
      </c>
      <c r="H252" s="1" t="s">
        <v>2812</v>
      </c>
      <c r="I252" s="1">
        <v>8.0</v>
      </c>
      <c r="K252" s="4" t="s">
        <v>9332</v>
      </c>
    </row>
    <row r="253" ht="15.75" customHeight="1">
      <c r="A253" s="1" t="s">
        <v>2813</v>
      </c>
      <c r="B253" s="1" t="s">
        <v>2814</v>
      </c>
      <c r="C253" s="1" t="s">
        <v>2815</v>
      </c>
      <c r="D253" s="1">
        <v>1998.0</v>
      </c>
      <c r="E253" s="1" t="s">
        <v>1974</v>
      </c>
      <c r="F253" s="1" t="s">
        <v>1975</v>
      </c>
      <c r="G253" s="1" t="s">
        <v>2816</v>
      </c>
      <c r="H253" s="1" t="s">
        <v>2817</v>
      </c>
      <c r="I253" s="1">
        <v>8.0</v>
      </c>
      <c r="K253" s="4" t="s">
        <v>9332</v>
      </c>
    </row>
    <row r="254" ht="15.75" customHeight="1">
      <c r="A254" s="1" t="s">
        <v>1605</v>
      </c>
      <c r="B254" s="1" t="s">
        <v>2818</v>
      </c>
      <c r="C254" s="1" t="s">
        <v>2819</v>
      </c>
      <c r="D254" s="1">
        <v>2009.0</v>
      </c>
      <c r="E254" s="1" t="s">
        <v>1974</v>
      </c>
      <c r="F254" s="1" t="s">
        <v>1975</v>
      </c>
      <c r="G254" s="1" t="s">
        <v>1608</v>
      </c>
      <c r="H254" s="1" t="s">
        <v>2820</v>
      </c>
      <c r="I254" s="1" t="s">
        <v>3403</v>
      </c>
      <c r="K254" s="4" t="s">
        <v>9332</v>
      </c>
    </row>
    <row r="255" ht="15.75" customHeight="1">
      <c r="A255" s="1" t="s">
        <v>2821</v>
      </c>
      <c r="B255" s="1" t="s">
        <v>2822</v>
      </c>
      <c r="C255" s="1" t="s">
        <v>2823</v>
      </c>
      <c r="D255" s="1">
        <v>2024.0</v>
      </c>
      <c r="E255" s="1" t="s">
        <v>1974</v>
      </c>
      <c r="F255" s="1" t="s">
        <v>2287</v>
      </c>
      <c r="G255" s="1" t="s">
        <v>2824</v>
      </c>
      <c r="H255" s="1" t="s">
        <v>2825</v>
      </c>
      <c r="I255" s="1" t="s">
        <v>3403</v>
      </c>
      <c r="K255" s="4" t="s">
        <v>9332</v>
      </c>
    </row>
    <row r="256" ht="15.75" customHeight="1">
      <c r="A256" s="1" t="s">
        <v>2826</v>
      </c>
      <c r="B256" s="1" t="s">
        <v>2827</v>
      </c>
      <c r="C256" s="1" t="s">
        <v>2828</v>
      </c>
      <c r="D256" s="1">
        <v>2006.0</v>
      </c>
      <c r="E256" s="1" t="s">
        <v>1974</v>
      </c>
      <c r="F256" s="1" t="s">
        <v>1975</v>
      </c>
      <c r="G256" s="1" t="s">
        <v>1670</v>
      </c>
      <c r="H256" s="1" t="s">
        <v>2829</v>
      </c>
      <c r="I256" s="1">
        <v>8.0</v>
      </c>
      <c r="K256" s="4" t="s">
        <v>9332</v>
      </c>
    </row>
    <row r="257" ht="15.75" customHeight="1">
      <c r="A257" s="1" t="s">
        <v>2830</v>
      </c>
      <c r="B257" s="1" t="s">
        <v>2831</v>
      </c>
      <c r="C257" s="1" t="s">
        <v>2832</v>
      </c>
      <c r="D257" s="1">
        <v>1991.0</v>
      </c>
      <c r="E257" s="1" t="s">
        <v>1974</v>
      </c>
      <c r="F257" s="1" t="s">
        <v>1975</v>
      </c>
      <c r="G257" s="1" t="s">
        <v>2833</v>
      </c>
      <c r="H257" s="1" t="s">
        <v>2834</v>
      </c>
      <c r="I257" s="1" t="s">
        <v>3403</v>
      </c>
      <c r="K257" s="4" t="s">
        <v>9332</v>
      </c>
    </row>
    <row r="258" ht="15.75" customHeight="1">
      <c r="A258" s="1" t="s">
        <v>2835</v>
      </c>
      <c r="B258" s="1" t="s">
        <v>2836</v>
      </c>
      <c r="C258" s="1" t="s">
        <v>2837</v>
      </c>
      <c r="D258" s="1">
        <v>2023.0</v>
      </c>
      <c r="E258" s="1" t="s">
        <v>1974</v>
      </c>
      <c r="F258" s="1" t="s">
        <v>1975</v>
      </c>
      <c r="G258" s="1" t="s">
        <v>2838</v>
      </c>
      <c r="H258" s="1" t="s">
        <v>2839</v>
      </c>
      <c r="I258" s="1" t="s">
        <v>3403</v>
      </c>
      <c r="K258" s="4" t="s">
        <v>9332</v>
      </c>
    </row>
    <row r="259" ht="15.75" customHeight="1">
      <c r="A259" s="1" t="s">
        <v>2840</v>
      </c>
      <c r="B259" s="1" t="s">
        <v>2841</v>
      </c>
      <c r="C259" s="1" t="s">
        <v>2842</v>
      </c>
      <c r="D259" s="1">
        <v>2000.0</v>
      </c>
      <c r="E259" s="1" t="s">
        <v>1974</v>
      </c>
      <c r="F259" s="1" t="s">
        <v>1975</v>
      </c>
      <c r="G259" s="1" t="s">
        <v>2843</v>
      </c>
      <c r="H259" s="1" t="s">
        <v>2844</v>
      </c>
      <c r="I259" s="1">
        <v>8.0</v>
      </c>
      <c r="K259" s="4" t="s">
        <v>9332</v>
      </c>
    </row>
    <row r="260" ht="15.75" customHeight="1">
      <c r="A260" s="1" t="s">
        <v>2845</v>
      </c>
      <c r="B260" s="1" t="s">
        <v>2846</v>
      </c>
      <c r="C260" s="1" t="s">
        <v>2847</v>
      </c>
      <c r="D260" s="1">
        <v>2022.0</v>
      </c>
      <c r="E260" s="1" t="s">
        <v>1974</v>
      </c>
      <c r="F260" s="1" t="s">
        <v>1975</v>
      </c>
      <c r="G260" s="1" t="s">
        <v>2848</v>
      </c>
      <c r="H260" s="1" t="s">
        <v>2849</v>
      </c>
      <c r="I260" s="1">
        <v>3.0</v>
      </c>
      <c r="K260" s="4" t="s">
        <v>9332</v>
      </c>
    </row>
    <row r="261" ht="15.75" customHeight="1">
      <c r="A261" s="1" t="s">
        <v>2850</v>
      </c>
      <c r="B261" s="1" t="s">
        <v>2851</v>
      </c>
      <c r="C261" s="1" t="s">
        <v>2852</v>
      </c>
      <c r="D261" s="1">
        <v>2021.0</v>
      </c>
      <c r="E261" s="1" t="s">
        <v>1974</v>
      </c>
      <c r="F261" s="1" t="s">
        <v>2101</v>
      </c>
      <c r="G261" s="1" t="s">
        <v>2853</v>
      </c>
      <c r="H261" s="1" t="s">
        <v>2854</v>
      </c>
      <c r="I261" s="1">
        <v>25.0</v>
      </c>
      <c r="K261" s="4" t="s">
        <v>9332</v>
      </c>
    </row>
    <row r="262" ht="15.75" customHeight="1">
      <c r="A262" s="1" t="s">
        <v>916</v>
      </c>
      <c r="B262" s="1" t="s">
        <v>2855</v>
      </c>
      <c r="C262" s="1" t="s">
        <v>129</v>
      </c>
      <c r="D262" s="1">
        <v>2020.0</v>
      </c>
      <c r="E262" s="1" t="s">
        <v>1974</v>
      </c>
      <c r="F262" s="1" t="s">
        <v>2101</v>
      </c>
      <c r="G262" s="1" t="s">
        <v>918</v>
      </c>
      <c r="H262" s="1" t="s">
        <v>2856</v>
      </c>
      <c r="I262" s="1">
        <v>19.0</v>
      </c>
      <c r="K262" s="4" t="s">
        <v>9332</v>
      </c>
    </row>
    <row r="263" ht="15.75" customHeight="1">
      <c r="A263" s="1" t="s">
        <v>2857</v>
      </c>
      <c r="B263" s="1" t="s">
        <v>2858</v>
      </c>
      <c r="C263" s="1" t="s">
        <v>2859</v>
      </c>
      <c r="D263" s="1">
        <v>2007.0</v>
      </c>
      <c r="E263" s="1" t="s">
        <v>1974</v>
      </c>
      <c r="F263" s="1" t="s">
        <v>1975</v>
      </c>
      <c r="G263" s="1" t="s">
        <v>2860</v>
      </c>
      <c r="H263" s="1" t="s">
        <v>2861</v>
      </c>
      <c r="I263" s="1">
        <v>1.0</v>
      </c>
      <c r="K263" s="4" t="s">
        <v>9332</v>
      </c>
    </row>
    <row r="264" ht="15.75" customHeight="1">
      <c r="A264" s="1" t="s">
        <v>2862</v>
      </c>
      <c r="B264" s="1" t="s">
        <v>2863</v>
      </c>
      <c r="C264" s="1" t="s">
        <v>2864</v>
      </c>
      <c r="D264" s="1">
        <v>2013.0</v>
      </c>
      <c r="E264" s="1" t="s">
        <v>1974</v>
      </c>
      <c r="F264" s="1" t="s">
        <v>1975</v>
      </c>
      <c r="G264" s="1" t="s">
        <v>2865</v>
      </c>
      <c r="H264" s="1" t="s">
        <v>2866</v>
      </c>
      <c r="I264" s="1" t="s">
        <v>3403</v>
      </c>
      <c r="K264" s="4" t="s">
        <v>9332</v>
      </c>
    </row>
    <row r="265" ht="15.75" customHeight="1">
      <c r="A265" s="1" t="s">
        <v>2867</v>
      </c>
      <c r="B265" s="1" t="s">
        <v>2868</v>
      </c>
      <c r="C265" s="1" t="s">
        <v>2869</v>
      </c>
      <c r="D265" s="1">
        <v>2022.0</v>
      </c>
      <c r="E265" s="1" t="s">
        <v>1974</v>
      </c>
      <c r="F265" s="1" t="s">
        <v>1975</v>
      </c>
      <c r="G265" s="1" t="s">
        <v>2870</v>
      </c>
      <c r="H265" s="1" t="s">
        <v>2871</v>
      </c>
      <c r="I265" s="1" t="s">
        <v>3403</v>
      </c>
      <c r="K265" s="4" t="s">
        <v>9332</v>
      </c>
    </row>
    <row r="266" ht="15.75" customHeight="1">
      <c r="A266" s="1" t="s">
        <v>2872</v>
      </c>
      <c r="B266" s="1" t="s">
        <v>2873</v>
      </c>
      <c r="C266" s="1" t="s">
        <v>2874</v>
      </c>
      <c r="D266" s="1">
        <v>2005.0</v>
      </c>
      <c r="E266" s="1" t="s">
        <v>1974</v>
      </c>
      <c r="F266" s="1" t="s">
        <v>1975</v>
      </c>
      <c r="G266" s="1" t="s">
        <v>2875</v>
      </c>
      <c r="H266" s="1" t="s">
        <v>2876</v>
      </c>
      <c r="I266" s="1">
        <v>21.0</v>
      </c>
      <c r="K266" s="4" t="s">
        <v>9332</v>
      </c>
    </row>
    <row r="267" ht="15.75" customHeight="1">
      <c r="A267" s="1" t="s">
        <v>2877</v>
      </c>
      <c r="B267" s="1" t="s">
        <v>2878</v>
      </c>
      <c r="C267" s="1" t="s">
        <v>2879</v>
      </c>
      <c r="D267" s="1">
        <v>2021.0</v>
      </c>
      <c r="E267" s="1" t="s">
        <v>1974</v>
      </c>
      <c r="F267" s="1" t="s">
        <v>1975</v>
      </c>
      <c r="G267" s="1" t="s">
        <v>2880</v>
      </c>
      <c r="H267" s="1" t="s">
        <v>2881</v>
      </c>
      <c r="I267" s="1">
        <v>10.0</v>
      </c>
      <c r="K267" s="4" t="s">
        <v>9332</v>
      </c>
    </row>
    <row r="268" ht="15.75" customHeight="1">
      <c r="A268" s="1" t="s">
        <v>2882</v>
      </c>
      <c r="B268" s="1" t="s">
        <v>2883</v>
      </c>
      <c r="C268" s="1" t="s">
        <v>2884</v>
      </c>
      <c r="D268" s="1">
        <v>2009.0</v>
      </c>
      <c r="E268" s="1" t="s">
        <v>1974</v>
      </c>
      <c r="F268" s="1" t="s">
        <v>1975</v>
      </c>
      <c r="G268" s="1" t="s">
        <v>2885</v>
      </c>
      <c r="H268" s="1" t="s">
        <v>2886</v>
      </c>
      <c r="I268" s="1">
        <v>4.0</v>
      </c>
      <c r="K268" s="4" t="s">
        <v>9332</v>
      </c>
    </row>
    <row r="269" ht="15.75" customHeight="1">
      <c r="A269" s="1" t="s">
        <v>2890</v>
      </c>
      <c r="B269" s="1" t="s">
        <v>2891</v>
      </c>
      <c r="C269" s="1" t="s">
        <v>2892</v>
      </c>
      <c r="D269" s="1">
        <v>2023.0</v>
      </c>
      <c r="E269" s="1" t="s">
        <v>1974</v>
      </c>
      <c r="F269" s="1" t="s">
        <v>2101</v>
      </c>
      <c r="G269" s="1" t="s">
        <v>2893</v>
      </c>
      <c r="H269" s="1" t="s">
        <v>2894</v>
      </c>
      <c r="I269" s="1" t="s">
        <v>3403</v>
      </c>
      <c r="K269" s="4" t="s">
        <v>9332</v>
      </c>
    </row>
    <row r="270" ht="15.75" customHeight="1">
      <c r="A270" s="1" t="s">
        <v>2895</v>
      </c>
      <c r="B270" s="1" t="s">
        <v>2896</v>
      </c>
      <c r="C270" s="1" t="s">
        <v>2897</v>
      </c>
      <c r="D270" s="1">
        <v>2020.0</v>
      </c>
      <c r="E270" s="1" t="s">
        <v>1974</v>
      </c>
      <c r="F270" s="1" t="s">
        <v>1975</v>
      </c>
      <c r="G270" s="1" t="s">
        <v>2898</v>
      </c>
      <c r="H270" s="1" t="s">
        <v>2899</v>
      </c>
      <c r="I270" s="1">
        <v>4.0</v>
      </c>
      <c r="K270" s="4" t="s">
        <v>9332</v>
      </c>
    </row>
    <row r="271" ht="15.75" customHeight="1">
      <c r="A271" s="1" t="s">
        <v>1156</v>
      </c>
      <c r="B271" s="1" t="s">
        <v>2900</v>
      </c>
      <c r="C271" s="1" t="s">
        <v>2901</v>
      </c>
      <c r="D271" s="1">
        <v>2014.0</v>
      </c>
      <c r="E271" s="1" t="s">
        <v>1974</v>
      </c>
      <c r="F271" s="1" t="s">
        <v>1975</v>
      </c>
      <c r="G271" s="1" t="s">
        <v>1158</v>
      </c>
      <c r="H271" s="1" t="s">
        <v>2902</v>
      </c>
      <c r="I271" s="1" t="s">
        <v>3403</v>
      </c>
      <c r="K271" s="4" t="s">
        <v>9332</v>
      </c>
    </row>
    <row r="272" ht="15.75" customHeight="1">
      <c r="A272" s="1" t="s">
        <v>2903</v>
      </c>
      <c r="B272" s="1" t="s">
        <v>2904</v>
      </c>
      <c r="C272" s="1" t="s">
        <v>767</v>
      </c>
      <c r="D272" s="1">
        <v>2020.0</v>
      </c>
      <c r="E272" s="1" t="s">
        <v>1974</v>
      </c>
      <c r="F272" s="1" t="s">
        <v>2101</v>
      </c>
      <c r="G272" s="1" t="s">
        <v>768</v>
      </c>
      <c r="H272" s="1" t="s">
        <v>2905</v>
      </c>
      <c r="I272" s="1">
        <v>9.0</v>
      </c>
      <c r="K272" s="4" t="s">
        <v>9332</v>
      </c>
    </row>
    <row r="273" ht="15.75" customHeight="1">
      <c r="A273" s="1" t="s">
        <v>2906</v>
      </c>
      <c r="B273" s="1" t="s">
        <v>2907</v>
      </c>
      <c r="C273" s="1" t="s">
        <v>2908</v>
      </c>
      <c r="D273" s="1">
        <v>2015.0</v>
      </c>
      <c r="E273" s="1" t="s">
        <v>1974</v>
      </c>
      <c r="F273" s="1" t="s">
        <v>1975</v>
      </c>
      <c r="G273" s="1" t="s">
        <v>2909</v>
      </c>
      <c r="H273" s="1" t="s">
        <v>2910</v>
      </c>
      <c r="I273" s="1" t="s">
        <v>3403</v>
      </c>
      <c r="K273" s="4" t="s">
        <v>9332</v>
      </c>
    </row>
    <row r="274" ht="15.75" customHeight="1">
      <c r="A274" s="1" t="s">
        <v>2911</v>
      </c>
      <c r="B274" s="1" t="s">
        <v>2912</v>
      </c>
      <c r="C274" s="1" t="s">
        <v>2913</v>
      </c>
      <c r="D274" s="1">
        <v>2016.0</v>
      </c>
      <c r="E274" s="1" t="s">
        <v>1974</v>
      </c>
      <c r="F274" s="1" t="s">
        <v>2101</v>
      </c>
      <c r="G274" s="1" t="s">
        <v>2914</v>
      </c>
      <c r="H274" s="1" t="s">
        <v>2915</v>
      </c>
      <c r="I274" s="1">
        <v>22.0</v>
      </c>
      <c r="K274" s="4" t="s">
        <v>9332</v>
      </c>
    </row>
    <row r="275" ht="15.75" customHeight="1">
      <c r="A275" s="1" t="s">
        <v>2916</v>
      </c>
      <c r="B275" s="1" t="s">
        <v>2917</v>
      </c>
      <c r="C275" s="1" t="s">
        <v>2918</v>
      </c>
      <c r="D275" s="1">
        <v>2020.0</v>
      </c>
      <c r="E275" s="1" t="s">
        <v>1974</v>
      </c>
      <c r="F275" s="1" t="s">
        <v>1975</v>
      </c>
      <c r="G275" s="1" t="s">
        <v>2919</v>
      </c>
      <c r="H275" s="1" t="s">
        <v>2920</v>
      </c>
      <c r="I275" s="1">
        <v>7.0</v>
      </c>
      <c r="K275" s="4" t="s">
        <v>9332</v>
      </c>
    </row>
    <row r="276" ht="15.75" customHeight="1">
      <c r="A276" s="1" t="s">
        <v>2926</v>
      </c>
      <c r="B276" s="1" t="s">
        <v>2927</v>
      </c>
      <c r="C276" s="1" t="s">
        <v>2928</v>
      </c>
      <c r="D276" s="1">
        <v>2016.0</v>
      </c>
      <c r="E276" s="1" t="s">
        <v>1974</v>
      </c>
      <c r="F276" s="1" t="s">
        <v>2101</v>
      </c>
      <c r="G276" s="1" t="s">
        <v>2929</v>
      </c>
      <c r="H276" s="1" t="s">
        <v>2930</v>
      </c>
      <c r="I276" s="1" t="s">
        <v>3403</v>
      </c>
      <c r="K276" s="4" t="s">
        <v>9332</v>
      </c>
    </row>
    <row r="277" ht="15.75" customHeight="1">
      <c r="A277" s="1" t="s">
        <v>2931</v>
      </c>
      <c r="B277" s="1" t="s">
        <v>2932</v>
      </c>
      <c r="C277" s="1" t="s">
        <v>73</v>
      </c>
      <c r="D277" s="1">
        <v>2022.0</v>
      </c>
      <c r="E277" s="1" t="s">
        <v>1974</v>
      </c>
      <c r="F277" s="1" t="s">
        <v>2101</v>
      </c>
      <c r="G277" s="1" t="s">
        <v>2933</v>
      </c>
      <c r="H277" s="1" t="s">
        <v>2934</v>
      </c>
      <c r="I277" s="1">
        <v>4.0</v>
      </c>
      <c r="K277" s="4" t="s">
        <v>9332</v>
      </c>
    </row>
    <row r="278" ht="15.75" customHeight="1">
      <c r="A278" s="1" t="s">
        <v>2935</v>
      </c>
      <c r="B278" s="1" t="s">
        <v>2936</v>
      </c>
      <c r="C278" s="1" t="s">
        <v>2937</v>
      </c>
      <c r="D278" s="1">
        <v>2020.0</v>
      </c>
      <c r="E278" s="1" t="s">
        <v>1974</v>
      </c>
      <c r="F278" s="1" t="s">
        <v>1975</v>
      </c>
      <c r="G278" s="1" t="s">
        <v>2938</v>
      </c>
      <c r="H278" s="1" t="s">
        <v>2939</v>
      </c>
      <c r="I278" s="1" t="s">
        <v>3403</v>
      </c>
      <c r="K278" s="4" t="s">
        <v>9332</v>
      </c>
    </row>
    <row r="279" ht="15.75" customHeight="1">
      <c r="A279" s="1" t="s">
        <v>2940</v>
      </c>
      <c r="B279" s="1" t="s">
        <v>2941</v>
      </c>
      <c r="C279" s="1" t="s">
        <v>2942</v>
      </c>
      <c r="D279" s="1">
        <v>2008.0</v>
      </c>
      <c r="E279" s="1" t="s">
        <v>1974</v>
      </c>
      <c r="F279" s="1" t="s">
        <v>1975</v>
      </c>
      <c r="G279" s="1" t="s">
        <v>2943</v>
      </c>
      <c r="H279" s="1" t="s">
        <v>2944</v>
      </c>
      <c r="I279" s="1">
        <v>3.0</v>
      </c>
      <c r="K279" s="4" t="s">
        <v>9332</v>
      </c>
    </row>
    <row r="280" ht="15.75" customHeight="1">
      <c r="A280" s="1" t="s">
        <v>2945</v>
      </c>
      <c r="B280" s="1" t="s">
        <v>2946</v>
      </c>
      <c r="C280" s="1" t="s">
        <v>2947</v>
      </c>
      <c r="D280" s="1">
        <v>2020.0</v>
      </c>
      <c r="E280" s="1" t="s">
        <v>1974</v>
      </c>
      <c r="F280" s="1" t="s">
        <v>1975</v>
      </c>
      <c r="G280" s="1" t="s">
        <v>2948</v>
      </c>
      <c r="H280" s="1" t="s">
        <v>2949</v>
      </c>
      <c r="I280" s="1">
        <v>1.0</v>
      </c>
      <c r="K280" s="4" t="s">
        <v>9332</v>
      </c>
    </row>
    <row r="281" ht="15.75" customHeight="1">
      <c r="A281" s="1" t="s">
        <v>1818</v>
      </c>
      <c r="B281" s="1" t="s">
        <v>2950</v>
      </c>
      <c r="C281" s="1" t="s">
        <v>2951</v>
      </c>
      <c r="D281" s="1">
        <v>2008.0</v>
      </c>
      <c r="E281" s="1" t="s">
        <v>1974</v>
      </c>
      <c r="F281" s="1" t="s">
        <v>1975</v>
      </c>
      <c r="G281" s="1" t="s">
        <v>1821</v>
      </c>
      <c r="H281" s="1" t="s">
        <v>2952</v>
      </c>
      <c r="I281" s="1">
        <v>1.0</v>
      </c>
      <c r="K281" s="4" t="s">
        <v>9332</v>
      </c>
    </row>
    <row r="282" ht="15.75" customHeight="1">
      <c r="A282" s="1" t="s">
        <v>2953</v>
      </c>
      <c r="B282" s="1" t="s">
        <v>2954</v>
      </c>
      <c r="C282" s="1" t="s">
        <v>2428</v>
      </c>
      <c r="D282" s="1">
        <v>2024.0</v>
      </c>
      <c r="E282" s="1" t="s">
        <v>1974</v>
      </c>
      <c r="F282" s="1" t="s">
        <v>2101</v>
      </c>
      <c r="G282" s="1" t="s">
        <v>2955</v>
      </c>
      <c r="H282" s="1" t="s">
        <v>2956</v>
      </c>
      <c r="I282" s="1">
        <v>5.0</v>
      </c>
      <c r="K282" s="4" t="s">
        <v>9332</v>
      </c>
    </row>
    <row r="283" ht="15.75" customHeight="1">
      <c r="A283" s="1" t="s">
        <v>2957</v>
      </c>
      <c r="B283" s="1" t="s">
        <v>2958</v>
      </c>
      <c r="C283" s="1" t="s">
        <v>2959</v>
      </c>
      <c r="D283" s="1">
        <v>1998.0</v>
      </c>
      <c r="E283" s="1" t="s">
        <v>1974</v>
      </c>
      <c r="F283" s="1" t="s">
        <v>1975</v>
      </c>
      <c r="G283" s="1" t="s">
        <v>2960</v>
      </c>
      <c r="H283" s="1" t="s">
        <v>2961</v>
      </c>
      <c r="I283" s="1">
        <v>4.0</v>
      </c>
      <c r="K283" s="4" t="s">
        <v>9332</v>
      </c>
    </row>
    <row r="284" ht="15.75" customHeight="1">
      <c r="A284" s="1" t="s">
        <v>146</v>
      </c>
      <c r="B284" s="1" t="s">
        <v>2962</v>
      </c>
      <c r="C284" s="1" t="s">
        <v>2963</v>
      </c>
      <c r="D284" s="1">
        <v>2023.0</v>
      </c>
      <c r="E284" s="1" t="s">
        <v>1974</v>
      </c>
      <c r="F284" s="1" t="s">
        <v>1975</v>
      </c>
      <c r="G284" s="1" t="s">
        <v>149</v>
      </c>
      <c r="H284" s="1" t="s">
        <v>2964</v>
      </c>
      <c r="I284" s="1" t="s">
        <v>3403</v>
      </c>
      <c r="K284" s="4" t="s">
        <v>9332</v>
      </c>
    </row>
    <row r="285" ht="15.75" customHeight="1">
      <c r="A285" s="1" t="s">
        <v>2965</v>
      </c>
      <c r="B285" s="1" t="s">
        <v>2966</v>
      </c>
      <c r="C285" s="1" t="s">
        <v>2967</v>
      </c>
      <c r="D285" s="1">
        <v>2018.0</v>
      </c>
      <c r="E285" s="1" t="s">
        <v>1974</v>
      </c>
      <c r="F285" s="1" t="s">
        <v>1975</v>
      </c>
      <c r="G285" s="1" t="s">
        <v>2968</v>
      </c>
      <c r="H285" s="1" t="s">
        <v>2969</v>
      </c>
      <c r="I285" s="1">
        <v>2.0</v>
      </c>
      <c r="K285" s="4" t="s">
        <v>9332</v>
      </c>
    </row>
    <row r="286" ht="15.75" customHeight="1">
      <c r="A286" s="1" t="s">
        <v>2970</v>
      </c>
      <c r="B286" s="1" t="s">
        <v>2971</v>
      </c>
      <c r="C286" s="1" t="s">
        <v>2972</v>
      </c>
      <c r="D286" s="1">
        <v>2015.0</v>
      </c>
      <c r="E286" s="1" t="s">
        <v>1974</v>
      </c>
      <c r="F286" s="1" t="s">
        <v>1975</v>
      </c>
      <c r="G286" s="1" t="s">
        <v>2973</v>
      </c>
      <c r="H286" s="1" t="s">
        <v>2974</v>
      </c>
      <c r="I286" s="1">
        <v>3.0</v>
      </c>
      <c r="K286" s="4" t="s">
        <v>9332</v>
      </c>
    </row>
    <row r="287" ht="15.75" customHeight="1">
      <c r="A287" s="1" t="s">
        <v>2975</v>
      </c>
      <c r="B287" s="1" t="s">
        <v>2976</v>
      </c>
      <c r="C287" s="1" t="s">
        <v>509</v>
      </c>
      <c r="D287" s="1">
        <v>2012.0</v>
      </c>
      <c r="E287" s="1" t="s">
        <v>2978</v>
      </c>
      <c r="F287" s="1" t="s">
        <v>2979</v>
      </c>
      <c r="H287" s="1" t="s">
        <v>2977</v>
      </c>
      <c r="I287" s="1" t="s">
        <v>3403</v>
      </c>
      <c r="K287" s="4" t="s">
        <v>9332</v>
      </c>
    </row>
    <row r="288" ht="15.75" customHeight="1">
      <c r="A288" s="1" t="s">
        <v>452</v>
      </c>
      <c r="B288" s="1" t="s">
        <v>2984</v>
      </c>
      <c r="C288" s="1" t="s">
        <v>2985</v>
      </c>
      <c r="D288" s="1">
        <v>2022.0</v>
      </c>
      <c r="E288" s="1" t="s">
        <v>1974</v>
      </c>
      <c r="F288" s="1" t="s">
        <v>1975</v>
      </c>
      <c r="G288" s="1" t="s">
        <v>455</v>
      </c>
      <c r="H288" s="1" t="s">
        <v>2986</v>
      </c>
      <c r="I288" s="1" t="s">
        <v>3403</v>
      </c>
      <c r="K288" s="4" t="s">
        <v>9332</v>
      </c>
    </row>
    <row r="289" ht="15.75" customHeight="1">
      <c r="A289" s="1" t="s">
        <v>2987</v>
      </c>
      <c r="B289" s="1" t="s">
        <v>2988</v>
      </c>
      <c r="C289" s="1" t="s">
        <v>2989</v>
      </c>
      <c r="D289" s="1">
        <v>2008.0</v>
      </c>
      <c r="E289" s="1" t="s">
        <v>1974</v>
      </c>
      <c r="F289" s="1" t="s">
        <v>1975</v>
      </c>
      <c r="G289" s="1" t="s">
        <v>2990</v>
      </c>
      <c r="H289" s="1" t="s">
        <v>2991</v>
      </c>
      <c r="I289" s="1" t="s">
        <v>3403</v>
      </c>
      <c r="K289" s="4" t="s">
        <v>9332</v>
      </c>
    </row>
    <row r="290" ht="15.75" customHeight="1">
      <c r="A290" s="1" t="s">
        <v>2992</v>
      </c>
      <c r="B290" s="1" t="s">
        <v>2993</v>
      </c>
      <c r="C290" s="1" t="s">
        <v>2994</v>
      </c>
      <c r="D290" s="1">
        <v>2011.0</v>
      </c>
      <c r="E290" s="1" t="s">
        <v>1974</v>
      </c>
      <c r="F290" s="1" t="s">
        <v>1975</v>
      </c>
      <c r="G290" s="1" t="s">
        <v>2995</v>
      </c>
      <c r="H290" s="1" t="s">
        <v>2996</v>
      </c>
      <c r="I290" s="1" t="s">
        <v>3403</v>
      </c>
      <c r="K290" s="4" t="s">
        <v>9332</v>
      </c>
    </row>
    <row r="291" ht="15.75" customHeight="1">
      <c r="A291" s="1" t="s">
        <v>2997</v>
      </c>
      <c r="B291" s="1" t="s">
        <v>2998</v>
      </c>
      <c r="C291" s="1" t="s">
        <v>2999</v>
      </c>
      <c r="D291" s="1">
        <v>2013.0</v>
      </c>
      <c r="E291" s="1" t="s">
        <v>1974</v>
      </c>
      <c r="F291" s="1" t="s">
        <v>1975</v>
      </c>
      <c r="H291" s="1" t="s">
        <v>3000</v>
      </c>
      <c r="I291" s="1" t="s">
        <v>3403</v>
      </c>
      <c r="K291" s="4" t="s">
        <v>9332</v>
      </c>
    </row>
    <row r="292" ht="15.75" customHeight="1">
      <c r="A292" s="1" t="s">
        <v>3001</v>
      </c>
      <c r="B292" s="1" t="s">
        <v>3002</v>
      </c>
      <c r="C292" s="1" t="s">
        <v>3003</v>
      </c>
      <c r="D292" s="1">
        <v>2023.0</v>
      </c>
      <c r="E292" s="1" t="s">
        <v>1974</v>
      </c>
      <c r="F292" s="1" t="s">
        <v>1975</v>
      </c>
      <c r="G292" s="1" t="s">
        <v>3004</v>
      </c>
      <c r="H292" s="1" t="s">
        <v>3005</v>
      </c>
      <c r="I292" s="1" t="s">
        <v>3403</v>
      </c>
      <c r="K292" s="4" t="s">
        <v>9332</v>
      </c>
    </row>
    <row r="293" ht="15.75" customHeight="1">
      <c r="A293" s="1" t="s">
        <v>3006</v>
      </c>
      <c r="B293" s="1" t="s">
        <v>3007</v>
      </c>
      <c r="C293" s="1" t="s">
        <v>2209</v>
      </c>
      <c r="D293" s="1">
        <v>2008.0</v>
      </c>
      <c r="E293" s="1" t="s">
        <v>1974</v>
      </c>
      <c r="F293" s="1" t="s">
        <v>1975</v>
      </c>
      <c r="G293" s="1" t="s">
        <v>1541</v>
      </c>
      <c r="H293" s="1" t="s">
        <v>3008</v>
      </c>
      <c r="I293" s="1" t="s">
        <v>3403</v>
      </c>
      <c r="K293" s="4" t="s">
        <v>9332</v>
      </c>
    </row>
    <row r="294" ht="15.75" customHeight="1">
      <c r="A294" s="1" t="s">
        <v>3009</v>
      </c>
      <c r="B294" s="1" t="s">
        <v>3010</v>
      </c>
      <c r="C294" s="1" t="s">
        <v>1513</v>
      </c>
      <c r="D294" s="1">
        <v>2008.0</v>
      </c>
      <c r="E294" s="1" t="s">
        <v>1974</v>
      </c>
      <c r="F294" s="1" t="s">
        <v>2287</v>
      </c>
      <c r="G294" s="1" t="s">
        <v>1514</v>
      </c>
      <c r="H294" s="1" t="s">
        <v>3011</v>
      </c>
      <c r="I294" s="1">
        <v>113.0</v>
      </c>
      <c r="K294" s="4" t="s">
        <v>9332</v>
      </c>
    </row>
    <row r="295" ht="15.75" customHeight="1">
      <c r="A295" s="1" t="s">
        <v>3012</v>
      </c>
      <c r="B295" s="1" t="s">
        <v>3013</v>
      </c>
      <c r="C295" s="1" t="s">
        <v>3014</v>
      </c>
      <c r="D295" s="1">
        <v>2020.0</v>
      </c>
      <c r="E295" s="1" t="s">
        <v>1974</v>
      </c>
      <c r="F295" s="1" t="s">
        <v>1975</v>
      </c>
      <c r="G295" s="1" t="s">
        <v>3015</v>
      </c>
      <c r="H295" s="1" t="s">
        <v>3016</v>
      </c>
      <c r="I295" s="1">
        <v>7.0</v>
      </c>
      <c r="K295" s="4" t="s">
        <v>9332</v>
      </c>
    </row>
    <row r="296" ht="15.75" customHeight="1">
      <c r="A296" s="1" t="s">
        <v>3017</v>
      </c>
      <c r="B296" s="1" t="s">
        <v>3018</v>
      </c>
      <c r="C296" s="1" t="s">
        <v>3019</v>
      </c>
      <c r="D296" s="1">
        <v>2022.0</v>
      </c>
      <c r="E296" s="1" t="s">
        <v>1974</v>
      </c>
      <c r="F296" s="1" t="s">
        <v>1975</v>
      </c>
      <c r="G296" s="1" t="s">
        <v>3020</v>
      </c>
      <c r="H296" s="1" t="s">
        <v>3021</v>
      </c>
      <c r="I296" s="1" t="s">
        <v>3403</v>
      </c>
      <c r="K296" s="4" t="s">
        <v>9332</v>
      </c>
    </row>
    <row r="297" ht="15.75" customHeight="1">
      <c r="A297" s="1" t="s">
        <v>544</v>
      </c>
      <c r="B297" s="1" t="s">
        <v>3022</v>
      </c>
      <c r="C297" s="1" t="s">
        <v>129</v>
      </c>
      <c r="D297" s="1">
        <v>2020.0</v>
      </c>
      <c r="E297" s="1" t="s">
        <v>1974</v>
      </c>
      <c r="F297" s="1" t="s">
        <v>2101</v>
      </c>
      <c r="G297" s="1" t="s">
        <v>546</v>
      </c>
      <c r="H297" s="1" t="s">
        <v>3023</v>
      </c>
      <c r="I297" s="1">
        <v>12.0</v>
      </c>
      <c r="K297" s="4" t="s">
        <v>9332</v>
      </c>
    </row>
    <row r="298" ht="15.75" customHeight="1">
      <c r="A298" s="1" t="s">
        <v>3024</v>
      </c>
      <c r="B298" s="1" t="s">
        <v>3025</v>
      </c>
      <c r="C298" s="1" t="s">
        <v>3026</v>
      </c>
      <c r="D298" s="1">
        <v>2018.0</v>
      </c>
      <c r="E298" s="1" t="s">
        <v>1974</v>
      </c>
      <c r="F298" s="1" t="s">
        <v>1975</v>
      </c>
      <c r="G298" s="1" t="s">
        <v>3027</v>
      </c>
      <c r="H298" s="1" t="s">
        <v>3028</v>
      </c>
      <c r="I298" s="1">
        <v>19.0</v>
      </c>
      <c r="K298" s="4" t="s">
        <v>9332</v>
      </c>
    </row>
    <row r="299" ht="15.75" customHeight="1">
      <c r="A299" s="1" t="s">
        <v>3029</v>
      </c>
      <c r="B299" s="1" t="s">
        <v>3030</v>
      </c>
      <c r="C299" s="1" t="s">
        <v>2428</v>
      </c>
      <c r="D299" s="1">
        <v>2023.0</v>
      </c>
      <c r="E299" s="1" t="s">
        <v>1974</v>
      </c>
      <c r="F299" s="1" t="s">
        <v>2101</v>
      </c>
      <c r="G299" s="1" t="s">
        <v>3031</v>
      </c>
      <c r="H299" s="1" t="s">
        <v>3032</v>
      </c>
      <c r="I299" s="1">
        <v>2.0</v>
      </c>
      <c r="K299" s="4" t="s">
        <v>9332</v>
      </c>
    </row>
    <row r="300" ht="15.75" customHeight="1">
      <c r="A300" s="1" t="s">
        <v>3033</v>
      </c>
      <c r="B300" s="1" t="s">
        <v>3034</v>
      </c>
      <c r="C300" s="1" t="s">
        <v>3035</v>
      </c>
      <c r="D300" s="1">
        <v>2000.0</v>
      </c>
      <c r="E300" s="1" t="s">
        <v>1974</v>
      </c>
      <c r="F300" s="1" t="s">
        <v>1975</v>
      </c>
      <c r="G300" s="1" t="s">
        <v>3036</v>
      </c>
      <c r="H300" s="1" t="s">
        <v>3037</v>
      </c>
      <c r="I300" s="1">
        <v>3.0</v>
      </c>
      <c r="K300" s="4" t="s">
        <v>9332</v>
      </c>
    </row>
    <row r="301" ht="15.75" customHeight="1">
      <c r="A301" s="1" t="s">
        <v>1881</v>
      </c>
      <c r="B301" s="1" t="s">
        <v>3038</v>
      </c>
      <c r="C301" s="1" t="s">
        <v>1883</v>
      </c>
      <c r="D301" s="1">
        <v>1999.0</v>
      </c>
      <c r="E301" s="1" t="s">
        <v>1974</v>
      </c>
      <c r="F301" s="1" t="s">
        <v>2101</v>
      </c>
      <c r="G301" s="1" t="s">
        <v>1884</v>
      </c>
      <c r="H301" s="1" t="s">
        <v>3039</v>
      </c>
      <c r="I301" s="1">
        <v>73.0</v>
      </c>
      <c r="K301" s="4" t="s">
        <v>9332</v>
      </c>
    </row>
    <row r="302" ht="15.75" customHeight="1">
      <c r="A302" s="1" t="s">
        <v>3040</v>
      </c>
      <c r="B302" s="1" t="s">
        <v>3041</v>
      </c>
      <c r="C302" s="1" t="s">
        <v>3042</v>
      </c>
      <c r="D302" s="1">
        <v>2017.0</v>
      </c>
      <c r="E302" s="1" t="s">
        <v>1974</v>
      </c>
      <c r="F302" s="1" t="s">
        <v>2101</v>
      </c>
      <c r="G302" s="1" t="s">
        <v>3043</v>
      </c>
      <c r="H302" s="1" t="s">
        <v>3044</v>
      </c>
      <c r="I302" s="1">
        <v>19.0</v>
      </c>
      <c r="K302" s="4" t="s">
        <v>9332</v>
      </c>
    </row>
    <row r="303" ht="15.75" customHeight="1">
      <c r="A303" s="1" t="s">
        <v>3045</v>
      </c>
      <c r="B303" s="1" t="s">
        <v>3046</v>
      </c>
      <c r="C303" s="1" t="s">
        <v>3047</v>
      </c>
      <c r="D303" s="1">
        <v>2021.0</v>
      </c>
      <c r="E303" s="1" t="s">
        <v>1974</v>
      </c>
      <c r="F303" s="1" t="s">
        <v>1975</v>
      </c>
      <c r="G303" s="1" t="s">
        <v>3048</v>
      </c>
      <c r="H303" s="1" t="s">
        <v>3049</v>
      </c>
      <c r="I303" s="1" t="s">
        <v>3403</v>
      </c>
      <c r="K303" s="4" t="s">
        <v>9332</v>
      </c>
    </row>
    <row r="304" ht="15.75" customHeight="1">
      <c r="A304" s="1" t="s">
        <v>337</v>
      </c>
      <c r="B304" s="1" t="s">
        <v>3050</v>
      </c>
      <c r="C304" s="1" t="s">
        <v>3051</v>
      </c>
      <c r="D304" s="1">
        <v>2022.0</v>
      </c>
      <c r="E304" s="1" t="s">
        <v>1974</v>
      </c>
      <c r="F304" s="1" t="s">
        <v>1975</v>
      </c>
      <c r="G304" s="1" t="s">
        <v>340</v>
      </c>
      <c r="H304" s="1" t="s">
        <v>3052</v>
      </c>
      <c r="I304" s="1" t="s">
        <v>3403</v>
      </c>
      <c r="K304" s="4" t="s">
        <v>9332</v>
      </c>
    </row>
    <row r="305" ht="15.75" customHeight="1">
      <c r="A305" s="1" t="s">
        <v>3057</v>
      </c>
      <c r="B305" s="1" t="s">
        <v>3058</v>
      </c>
      <c r="C305" s="1" t="s">
        <v>3059</v>
      </c>
      <c r="D305" s="1">
        <v>2009.0</v>
      </c>
      <c r="E305" s="1" t="s">
        <v>1974</v>
      </c>
      <c r="F305" s="1" t="s">
        <v>1975</v>
      </c>
      <c r="G305" s="1" t="s">
        <v>1813</v>
      </c>
      <c r="H305" s="1" t="s">
        <v>3060</v>
      </c>
      <c r="I305" s="1">
        <v>2.0</v>
      </c>
      <c r="K305" s="4" t="s">
        <v>9332</v>
      </c>
    </row>
    <row r="306" ht="15.75" customHeight="1">
      <c r="A306" s="1" t="s">
        <v>3061</v>
      </c>
      <c r="B306" s="1" t="s">
        <v>3062</v>
      </c>
      <c r="C306" s="1" t="s">
        <v>3063</v>
      </c>
      <c r="D306" s="1">
        <v>2018.0</v>
      </c>
      <c r="E306" s="1" t="s">
        <v>1974</v>
      </c>
      <c r="F306" s="1" t="s">
        <v>1975</v>
      </c>
      <c r="G306" s="1" t="s">
        <v>3064</v>
      </c>
      <c r="H306" s="1" t="s">
        <v>3065</v>
      </c>
      <c r="I306" s="1">
        <v>1.0</v>
      </c>
      <c r="K306" s="4" t="s">
        <v>9332</v>
      </c>
    </row>
    <row r="307" ht="15.75" customHeight="1">
      <c r="A307" s="1" t="s">
        <v>3066</v>
      </c>
      <c r="B307" s="1" t="s">
        <v>3067</v>
      </c>
      <c r="C307" s="1" t="s">
        <v>3068</v>
      </c>
      <c r="D307" s="1">
        <v>2018.0</v>
      </c>
      <c r="E307" s="1" t="s">
        <v>1974</v>
      </c>
      <c r="F307" s="1" t="s">
        <v>1975</v>
      </c>
      <c r="G307" s="1" t="s">
        <v>3069</v>
      </c>
      <c r="H307" s="1" t="s">
        <v>3070</v>
      </c>
      <c r="I307" s="1">
        <v>2.0</v>
      </c>
      <c r="K307" s="4" t="s">
        <v>9332</v>
      </c>
    </row>
    <row r="308" ht="15.75" customHeight="1">
      <c r="A308" s="1" t="s">
        <v>3071</v>
      </c>
      <c r="B308" s="1" t="s">
        <v>3072</v>
      </c>
      <c r="C308" s="1" t="s">
        <v>3073</v>
      </c>
      <c r="D308" s="1">
        <v>2018.0</v>
      </c>
      <c r="E308" s="1" t="s">
        <v>1974</v>
      </c>
      <c r="F308" s="1" t="s">
        <v>1975</v>
      </c>
      <c r="G308" s="1" t="s">
        <v>3074</v>
      </c>
      <c r="H308" s="1" t="s">
        <v>3075</v>
      </c>
      <c r="I308" s="1">
        <v>1.0</v>
      </c>
      <c r="K308" s="4" t="s">
        <v>9332</v>
      </c>
    </row>
    <row r="309" ht="15.75" customHeight="1">
      <c r="A309" s="1" t="s">
        <v>3076</v>
      </c>
      <c r="B309" s="1" t="s">
        <v>3077</v>
      </c>
      <c r="C309" s="1" t="s">
        <v>3078</v>
      </c>
      <c r="D309" s="1">
        <v>1999.0</v>
      </c>
      <c r="E309" s="1" t="s">
        <v>1974</v>
      </c>
      <c r="F309" s="1" t="s">
        <v>1975</v>
      </c>
      <c r="G309" s="1" t="s">
        <v>3079</v>
      </c>
      <c r="H309" s="1" t="s">
        <v>3080</v>
      </c>
      <c r="I309" s="1">
        <v>2.0</v>
      </c>
      <c r="K309" s="4" t="s">
        <v>9332</v>
      </c>
    </row>
    <row r="310" ht="15.75" customHeight="1">
      <c r="A310" s="1" t="s">
        <v>3081</v>
      </c>
      <c r="B310" s="1" t="s">
        <v>3082</v>
      </c>
      <c r="C310" s="1" t="s">
        <v>3083</v>
      </c>
      <c r="D310" s="1">
        <v>2014.0</v>
      </c>
      <c r="E310" s="1" t="s">
        <v>1974</v>
      </c>
      <c r="F310" s="1" t="s">
        <v>1975</v>
      </c>
      <c r="G310" s="1" t="s">
        <v>1053</v>
      </c>
      <c r="H310" s="1" t="s">
        <v>3084</v>
      </c>
      <c r="I310" s="1">
        <v>9.0</v>
      </c>
      <c r="K310" s="4" t="s">
        <v>9332</v>
      </c>
    </row>
    <row r="311" ht="15.75" customHeight="1">
      <c r="A311" s="1" t="s">
        <v>3085</v>
      </c>
      <c r="B311" s="1" t="s">
        <v>3086</v>
      </c>
      <c r="C311" s="1" t="s">
        <v>3087</v>
      </c>
      <c r="D311" s="1">
        <v>2023.0</v>
      </c>
      <c r="E311" s="1" t="s">
        <v>1974</v>
      </c>
      <c r="F311" s="1" t="s">
        <v>1975</v>
      </c>
      <c r="G311" s="1" t="s">
        <v>3088</v>
      </c>
      <c r="H311" s="1" t="s">
        <v>3089</v>
      </c>
      <c r="I311" s="1" t="s">
        <v>3403</v>
      </c>
      <c r="K311" s="4" t="s">
        <v>9332</v>
      </c>
    </row>
    <row r="312" ht="15.75" customHeight="1">
      <c r="A312" s="1" t="s">
        <v>3090</v>
      </c>
      <c r="B312" s="1" t="s">
        <v>2597</v>
      </c>
      <c r="C312" s="1" t="s">
        <v>3091</v>
      </c>
      <c r="D312" s="1">
        <v>2015.0</v>
      </c>
      <c r="E312" s="1" t="s">
        <v>1974</v>
      </c>
      <c r="F312" s="1" t="s">
        <v>1975</v>
      </c>
      <c r="G312" s="1" t="s">
        <v>3092</v>
      </c>
      <c r="H312" s="1" t="s">
        <v>3093</v>
      </c>
      <c r="I312" s="1">
        <v>8.0</v>
      </c>
      <c r="K312" s="4" t="s">
        <v>9332</v>
      </c>
    </row>
    <row r="313" ht="15.75" customHeight="1">
      <c r="A313" s="1" t="s">
        <v>327</v>
      </c>
      <c r="B313" s="1" t="s">
        <v>3094</v>
      </c>
      <c r="C313" s="1" t="s">
        <v>3095</v>
      </c>
      <c r="D313" s="1">
        <v>2023.0</v>
      </c>
      <c r="E313" s="1" t="s">
        <v>1974</v>
      </c>
      <c r="F313" s="1" t="s">
        <v>1975</v>
      </c>
      <c r="G313" s="1" t="s">
        <v>330</v>
      </c>
      <c r="H313" s="1" t="s">
        <v>3096</v>
      </c>
      <c r="I313" s="1" t="s">
        <v>3403</v>
      </c>
      <c r="K313" s="4" t="s">
        <v>9332</v>
      </c>
    </row>
    <row r="314" ht="15.75" customHeight="1">
      <c r="A314" s="1" t="s">
        <v>3097</v>
      </c>
      <c r="B314" s="1" t="s">
        <v>3098</v>
      </c>
      <c r="C314" s="1" t="s">
        <v>3099</v>
      </c>
      <c r="D314" s="1">
        <v>2005.0</v>
      </c>
      <c r="E314" s="1" t="s">
        <v>1974</v>
      </c>
      <c r="F314" s="1" t="s">
        <v>1975</v>
      </c>
      <c r="G314" s="1" t="s">
        <v>3100</v>
      </c>
      <c r="H314" s="1" t="s">
        <v>3101</v>
      </c>
      <c r="I314" s="1">
        <v>25.0</v>
      </c>
      <c r="K314" s="4" t="s">
        <v>9332</v>
      </c>
    </row>
    <row r="315" ht="15.75" customHeight="1">
      <c r="A315" s="1" t="s">
        <v>3102</v>
      </c>
      <c r="B315" s="1" t="s">
        <v>3103</v>
      </c>
      <c r="C315" s="1" t="s">
        <v>3104</v>
      </c>
      <c r="D315" s="1">
        <v>2009.0</v>
      </c>
      <c r="E315" s="1" t="s">
        <v>1974</v>
      </c>
      <c r="F315" s="1" t="s">
        <v>1975</v>
      </c>
      <c r="G315" s="1" t="s">
        <v>3105</v>
      </c>
      <c r="H315" s="1" t="s">
        <v>3106</v>
      </c>
      <c r="I315" s="1">
        <v>1.0</v>
      </c>
      <c r="K315" s="4" t="s">
        <v>9332</v>
      </c>
    </row>
    <row r="316" ht="15.75" customHeight="1">
      <c r="A316" s="1" t="s">
        <v>3107</v>
      </c>
      <c r="B316" s="1" t="s">
        <v>3108</v>
      </c>
      <c r="C316" s="1" t="s">
        <v>3109</v>
      </c>
      <c r="D316" s="1">
        <v>1994.0</v>
      </c>
      <c r="E316" s="1" t="s">
        <v>1974</v>
      </c>
      <c r="F316" s="1" t="s">
        <v>1975</v>
      </c>
      <c r="G316" s="1" t="s">
        <v>3110</v>
      </c>
      <c r="H316" s="1" t="s">
        <v>3111</v>
      </c>
      <c r="I316" s="1">
        <v>1.0</v>
      </c>
      <c r="K316" s="4" t="s">
        <v>9332</v>
      </c>
    </row>
    <row r="317" ht="15.75" customHeight="1">
      <c r="A317" s="1" t="s">
        <v>3112</v>
      </c>
      <c r="B317" s="1" t="s">
        <v>3113</v>
      </c>
      <c r="C317" s="1" t="s">
        <v>518</v>
      </c>
      <c r="D317" s="1">
        <v>1996.0</v>
      </c>
      <c r="E317" s="1" t="s">
        <v>1974</v>
      </c>
      <c r="F317" s="1" t="s">
        <v>2287</v>
      </c>
      <c r="G317" s="1" t="s">
        <v>3114</v>
      </c>
      <c r="H317" s="1" t="s">
        <v>3115</v>
      </c>
      <c r="I317" s="1">
        <v>30.0</v>
      </c>
      <c r="K317" s="4" t="s">
        <v>9332</v>
      </c>
    </row>
    <row r="318" ht="15.75" customHeight="1">
      <c r="A318" s="1" t="s">
        <v>3116</v>
      </c>
      <c r="B318" s="1" t="s">
        <v>3117</v>
      </c>
      <c r="C318" s="1" t="s">
        <v>1092</v>
      </c>
      <c r="D318" s="1">
        <v>2017.0</v>
      </c>
      <c r="E318" s="1" t="s">
        <v>1974</v>
      </c>
      <c r="F318" s="1" t="s">
        <v>2101</v>
      </c>
      <c r="G318" s="1" t="s">
        <v>1093</v>
      </c>
      <c r="H318" s="1" t="s">
        <v>3118</v>
      </c>
      <c r="I318" s="1">
        <v>5.0</v>
      </c>
      <c r="K318" s="4" t="s">
        <v>9332</v>
      </c>
    </row>
    <row r="319" ht="15.75" customHeight="1">
      <c r="A319" s="1" t="s">
        <v>3119</v>
      </c>
      <c r="B319" s="1" t="s">
        <v>3120</v>
      </c>
      <c r="C319" s="1" t="s">
        <v>3121</v>
      </c>
      <c r="D319" s="1">
        <v>2009.0</v>
      </c>
      <c r="E319" s="1" t="s">
        <v>1974</v>
      </c>
      <c r="F319" s="1" t="s">
        <v>1975</v>
      </c>
      <c r="G319" s="1" t="s">
        <v>3122</v>
      </c>
      <c r="H319" s="1" t="s">
        <v>3123</v>
      </c>
      <c r="I319" s="1" t="s">
        <v>3403</v>
      </c>
      <c r="K319" s="4" t="s">
        <v>9332</v>
      </c>
    </row>
    <row r="320" ht="15.75" customHeight="1">
      <c r="A320" s="1" t="s">
        <v>3124</v>
      </c>
      <c r="B320" s="1" t="s">
        <v>3125</v>
      </c>
      <c r="C320" s="1" t="s">
        <v>3126</v>
      </c>
      <c r="D320" s="1">
        <v>2020.0</v>
      </c>
      <c r="E320" s="1" t="s">
        <v>1974</v>
      </c>
      <c r="F320" s="1" t="s">
        <v>1975</v>
      </c>
      <c r="G320" s="1" t="s">
        <v>3127</v>
      </c>
      <c r="H320" s="1" t="s">
        <v>3128</v>
      </c>
      <c r="I320" s="1" t="s">
        <v>3403</v>
      </c>
      <c r="K320" s="4" t="s">
        <v>9332</v>
      </c>
    </row>
    <row r="321" ht="15.75" customHeight="1">
      <c r="A321" s="1" t="s">
        <v>3129</v>
      </c>
      <c r="B321" s="1" t="s">
        <v>3130</v>
      </c>
      <c r="C321" s="1" t="s">
        <v>3131</v>
      </c>
      <c r="D321" s="1">
        <v>2007.0</v>
      </c>
      <c r="E321" s="1" t="s">
        <v>1974</v>
      </c>
      <c r="F321" s="1" t="s">
        <v>1975</v>
      </c>
      <c r="G321" s="1" t="s">
        <v>3132</v>
      </c>
      <c r="H321" s="1" t="s">
        <v>3133</v>
      </c>
      <c r="I321" s="1" t="s">
        <v>3403</v>
      </c>
      <c r="K321" s="4" t="s">
        <v>9332</v>
      </c>
    </row>
    <row r="322" ht="15.75" customHeight="1">
      <c r="A322" s="1" t="s">
        <v>3139</v>
      </c>
      <c r="B322" s="1" t="s">
        <v>3140</v>
      </c>
      <c r="C322" s="1" t="s">
        <v>407</v>
      </c>
      <c r="D322" s="1">
        <v>2024.0</v>
      </c>
      <c r="E322" s="1" t="s">
        <v>1974</v>
      </c>
      <c r="F322" s="1" t="s">
        <v>2101</v>
      </c>
      <c r="G322" s="1" t="s">
        <v>3141</v>
      </c>
      <c r="H322" s="1" t="s">
        <v>3142</v>
      </c>
      <c r="I322" s="1">
        <v>2.0</v>
      </c>
      <c r="K322" s="4" t="s">
        <v>9332</v>
      </c>
    </row>
    <row r="323" ht="15.75" customHeight="1">
      <c r="A323" s="1" t="s">
        <v>3143</v>
      </c>
      <c r="B323" s="1" t="s">
        <v>3144</v>
      </c>
      <c r="C323" s="1" t="s">
        <v>3145</v>
      </c>
      <c r="D323" s="1">
        <v>2016.0</v>
      </c>
      <c r="E323" s="1" t="s">
        <v>1974</v>
      </c>
      <c r="F323" s="1" t="s">
        <v>1975</v>
      </c>
      <c r="H323" s="1" t="s">
        <v>3146</v>
      </c>
      <c r="I323" s="1">
        <v>2.0</v>
      </c>
      <c r="K323" s="4" t="s">
        <v>9332</v>
      </c>
    </row>
    <row r="324" ht="15.75" customHeight="1">
      <c r="A324" s="1" t="s">
        <v>3147</v>
      </c>
      <c r="B324" s="1" t="s">
        <v>3148</v>
      </c>
      <c r="C324" s="1" t="s">
        <v>3149</v>
      </c>
      <c r="D324" s="1">
        <v>2013.0</v>
      </c>
      <c r="E324" s="1" t="s">
        <v>1974</v>
      </c>
      <c r="F324" s="1" t="s">
        <v>1975</v>
      </c>
      <c r="G324" s="1" t="s">
        <v>3150</v>
      </c>
      <c r="H324" s="1" t="s">
        <v>3151</v>
      </c>
      <c r="I324" s="1">
        <v>4.0</v>
      </c>
      <c r="K324" s="4" t="s">
        <v>9332</v>
      </c>
    </row>
    <row r="325" ht="15.75" customHeight="1">
      <c r="A325" s="1" t="s">
        <v>581</v>
      </c>
      <c r="B325" s="1" t="s">
        <v>3152</v>
      </c>
      <c r="C325" s="1" t="s">
        <v>3153</v>
      </c>
      <c r="D325" s="1">
        <v>2020.0</v>
      </c>
      <c r="E325" s="1" t="s">
        <v>1974</v>
      </c>
      <c r="F325" s="1" t="s">
        <v>1975</v>
      </c>
      <c r="G325" s="1" t="s">
        <v>583</v>
      </c>
      <c r="H325" s="1" t="s">
        <v>3154</v>
      </c>
      <c r="I325" s="1" t="s">
        <v>3403</v>
      </c>
      <c r="K325" s="4" t="s">
        <v>9332</v>
      </c>
    </row>
    <row r="326" ht="15.75" customHeight="1">
      <c r="A326" s="1" t="s">
        <v>3155</v>
      </c>
      <c r="B326" s="1" t="s">
        <v>3156</v>
      </c>
      <c r="C326" s="1" t="s">
        <v>3157</v>
      </c>
      <c r="D326" s="1">
        <v>1995.0</v>
      </c>
      <c r="E326" s="1" t="s">
        <v>1974</v>
      </c>
      <c r="F326" s="1" t="s">
        <v>1975</v>
      </c>
      <c r="H326" s="1" t="s">
        <v>3158</v>
      </c>
      <c r="I326" s="1">
        <v>3.0</v>
      </c>
      <c r="K326" s="4" t="s">
        <v>9332</v>
      </c>
    </row>
    <row r="327" ht="15.75" customHeight="1">
      <c r="A327" s="1" t="s">
        <v>3159</v>
      </c>
      <c r="B327" s="1" t="s">
        <v>3160</v>
      </c>
      <c r="C327" s="1" t="s">
        <v>3161</v>
      </c>
      <c r="D327" s="1">
        <v>2014.0</v>
      </c>
      <c r="E327" s="1" t="s">
        <v>1974</v>
      </c>
      <c r="F327" s="1" t="s">
        <v>1975</v>
      </c>
      <c r="G327" s="1" t="s">
        <v>3162</v>
      </c>
      <c r="H327" s="1" t="s">
        <v>3163</v>
      </c>
      <c r="I327" s="1">
        <v>2.0</v>
      </c>
      <c r="K327" s="4" t="s">
        <v>9332</v>
      </c>
    </row>
    <row r="328" ht="15.75" customHeight="1">
      <c r="A328" s="1" t="s">
        <v>1114</v>
      </c>
      <c r="B328" s="1" t="s">
        <v>3164</v>
      </c>
      <c r="C328" s="1" t="s">
        <v>3165</v>
      </c>
      <c r="D328" s="1">
        <v>2015.0</v>
      </c>
      <c r="E328" s="1" t="s">
        <v>1974</v>
      </c>
      <c r="F328" s="1" t="s">
        <v>1975</v>
      </c>
      <c r="G328" s="1" t="s">
        <v>1117</v>
      </c>
      <c r="H328" s="1" t="s">
        <v>3166</v>
      </c>
      <c r="I328" s="1" t="s">
        <v>3403</v>
      </c>
      <c r="K328" s="4" t="s">
        <v>9332</v>
      </c>
    </row>
    <row r="329" ht="15.75" customHeight="1">
      <c r="A329" s="1" t="s">
        <v>3167</v>
      </c>
      <c r="B329" s="1" t="s">
        <v>3168</v>
      </c>
      <c r="C329" s="1" t="s">
        <v>3169</v>
      </c>
      <c r="D329" s="1">
        <v>1998.0</v>
      </c>
      <c r="E329" s="1" t="s">
        <v>1974</v>
      </c>
      <c r="F329" s="1" t="s">
        <v>1975</v>
      </c>
      <c r="G329" s="1" t="s">
        <v>3170</v>
      </c>
      <c r="H329" s="1" t="s">
        <v>3171</v>
      </c>
      <c r="I329" s="1">
        <v>1.0</v>
      </c>
      <c r="K329" s="4" t="s">
        <v>9332</v>
      </c>
    </row>
    <row r="330" ht="15.75" customHeight="1">
      <c r="A330" s="1" t="s">
        <v>3172</v>
      </c>
      <c r="B330" s="1" t="s">
        <v>3173</v>
      </c>
      <c r="C330" s="1" t="s">
        <v>2697</v>
      </c>
      <c r="D330" s="1">
        <v>2023.0</v>
      </c>
      <c r="E330" s="1" t="s">
        <v>1974</v>
      </c>
      <c r="F330" s="1" t="s">
        <v>1975</v>
      </c>
      <c r="G330" s="1" t="s">
        <v>3174</v>
      </c>
      <c r="H330" s="1" t="s">
        <v>3175</v>
      </c>
      <c r="I330" s="1" t="s">
        <v>3403</v>
      </c>
      <c r="K330" s="4" t="s">
        <v>9332</v>
      </c>
    </row>
    <row r="331" ht="15.75" customHeight="1">
      <c r="A331" s="1" t="s">
        <v>607</v>
      </c>
      <c r="B331" s="1" t="s">
        <v>3176</v>
      </c>
      <c r="C331" s="1" t="s">
        <v>3177</v>
      </c>
      <c r="D331" s="1">
        <v>2019.0</v>
      </c>
      <c r="E331" s="1" t="s">
        <v>1974</v>
      </c>
      <c r="F331" s="1" t="s">
        <v>1975</v>
      </c>
      <c r="G331" s="1" t="s">
        <v>610</v>
      </c>
      <c r="H331" s="1" t="s">
        <v>3178</v>
      </c>
      <c r="I331" s="1">
        <v>4.0</v>
      </c>
      <c r="K331" s="4" t="s">
        <v>9332</v>
      </c>
    </row>
    <row r="332" ht="15.75" customHeight="1">
      <c r="A332" s="1" t="s">
        <v>3179</v>
      </c>
      <c r="B332" s="1" t="s">
        <v>3180</v>
      </c>
      <c r="C332" s="1" t="s">
        <v>3153</v>
      </c>
      <c r="D332" s="1">
        <v>2020.0</v>
      </c>
      <c r="E332" s="1" t="s">
        <v>1974</v>
      </c>
      <c r="F332" s="1" t="s">
        <v>1975</v>
      </c>
      <c r="G332" s="1" t="s">
        <v>3181</v>
      </c>
      <c r="H332" s="1" t="s">
        <v>3182</v>
      </c>
      <c r="I332" s="1">
        <v>4.0</v>
      </c>
      <c r="K332" s="4" t="s">
        <v>9332</v>
      </c>
    </row>
    <row r="333" ht="15.75" customHeight="1">
      <c r="A333" s="1" t="s">
        <v>3183</v>
      </c>
      <c r="B333" s="1" t="s">
        <v>3184</v>
      </c>
      <c r="C333" s="1" t="s">
        <v>3185</v>
      </c>
      <c r="D333" s="1">
        <v>2016.0</v>
      </c>
      <c r="E333" s="1" t="s">
        <v>1974</v>
      </c>
      <c r="F333" s="1" t="s">
        <v>2101</v>
      </c>
      <c r="G333" s="1" t="s">
        <v>3186</v>
      </c>
      <c r="H333" s="1" t="s">
        <v>3187</v>
      </c>
      <c r="I333" s="1">
        <v>8.0</v>
      </c>
      <c r="K333" s="4" t="s">
        <v>9332</v>
      </c>
    </row>
    <row r="334" ht="15.75" customHeight="1">
      <c r="A334" s="1" t="s">
        <v>3188</v>
      </c>
      <c r="B334" s="1" t="s">
        <v>3189</v>
      </c>
      <c r="C334" s="1" t="s">
        <v>3190</v>
      </c>
      <c r="D334" s="1">
        <v>2023.0</v>
      </c>
      <c r="E334" s="1" t="s">
        <v>1974</v>
      </c>
      <c r="F334" s="1" t="s">
        <v>1975</v>
      </c>
      <c r="G334" s="1" t="s">
        <v>3191</v>
      </c>
      <c r="H334" s="1" t="s">
        <v>3192</v>
      </c>
      <c r="I334" s="1" t="s">
        <v>3403</v>
      </c>
      <c r="K334" s="4" t="s">
        <v>9332</v>
      </c>
    </row>
    <row r="335" ht="15.75" customHeight="1">
      <c r="A335" s="1" t="s">
        <v>3196</v>
      </c>
      <c r="B335" s="1" t="s">
        <v>3197</v>
      </c>
      <c r="C335" s="1" t="s">
        <v>3198</v>
      </c>
      <c r="D335" s="1">
        <v>2015.0</v>
      </c>
      <c r="E335" s="1" t="s">
        <v>1974</v>
      </c>
      <c r="F335" s="1" t="s">
        <v>1975</v>
      </c>
      <c r="G335" s="1" t="s">
        <v>3199</v>
      </c>
      <c r="H335" s="1" t="s">
        <v>3200</v>
      </c>
      <c r="I335" s="1">
        <v>1.0</v>
      </c>
      <c r="K335" s="4" t="s">
        <v>9332</v>
      </c>
    </row>
    <row r="336" ht="15.75" customHeight="1">
      <c r="A336" s="1" t="s">
        <v>1676</v>
      </c>
      <c r="B336" s="1" t="s">
        <v>3201</v>
      </c>
      <c r="C336" s="1" t="s">
        <v>3202</v>
      </c>
      <c r="D336" s="1">
        <v>2002.0</v>
      </c>
      <c r="E336" s="1" t="s">
        <v>1974</v>
      </c>
      <c r="F336" s="1" t="s">
        <v>1975</v>
      </c>
      <c r="G336" s="1" t="s">
        <v>1678</v>
      </c>
      <c r="H336" s="1" t="s">
        <v>3203</v>
      </c>
      <c r="I336" s="1">
        <v>1.0</v>
      </c>
      <c r="K336" s="4" t="s">
        <v>9332</v>
      </c>
    </row>
    <row r="337" ht="15.75" customHeight="1">
      <c r="A337" s="1" t="s">
        <v>3204</v>
      </c>
      <c r="B337" s="1" t="s">
        <v>3205</v>
      </c>
      <c r="C337" s="1" t="s">
        <v>3206</v>
      </c>
      <c r="D337" s="1">
        <v>2021.0</v>
      </c>
      <c r="E337" s="1" t="s">
        <v>1974</v>
      </c>
      <c r="F337" s="1" t="s">
        <v>2101</v>
      </c>
      <c r="G337" s="1" t="s">
        <v>3207</v>
      </c>
      <c r="H337" s="1" t="s">
        <v>3208</v>
      </c>
      <c r="I337" s="1" t="s">
        <v>3403</v>
      </c>
      <c r="K337" s="4" t="s">
        <v>9332</v>
      </c>
    </row>
    <row r="338" ht="15.75" customHeight="1">
      <c r="A338" s="1" t="s">
        <v>3209</v>
      </c>
      <c r="B338" s="1" t="s">
        <v>3210</v>
      </c>
      <c r="C338" s="1" t="s">
        <v>3211</v>
      </c>
      <c r="D338" s="1">
        <v>2024.0</v>
      </c>
      <c r="E338" s="1" t="s">
        <v>1974</v>
      </c>
      <c r="F338" s="1" t="s">
        <v>2101</v>
      </c>
      <c r="G338" s="1" t="s">
        <v>3212</v>
      </c>
      <c r="H338" s="1" t="s">
        <v>3213</v>
      </c>
      <c r="I338" s="1">
        <v>1.0</v>
      </c>
      <c r="K338" s="4" t="s">
        <v>9332</v>
      </c>
    </row>
    <row r="339" ht="15.75" customHeight="1">
      <c r="A339" s="1" t="s">
        <v>3214</v>
      </c>
      <c r="B339" s="1" t="s">
        <v>3215</v>
      </c>
      <c r="C339" s="1" t="s">
        <v>1930</v>
      </c>
      <c r="D339" s="1">
        <v>1984.0</v>
      </c>
      <c r="E339" s="1" t="s">
        <v>1974</v>
      </c>
      <c r="F339" s="1" t="s">
        <v>2101</v>
      </c>
      <c r="G339" s="1" t="s">
        <v>1931</v>
      </c>
      <c r="H339" s="1" t="s">
        <v>3216</v>
      </c>
      <c r="I339" s="1">
        <v>8.0</v>
      </c>
      <c r="K339" s="4" t="s">
        <v>9332</v>
      </c>
    </row>
    <row r="340" ht="15.75" customHeight="1">
      <c r="A340" s="1" t="s">
        <v>3217</v>
      </c>
      <c r="B340" s="1" t="s">
        <v>3218</v>
      </c>
      <c r="C340" s="1" t="s">
        <v>3219</v>
      </c>
      <c r="D340" s="1">
        <v>2023.0</v>
      </c>
      <c r="E340" s="1" t="s">
        <v>1974</v>
      </c>
      <c r="F340" s="1" t="s">
        <v>2101</v>
      </c>
      <c r="G340" s="1" t="s">
        <v>3220</v>
      </c>
      <c r="H340" s="1" t="s">
        <v>3221</v>
      </c>
      <c r="I340" s="1">
        <v>1.0</v>
      </c>
      <c r="K340" s="4" t="s">
        <v>9332</v>
      </c>
    </row>
    <row r="341" ht="15.75" customHeight="1">
      <c r="A341" s="1" t="s">
        <v>3222</v>
      </c>
      <c r="B341" s="1" t="s">
        <v>3223</v>
      </c>
      <c r="C341" s="1" t="s">
        <v>3224</v>
      </c>
      <c r="D341" s="1">
        <v>2019.0</v>
      </c>
      <c r="E341" s="1" t="s">
        <v>1974</v>
      </c>
      <c r="F341" s="1" t="s">
        <v>1975</v>
      </c>
      <c r="G341" s="1" t="s">
        <v>3225</v>
      </c>
      <c r="H341" s="1" t="s">
        <v>3226</v>
      </c>
      <c r="I341" s="1" t="s">
        <v>3403</v>
      </c>
      <c r="K341" s="4" t="s">
        <v>9332</v>
      </c>
    </row>
    <row r="342" ht="15.75" customHeight="1">
      <c r="A342" s="1" t="s">
        <v>37</v>
      </c>
      <c r="B342" s="1" t="s">
        <v>3227</v>
      </c>
      <c r="C342" s="1" t="s">
        <v>39</v>
      </c>
      <c r="D342" s="1">
        <v>2023.0</v>
      </c>
      <c r="E342" s="1" t="s">
        <v>1974</v>
      </c>
      <c r="F342" s="1" t="s">
        <v>2101</v>
      </c>
      <c r="G342" s="1" t="s">
        <v>40</v>
      </c>
      <c r="H342" s="1" t="s">
        <v>3228</v>
      </c>
      <c r="I342" s="1">
        <v>4.0</v>
      </c>
      <c r="K342" s="4" t="s">
        <v>9332</v>
      </c>
    </row>
    <row r="343" ht="15.75" customHeight="1">
      <c r="A343" s="1" t="s">
        <v>1797</v>
      </c>
      <c r="B343" s="1" t="s">
        <v>3229</v>
      </c>
      <c r="C343" s="1" t="s">
        <v>3230</v>
      </c>
      <c r="D343" s="1">
        <v>2001.0</v>
      </c>
      <c r="E343" s="1" t="s">
        <v>1974</v>
      </c>
      <c r="F343" s="1" t="s">
        <v>1975</v>
      </c>
      <c r="G343" s="1" t="s">
        <v>1800</v>
      </c>
      <c r="H343" s="1" t="s">
        <v>3231</v>
      </c>
      <c r="I343" s="1">
        <v>70.0</v>
      </c>
      <c r="K343" s="4" t="s">
        <v>9332</v>
      </c>
    </row>
    <row r="344" ht="15.75" customHeight="1">
      <c r="A344" s="1" t="s">
        <v>3232</v>
      </c>
      <c r="B344" s="1" t="s">
        <v>3233</v>
      </c>
      <c r="C344" s="1" t="s">
        <v>3234</v>
      </c>
      <c r="D344" s="1">
        <v>2024.0</v>
      </c>
      <c r="E344" s="1" t="s">
        <v>1974</v>
      </c>
      <c r="F344" s="1" t="s">
        <v>2101</v>
      </c>
      <c r="G344" s="1" t="s">
        <v>3235</v>
      </c>
      <c r="H344" s="1" t="s">
        <v>3236</v>
      </c>
      <c r="I344" s="1" t="s">
        <v>3403</v>
      </c>
      <c r="K344" s="4" t="s">
        <v>9332</v>
      </c>
    </row>
    <row r="345" ht="15.75" customHeight="1">
      <c r="A345" s="1" t="s">
        <v>3237</v>
      </c>
      <c r="B345" s="1" t="s">
        <v>3238</v>
      </c>
      <c r="C345" s="1" t="s">
        <v>3206</v>
      </c>
      <c r="D345" s="1">
        <v>2024.0</v>
      </c>
      <c r="E345" s="1" t="s">
        <v>1974</v>
      </c>
      <c r="F345" s="1" t="s">
        <v>2889</v>
      </c>
      <c r="G345" s="1" t="s">
        <v>3239</v>
      </c>
      <c r="H345" s="1" t="s">
        <v>3240</v>
      </c>
      <c r="I345" s="1" t="s">
        <v>3403</v>
      </c>
      <c r="K345" s="4" t="s">
        <v>9332</v>
      </c>
    </row>
    <row r="346" ht="15.75" customHeight="1">
      <c r="A346" s="1" t="s">
        <v>1182</v>
      </c>
      <c r="B346" s="1" t="s">
        <v>3241</v>
      </c>
      <c r="C346" s="1" t="s">
        <v>3242</v>
      </c>
      <c r="D346" s="1">
        <v>2017.0</v>
      </c>
      <c r="E346" s="1" t="s">
        <v>1974</v>
      </c>
      <c r="F346" s="1" t="s">
        <v>1975</v>
      </c>
      <c r="G346" s="1" t="s">
        <v>1185</v>
      </c>
      <c r="H346" s="1" t="s">
        <v>3243</v>
      </c>
      <c r="I346" s="1">
        <v>9.0</v>
      </c>
      <c r="K346" s="4" t="s">
        <v>9332</v>
      </c>
    </row>
    <row r="347" ht="15.75" customHeight="1">
      <c r="A347" s="1" t="s">
        <v>237</v>
      </c>
      <c r="B347" s="1" t="s">
        <v>3244</v>
      </c>
      <c r="C347" s="1" t="s">
        <v>239</v>
      </c>
      <c r="D347" s="1">
        <v>2024.0</v>
      </c>
      <c r="E347" s="1" t="s">
        <v>1974</v>
      </c>
      <c r="F347" s="1" t="s">
        <v>2101</v>
      </c>
      <c r="G347" s="1" t="s">
        <v>240</v>
      </c>
      <c r="H347" s="1" t="s">
        <v>3245</v>
      </c>
      <c r="I347" s="1" t="s">
        <v>3403</v>
      </c>
      <c r="K347" s="4" t="s">
        <v>9332</v>
      </c>
    </row>
    <row r="348" ht="15.75" customHeight="1">
      <c r="A348" s="1" t="s">
        <v>876</v>
      </c>
      <c r="B348" s="1" t="s">
        <v>3246</v>
      </c>
      <c r="C348" s="1" t="s">
        <v>3247</v>
      </c>
      <c r="D348" s="1">
        <v>2020.0</v>
      </c>
      <c r="E348" s="1" t="s">
        <v>1974</v>
      </c>
      <c r="F348" s="1" t="s">
        <v>1975</v>
      </c>
      <c r="G348" s="1" t="s">
        <v>879</v>
      </c>
      <c r="H348" s="1" t="s">
        <v>3248</v>
      </c>
      <c r="I348" s="1">
        <v>1.0</v>
      </c>
      <c r="K348" s="4" t="s">
        <v>9332</v>
      </c>
    </row>
    <row r="349" ht="15.75" customHeight="1">
      <c r="A349" s="1" t="s">
        <v>1146</v>
      </c>
      <c r="B349" s="1" t="s">
        <v>3249</v>
      </c>
      <c r="C349" s="1" t="s">
        <v>1148</v>
      </c>
      <c r="D349" s="1">
        <v>2015.0</v>
      </c>
      <c r="E349" s="1" t="s">
        <v>1974</v>
      </c>
      <c r="F349" s="1" t="s">
        <v>1975</v>
      </c>
      <c r="G349" s="1" t="s">
        <v>1149</v>
      </c>
      <c r="H349" s="1" t="s">
        <v>3250</v>
      </c>
      <c r="I349" s="1">
        <v>12.0</v>
      </c>
      <c r="K349" s="4" t="s">
        <v>9332</v>
      </c>
    </row>
    <row r="350" ht="15.75" customHeight="1">
      <c r="A350" s="1" t="s">
        <v>3251</v>
      </c>
      <c r="B350" s="1" t="s">
        <v>3252</v>
      </c>
      <c r="C350" s="1" t="s">
        <v>3253</v>
      </c>
      <c r="D350" s="1">
        <v>2013.0</v>
      </c>
      <c r="E350" s="1" t="s">
        <v>1974</v>
      </c>
      <c r="F350" s="1" t="s">
        <v>1975</v>
      </c>
      <c r="G350" s="1" t="s">
        <v>3254</v>
      </c>
      <c r="H350" s="1" t="s">
        <v>3255</v>
      </c>
      <c r="I350" s="1">
        <v>6.0</v>
      </c>
      <c r="K350" s="4" t="s">
        <v>9332</v>
      </c>
    </row>
    <row r="351" ht="15.75" customHeight="1">
      <c r="A351" s="1" t="s">
        <v>3256</v>
      </c>
      <c r="B351" s="1" t="s">
        <v>3257</v>
      </c>
      <c r="C351" s="1" t="s">
        <v>3258</v>
      </c>
      <c r="D351" s="1">
        <v>2021.0</v>
      </c>
      <c r="E351" s="1" t="s">
        <v>1974</v>
      </c>
      <c r="F351" s="1" t="s">
        <v>1975</v>
      </c>
      <c r="G351" s="1" t="s">
        <v>3259</v>
      </c>
      <c r="H351" s="1" t="s">
        <v>3260</v>
      </c>
      <c r="I351" s="1" t="s">
        <v>3403</v>
      </c>
      <c r="K351" s="4" t="s">
        <v>9332</v>
      </c>
    </row>
    <row r="352" ht="15.75" customHeight="1">
      <c r="A352" s="1" t="s">
        <v>3261</v>
      </c>
      <c r="B352" s="1" t="s">
        <v>3262</v>
      </c>
      <c r="C352" s="1" t="s">
        <v>3263</v>
      </c>
      <c r="D352" s="1">
        <v>2007.0</v>
      </c>
      <c r="E352" s="1" t="s">
        <v>1974</v>
      </c>
      <c r="F352" s="1" t="s">
        <v>1975</v>
      </c>
      <c r="G352" s="1" t="s">
        <v>3264</v>
      </c>
      <c r="H352" s="1" t="s">
        <v>3265</v>
      </c>
      <c r="I352" s="1">
        <v>23.0</v>
      </c>
      <c r="K352" s="4" t="s">
        <v>9332</v>
      </c>
    </row>
    <row r="353" ht="15.75" customHeight="1">
      <c r="A353" s="1" t="s">
        <v>3266</v>
      </c>
      <c r="B353" s="1" t="s">
        <v>3267</v>
      </c>
      <c r="C353" s="1" t="s">
        <v>3268</v>
      </c>
      <c r="D353" s="1">
        <v>2015.0</v>
      </c>
      <c r="E353" s="1" t="s">
        <v>1974</v>
      </c>
      <c r="F353" s="1" t="s">
        <v>1975</v>
      </c>
      <c r="G353" s="1" t="s">
        <v>3269</v>
      </c>
      <c r="H353" s="1" t="s">
        <v>3270</v>
      </c>
      <c r="I353" s="1">
        <v>1.0</v>
      </c>
      <c r="K353" s="4" t="s">
        <v>9332</v>
      </c>
    </row>
    <row r="354" ht="15.75" customHeight="1">
      <c r="A354" s="1" t="s">
        <v>3271</v>
      </c>
      <c r="B354" s="1" t="s">
        <v>3272</v>
      </c>
      <c r="C354" s="1" t="s">
        <v>3273</v>
      </c>
      <c r="D354" s="1">
        <v>2008.0</v>
      </c>
      <c r="E354" s="1" t="s">
        <v>1974</v>
      </c>
      <c r="F354" s="1" t="s">
        <v>1975</v>
      </c>
      <c r="G354" s="1" t="s">
        <v>3274</v>
      </c>
      <c r="H354" s="1" t="s">
        <v>3275</v>
      </c>
      <c r="I354" s="1" t="s">
        <v>3403</v>
      </c>
      <c r="K354" s="4" t="s">
        <v>9332</v>
      </c>
    </row>
    <row r="355" ht="15.75" customHeight="1">
      <c r="A355" s="1" t="s">
        <v>3276</v>
      </c>
      <c r="B355" s="1" t="s">
        <v>3277</v>
      </c>
      <c r="C355" s="1" t="s">
        <v>2083</v>
      </c>
      <c r="D355" s="1">
        <v>2015.0</v>
      </c>
      <c r="E355" s="1" t="s">
        <v>1974</v>
      </c>
      <c r="F355" s="1" t="s">
        <v>1975</v>
      </c>
      <c r="G355" s="1" t="s">
        <v>1320</v>
      </c>
      <c r="H355" s="1" t="s">
        <v>3278</v>
      </c>
      <c r="I355" s="1">
        <v>18.0</v>
      </c>
      <c r="K355" s="4" t="s">
        <v>9332</v>
      </c>
    </row>
    <row r="356" ht="15.75" customHeight="1">
      <c r="A356" s="1" t="s">
        <v>3279</v>
      </c>
      <c r="B356" s="1" t="s">
        <v>3280</v>
      </c>
      <c r="C356" s="1" t="s">
        <v>3281</v>
      </c>
      <c r="D356" s="1">
        <v>2021.0</v>
      </c>
      <c r="E356" s="1" t="s">
        <v>1974</v>
      </c>
      <c r="F356" s="1" t="s">
        <v>2101</v>
      </c>
      <c r="G356" s="1" t="s">
        <v>3282</v>
      </c>
      <c r="H356" s="1" t="s">
        <v>3283</v>
      </c>
      <c r="I356" s="1">
        <v>15.0</v>
      </c>
      <c r="K356" s="4" t="s">
        <v>9332</v>
      </c>
    </row>
    <row r="357" ht="15.75" customHeight="1">
      <c r="A357" s="1" t="s">
        <v>1142</v>
      </c>
      <c r="B357" s="1" t="s">
        <v>3284</v>
      </c>
      <c r="C357" s="1" t="s">
        <v>129</v>
      </c>
      <c r="D357" s="1">
        <v>2016.0</v>
      </c>
      <c r="E357" s="1" t="s">
        <v>1974</v>
      </c>
      <c r="F357" s="1" t="s">
        <v>2101</v>
      </c>
      <c r="G357" s="1" t="s">
        <v>1144</v>
      </c>
      <c r="H357" s="1" t="s">
        <v>3285</v>
      </c>
      <c r="I357" s="1">
        <v>4.0</v>
      </c>
      <c r="K357" s="4" t="s">
        <v>9332</v>
      </c>
    </row>
    <row r="358" ht="15.75" customHeight="1">
      <c r="A358" s="1" t="s">
        <v>3286</v>
      </c>
      <c r="B358" s="1" t="s">
        <v>3287</v>
      </c>
      <c r="C358" s="1" t="s">
        <v>3288</v>
      </c>
      <c r="D358" s="1">
        <v>2023.0</v>
      </c>
      <c r="E358" s="1" t="s">
        <v>1974</v>
      </c>
      <c r="F358" s="1" t="s">
        <v>1975</v>
      </c>
      <c r="G358" s="1" t="s">
        <v>3289</v>
      </c>
      <c r="H358" s="1" t="s">
        <v>3290</v>
      </c>
      <c r="I358" s="1">
        <v>3.0</v>
      </c>
      <c r="K358" s="4" t="s">
        <v>9332</v>
      </c>
    </row>
    <row r="359" ht="15.75" customHeight="1">
      <c r="A359" s="1" t="s">
        <v>3291</v>
      </c>
      <c r="B359" s="1" t="s">
        <v>3292</v>
      </c>
      <c r="C359" s="1" t="s">
        <v>3293</v>
      </c>
      <c r="D359" s="1">
        <v>2007.0</v>
      </c>
      <c r="E359" s="1" t="s">
        <v>1974</v>
      </c>
      <c r="F359" s="1" t="s">
        <v>1975</v>
      </c>
      <c r="G359" s="1" t="s">
        <v>3294</v>
      </c>
      <c r="H359" s="1" t="s">
        <v>3295</v>
      </c>
      <c r="I359" s="1">
        <v>1.0</v>
      </c>
      <c r="K359" s="4" t="s">
        <v>9332</v>
      </c>
    </row>
    <row r="360" ht="15.75" customHeight="1">
      <c r="A360" s="1" t="s">
        <v>3296</v>
      </c>
      <c r="B360" s="1" t="s">
        <v>3297</v>
      </c>
      <c r="C360" s="1" t="s">
        <v>3298</v>
      </c>
      <c r="D360" s="1">
        <v>2017.0</v>
      </c>
      <c r="E360" s="1" t="s">
        <v>1974</v>
      </c>
      <c r="F360" s="1" t="s">
        <v>1975</v>
      </c>
      <c r="G360" s="1" t="s">
        <v>3299</v>
      </c>
      <c r="H360" s="1" t="s">
        <v>3300</v>
      </c>
      <c r="I360" s="1" t="s">
        <v>3403</v>
      </c>
      <c r="K360" s="4" t="s">
        <v>9332</v>
      </c>
    </row>
    <row r="361" ht="15.75" customHeight="1">
      <c r="A361" s="1" t="s">
        <v>3301</v>
      </c>
      <c r="B361" s="1" t="s">
        <v>3302</v>
      </c>
      <c r="C361" s="1" t="s">
        <v>3303</v>
      </c>
      <c r="D361" s="1">
        <v>2008.0</v>
      </c>
      <c r="E361" s="1" t="s">
        <v>1974</v>
      </c>
      <c r="F361" s="1" t="s">
        <v>2101</v>
      </c>
      <c r="G361" s="1" t="s">
        <v>3304</v>
      </c>
      <c r="H361" s="1" t="s">
        <v>3305</v>
      </c>
      <c r="I361" s="1">
        <v>35.0</v>
      </c>
      <c r="K361" s="4" t="s">
        <v>9332</v>
      </c>
    </row>
    <row r="362" ht="15.75" customHeight="1">
      <c r="A362" s="1" t="s">
        <v>3306</v>
      </c>
      <c r="B362" s="1" t="s">
        <v>3307</v>
      </c>
      <c r="C362" s="1" t="s">
        <v>3308</v>
      </c>
      <c r="D362" s="1">
        <v>2024.0</v>
      </c>
      <c r="E362" s="1" t="s">
        <v>1974</v>
      </c>
      <c r="F362" s="1" t="s">
        <v>2101</v>
      </c>
      <c r="G362" s="1" t="s">
        <v>3309</v>
      </c>
      <c r="H362" s="1" t="s">
        <v>3310</v>
      </c>
      <c r="I362" s="1" t="s">
        <v>3403</v>
      </c>
      <c r="K362" s="4" t="s">
        <v>9332</v>
      </c>
    </row>
    <row r="363" ht="15.75" customHeight="1">
      <c r="A363" s="1" t="s">
        <v>89</v>
      </c>
      <c r="B363" s="1" t="s">
        <v>3311</v>
      </c>
      <c r="C363" s="1" t="s">
        <v>91</v>
      </c>
      <c r="D363" s="1">
        <v>2024.0</v>
      </c>
      <c r="E363" s="1" t="s">
        <v>1974</v>
      </c>
      <c r="F363" s="1" t="s">
        <v>2889</v>
      </c>
      <c r="G363" s="1" t="s">
        <v>92</v>
      </c>
      <c r="H363" s="1" t="s">
        <v>3312</v>
      </c>
      <c r="I363" s="1" t="s">
        <v>3403</v>
      </c>
      <c r="K363" s="4" t="s">
        <v>9332</v>
      </c>
    </row>
    <row r="364" ht="15.75" customHeight="1">
      <c r="A364" s="1" t="s">
        <v>3313</v>
      </c>
      <c r="B364" s="1" t="s">
        <v>3314</v>
      </c>
      <c r="C364" s="1" t="s">
        <v>3315</v>
      </c>
      <c r="D364" s="1">
        <v>2010.0</v>
      </c>
      <c r="E364" s="1" t="s">
        <v>1974</v>
      </c>
      <c r="F364" s="1" t="s">
        <v>1975</v>
      </c>
      <c r="G364" s="1" t="s">
        <v>3316</v>
      </c>
      <c r="H364" s="1" t="s">
        <v>3317</v>
      </c>
      <c r="I364" s="1">
        <v>20.0</v>
      </c>
      <c r="K364" s="4" t="s">
        <v>9332</v>
      </c>
    </row>
    <row r="365" ht="15.75" customHeight="1">
      <c r="A365" s="1" t="s">
        <v>3318</v>
      </c>
      <c r="B365" s="1" t="s">
        <v>3319</v>
      </c>
      <c r="C365" s="1" t="s">
        <v>3320</v>
      </c>
      <c r="D365" s="1">
        <v>2013.0</v>
      </c>
      <c r="E365" s="1" t="s">
        <v>1974</v>
      </c>
      <c r="F365" s="1" t="s">
        <v>1975</v>
      </c>
      <c r="G365" s="1" t="s">
        <v>1355</v>
      </c>
      <c r="H365" s="1" t="s">
        <v>3321</v>
      </c>
      <c r="I365" s="1">
        <v>4.0</v>
      </c>
      <c r="K365" s="4" t="s">
        <v>9332</v>
      </c>
    </row>
    <row r="366" ht="15.75" customHeight="1">
      <c r="A366" s="1" t="s">
        <v>3322</v>
      </c>
      <c r="B366" s="1" t="s">
        <v>3323</v>
      </c>
      <c r="C366" s="1" t="s">
        <v>3324</v>
      </c>
      <c r="D366" s="1">
        <v>2001.0</v>
      </c>
      <c r="E366" s="1" t="s">
        <v>1974</v>
      </c>
      <c r="F366" s="1" t="s">
        <v>1975</v>
      </c>
      <c r="G366" s="1" t="s">
        <v>3325</v>
      </c>
      <c r="H366" s="1" t="s">
        <v>3326</v>
      </c>
      <c r="I366" s="1">
        <v>2.0</v>
      </c>
      <c r="K366" s="4" t="s">
        <v>9332</v>
      </c>
    </row>
    <row r="367" ht="15.75" customHeight="1">
      <c r="A367" s="1" t="s">
        <v>3327</v>
      </c>
      <c r="B367" s="1" t="s">
        <v>3328</v>
      </c>
      <c r="C367" s="1" t="s">
        <v>3329</v>
      </c>
      <c r="D367" s="1">
        <v>2019.0</v>
      </c>
      <c r="E367" s="1" t="s">
        <v>1974</v>
      </c>
      <c r="F367" s="1" t="s">
        <v>2101</v>
      </c>
      <c r="G367" s="1" t="s">
        <v>3330</v>
      </c>
      <c r="H367" s="1" t="s">
        <v>3331</v>
      </c>
      <c r="I367" s="1">
        <v>7.0</v>
      </c>
      <c r="K367" s="4" t="s">
        <v>9332</v>
      </c>
    </row>
    <row r="368" ht="15.75" customHeight="1">
      <c r="A368" s="1" t="s">
        <v>1132</v>
      </c>
      <c r="B368" s="1" t="s">
        <v>3332</v>
      </c>
      <c r="C368" s="1" t="s">
        <v>3333</v>
      </c>
      <c r="D368" s="1">
        <v>2013.0</v>
      </c>
      <c r="E368" s="1" t="s">
        <v>1974</v>
      </c>
      <c r="F368" s="1" t="s">
        <v>1975</v>
      </c>
      <c r="G368" s="1" t="s">
        <v>1135</v>
      </c>
      <c r="H368" s="1" t="s">
        <v>3334</v>
      </c>
      <c r="I368" s="1">
        <v>7.0</v>
      </c>
      <c r="K368" s="4" t="s">
        <v>9332</v>
      </c>
    </row>
    <row r="369" ht="15.75" customHeight="1">
      <c r="A369" s="1" t="s">
        <v>3335</v>
      </c>
      <c r="B369" s="1" t="s">
        <v>3336</v>
      </c>
      <c r="C369" s="1" t="s">
        <v>3337</v>
      </c>
      <c r="D369" s="1">
        <v>2004.0</v>
      </c>
      <c r="E369" s="1" t="s">
        <v>1974</v>
      </c>
      <c r="F369" s="1" t="s">
        <v>1975</v>
      </c>
      <c r="G369" s="1" t="s">
        <v>3338</v>
      </c>
      <c r="H369" s="1" t="s">
        <v>3339</v>
      </c>
      <c r="I369" s="1">
        <v>21.0</v>
      </c>
      <c r="K369" s="4" t="s">
        <v>9332</v>
      </c>
    </row>
    <row r="370" ht="15.75" customHeight="1">
      <c r="A370" s="1" t="s">
        <v>3340</v>
      </c>
      <c r="B370" s="1" t="s">
        <v>3341</v>
      </c>
      <c r="C370" s="1" t="s">
        <v>3342</v>
      </c>
      <c r="D370" s="1">
        <v>1998.0</v>
      </c>
      <c r="E370" s="1" t="s">
        <v>1974</v>
      </c>
      <c r="F370" s="1" t="s">
        <v>1975</v>
      </c>
      <c r="G370" s="1" t="s">
        <v>3343</v>
      </c>
      <c r="H370" s="1" t="s">
        <v>3344</v>
      </c>
      <c r="I370" s="1">
        <v>5.0</v>
      </c>
      <c r="K370" s="4" t="s">
        <v>9332</v>
      </c>
    </row>
    <row r="371" ht="15.75" customHeight="1">
      <c r="A371" s="1" t="s">
        <v>1376</v>
      </c>
      <c r="B371" s="1" t="s">
        <v>3348</v>
      </c>
      <c r="C371" s="1" t="s">
        <v>3349</v>
      </c>
      <c r="D371" s="1">
        <v>2013.0</v>
      </c>
      <c r="E371" s="1" t="s">
        <v>1974</v>
      </c>
      <c r="F371" s="1" t="s">
        <v>1975</v>
      </c>
      <c r="G371" s="1" t="s">
        <v>1379</v>
      </c>
      <c r="H371" s="1" t="s">
        <v>3350</v>
      </c>
      <c r="I371" s="1" t="s">
        <v>3403</v>
      </c>
      <c r="K371" s="4" t="s">
        <v>9332</v>
      </c>
    </row>
    <row r="372" ht="15.75" customHeight="1">
      <c r="A372" s="1" t="s">
        <v>3351</v>
      </c>
      <c r="B372" s="1" t="s">
        <v>3352</v>
      </c>
      <c r="C372" s="1" t="s">
        <v>3329</v>
      </c>
      <c r="D372" s="1">
        <v>2013.0</v>
      </c>
      <c r="E372" s="1" t="s">
        <v>1974</v>
      </c>
      <c r="F372" s="1" t="s">
        <v>2101</v>
      </c>
      <c r="G372" s="1" t="s">
        <v>3353</v>
      </c>
      <c r="H372" s="1" t="s">
        <v>3354</v>
      </c>
      <c r="I372" s="1">
        <v>6.0</v>
      </c>
      <c r="K372" s="4" t="s">
        <v>9332</v>
      </c>
    </row>
    <row r="373" ht="15.75" customHeight="1">
      <c r="A373" s="1" t="s">
        <v>3355</v>
      </c>
      <c r="B373" s="1" t="s">
        <v>3356</v>
      </c>
      <c r="C373" s="1" t="s">
        <v>39</v>
      </c>
      <c r="D373" s="1">
        <v>2012.0</v>
      </c>
      <c r="E373" s="1" t="s">
        <v>1974</v>
      </c>
      <c r="F373" s="1" t="s">
        <v>2101</v>
      </c>
      <c r="G373" s="1" t="s">
        <v>3357</v>
      </c>
      <c r="H373" s="1" t="s">
        <v>3358</v>
      </c>
      <c r="I373" s="1">
        <v>11.0</v>
      </c>
      <c r="K373" s="4" t="s">
        <v>9332</v>
      </c>
    </row>
    <row r="374" ht="15.75" customHeight="1">
      <c r="A374" s="1" t="s">
        <v>3359</v>
      </c>
      <c r="B374" s="1" t="s">
        <v>3360</v>
      </c>
      <c r="C374" s="1" t="s">
        <v>3042</v>
      </c>
      <c r="D374" s="1">
        <v>2023.0</v>
      </c>
      <c r="E374" s="1" t="s">
        <v>1974</v>
      </c>
      <c r="F374" s="1" t="s">
        <v>2889</v>
      </c>
      <c r="G374" s="1" t="s">
        <v>3361</v>
      </c>
      <c r="H374" s="1" t="s">
        <v>3362</v>
      </c>
      <c r="I374" s="1">
        <v>11.0</v>
      </c>
      <c r="K374" s="4" t="s">
        <v>9332</v>
      </c>
    </row>
    <row r="375" ht="15.75" customHeight="1">
      <c r="A375" s="1" t="s">
        <v>3363</v>
      </c>
      <c r="B375" s="1" t="s">
        <v>3364</v>
      </c>
      <c r="C375" s="1" t="s">
        <v>3365</v>
      </c>
      <c r="D375" s="1">
        <v>2010.0</v>
      </c>
      <c r="E375" s="1" t="s">
        <v>1974</v>
      </c>
      <c r="F375" s="1" t="s">
        <v>1975</v>
      </c>
      <c r="G375" s="1" t="s">
        <v>3366</v>
      </c>
      <c r="H375" s="1" t="s">
        <v>3367</v>
      </c>
      <c r="I375" s="1">
        <v>3.0</v>
      </c>
      <c r="K375" s="4" t="s">
        <v>9332</v>
      </c>
    </row>
    <row r="376" ht="15.75" customHeight="1">
      <c r="A376" s="1" t="s">
        <v>3368</v>
      </c>
      <c r="B376" s="1" t="s">
        <v>3369</v>
      </c>
      <c r="C376" s="1" t="s">
        <v>3370</v>
      </c>
      <c r="D376" s="1">
        <v>2007.0</v>
      </c>
      <c r="E376" s="1" t="s">
        <v>1974</v>
      </c>
      <c r="F376" s="1" t="s">
        <v>1975</v>
      </c>
      <c r="G376" s="1" t="s">
        <v>3371</v>
      </c>
      <c r="H376" s="1" t="s">
        <v>3372</v>
      </c>
      <c r="I376" s="1">
        <v>96.0</v>
      </c>
      <c r="K376" s="4" t="s">
        <v>9332</v>
      </c>
    </row>
    <row r="377" ht="15.75" customHeight="1">
      <c r="A377" s="1" t="s">
        <v>3373</v>
      </c>
      <c r="B377" s="1" t="s">
        <v>3374</v>
      </c>
      <c r="C377" s="1" t="s">
        <v>3375</v>
      </c>
      <c r="D377" s="1">
        <v>2019.0</v>
      </c>
      <c r="E377" s="1" t="s">
        <v>1974</v>
      </c>
      <c r="F377" s="1" t="s">
        <v>1975</v>
      </c>
      <c r="G377" s="1" t="s">
        <v>620</v>
      </c>
      <c r="H377" s="1" t="s">
        <v>3376</v>
      </c>
      <c r="I377" s="1" t="s">
        <v>3403</v>
      </c>
      <c r="K377" s="4" t="s">
        <v>9332</v>
      </c>
    </row>
    <row r="378" ht="15.75" customHeight="1">
      <c r="A378" s="1" t="s">
        <v>3377</v>
      </c>
      <c r="B378" s="1" t="s">
        <v>3378</v>
      </c>
      <c r="C378" s="1" t="s">
        <v>3379</v>
      </c>
      <c r="D378" s="1">
        <v>2019.0</v>
      </c>
      <c r="E378" s="1" t="s">
        <v>1974</v>
      </c>
      <c r="F378" s="1" t="s">
        <v>1975</v>
      </c>
      <c r="G378" s="1" t="s">
        <v>763</v>
      </c>
      <c r="H378" s="1" t="s">
        <v>3380</v>
      </c>
      <c r="I378" s="1">
        <v>6.0</v>
      </c>
      <c r="K378" s="4" t="s">
        <v>9332</v>
      </c>
    </row>
    <row r="379" ht="15.75" customHeight="1">
      <c r="A379" s="1" t="s">
        <v>1827</v>
      </c>
      <c r="B379" s="1" t="s">
        <v>3381</v>
      </c>
      <c r="C379" s="1" t="s">
        <v>3382</v>
      </c>
      <c r="D379" s="1">
        <v>2009.0</v>
      </c>
      <c r="E379" s="1" t="s">
        <v>1974</v>
      </c>
      <c r="F379" s="1" t="s">
        <v>1975</v>
      </c>
      <c r="G379" s="1" t="s">
        <v>1830</v>
      </c>
      <c r="H379" s="1" t="s">
        <v>3383</v>
      </c>
      <c r="I379" s="1">
        <v>5.0</v>
      </c>
      <c r="K379" s="4" t="s">
        <v>9332</v>
      </c>
    </row>
    <row r="380" ht="15.75" customHeight="1">
      <c r="A380" s="1" t="s">
        <v>1730</v>
      </c>
      <c r="B380" s="1" t="s">
        <v>3384</v>
      </c>
      <c r="C380" s="1" t="s">
        <v>91</v>
      </c>
      <c r="D380" s="1">
        <v>2002.0</v>
      </c>
      <c r="E380" s="1" t="s">
        <v>1974</v>
      </c>
      <c r="F380" s="1" t="s">
        <v>2101</v>
      </c>
      <c r="G380" s="1" t="s">
        <v>1732</v>
      </c>
      <c r="H380" s="1" t="s">
        <v>3385</v>
      </c>
      <c r="I380" s="1">
        <v>1.0</v>
      </c>
      <c r="K380" s="4" t="s">
        <v>9332</v>
      </c>
    </row>
    <row r="381" ht="15.75" customHeight="1">
      <c r="A381" s="1" t="s">
        <v>3386</v>
      </c>
      <c r="B381" s="1" t="s">
        <v>3387</v>
      </c>
      <c r="C381" s="1" t="s">
        <v>3388</v>
      </c>
      <c r="D381" s="1">
        <v>2006.0</v>
      </c>
      <c r="E381" s="1" t="s">
        <v>1974</v>
      </c>
      <c r="F381" s="1" t="s">
        <v>2287</v>
      </c>
      <c r="G381" s="1" t="s">
        <v>3389</v>
      </c>
      <c r="H381" s="1" t="s">
        <v>3390</v>
      </c>
      <c r="I381" s="1">
        <v>2.0</v>
      </c>
      <c r="K381" s="4" t="s">
        <v>9332</v>
      </c>
    </row>
    <row r="382" ht="15.75" customHeight="1">
      <c r="A382" s="1" t="s">
        <v>3391</v>
      </c>
      <c r="C382" s="1" t="s">
        <v>3392</v>
      </c>
      <c r="D382" s="1">
        <v>2008.0</v>
      </c>
      <c r="E382" s="1" t="s">
        <v>1974</v>
      </c>
      <c r="F382" s="1" t="s">
        <v>1975</v>
      </c>
      <c r="G382" s="1" t="s">
        <v>3393</v>
      </c>
      <c r="H382" s="1" t="s">
        <v>3394</v>
      </c>
      <c r="I382" s="1" t="s">
        <v>3403</v>
      </c>
      <c r="K382" s="4" t="s">
        <v>9332</v>
      </c>
    </row>
    <row r="383" ht="15.75" customHeight="1">
      <c r="A383" s="1" t="s">
        <v>16</v>
      </c>
      <c r="B383" s="1" t="s">
        <v>17</v>
      </c>
      <c r="C383" s="1" t="s">
        <v>18</v>
      </c>
      <c r="D383" s="1">
        <v>2024.0</v>
      </c>
      <c r="E383" s="1" t="s">
        <v>14</v>
      </c>
      <c r="F383" s="1" t="s">
        <v>21</v>
      </c>
      <c r="G383" s="1" t="s">
        <v>19</v>
      </c>
      <c r="H383" s="1" t="s">
        <v>20</v>
      </c>
      <c r="I383" s="1">
        <v>0.0</v>
      </c>
      <c r="K383" s="4" t="s">
        <v>9332</v>
      </c>
    </row>
    <row r="384" ht="15.75" customHeight="1">
      <c r="A384" s="1" t="s">
        <v>22</v>
      </c>
      <c r="B384" s="1" t="s">
        <v>23</v>
      </c>
      <c r="C384" s="1" t="s">
        <v>24</v>
      </c>
      <c r="D384" s="1">
        <v>2022.0</v>
      </c>
      <c r="E384" s="1" t="s">
        <v>14</v>
      </c>
      <c r="F384" s="1" t="s">
        <v>21</v>
      </c>
      <c r="G384" s="1" t="s">
        <v>25</v>
      </c>
      <c r="H384" s="1" t="s">
        <v>26</v>
      </c>
      <c r="I384" s="1">
        <v>1.0</v>
      </c>
      <c r="K384" s="4" t="s">
        <v>9332</v>
      </c>
    </row>
    <row r="385" ht="15.75" customHeight="1">
      <c r="A385" s="1" t="s">
        <v>27</v>
      </c>
      <c r="B385" s="1" t="s">
        <v>28</v>
      </c>
      <c r="C385" s="1" t="s">
        <v>29</v>
      </c>
      <c r="D385" s="1">
        <v>2023.0</v>
      </c>
      <c r="E385" s="1" t="s">
        <v>14</v>
      </c>
      <c r="F385" s="1" t="s">
        <v>21</v>
      </c>
      <c r="G385" s="1" t="s">
        <v>30</v>
      </c>
      <c r="H385" s="1" t="s">
        <v>31</v>
      </c>
      <c r="I385" s="1">
        <v>1.0</v>
      </c>
      <c r="K385" s="4" t="s">
        <v>9332</v>
      </c>
    </row>
    <row r="386" ht="15.75" customHeight="1">
      <c r="A386" s="1" t="s">
        <v>32</v>
      </c>
      <c r="B386" s="1" t="s">
        <v>33</v>
      </c>
      <c r="C386" s="1" t="s">
        <v>34</v>
      </c>
      <c r="D386" s="1">
        <v>2024.0</v>
      </c>
      <c r="E386" s="1" t="s">
        <v>14</v>
      </c>
      <c r="F386" s="1" t="s">
        <v>15</v>
      </c>
      <c r="G386" s="1" t="s">
        <v>35</v>
      </c>
      <c r="H386" s="1" t="s">
        <v>36</v>
      </c>
      <c r="I386" s="1">
        <v>0.0</v>
      </c>
      <c r="K386" s="4" t="s">
        <v>9332</v>
      </c>
    </row>
    <row r="387" ht="15.75" customHeight="1">
      <c r="A387" s="1" t="s">
        <v>42</v>
      </c>
      <c r="B387" s="1" t="s">
        <v>43</v>
      </c>
      <c r="C387" s="1" t="s">
        <v>44</v>
      </c>
      <c r="D387" s="1">
        <v>2023.0</v>
      </c>
      <c r="E387" s="1" t="s">
        <v>14</v>
      </c>
      <c r="F387" s="1" t="s">
        <v>15</v>
      </c>
      <c r="H387" s="1" t="s">
        <v>45</v>
      </c>
      <c r="I387" s="1">
        <v>0.0</v>
      </c>
      <c r="K387" s="4" t="s">
        <v>9332</v>
      </c>
    </row>
    <row r="388" ht="15.75" customHeight="1">
      <c r="A388" s="1" t="s">
        <v>46</v>
      </c>
      <c r="B388" s="1" t="s">
        <v>47</v>
      </c>
      <c r="C388" s="1" t="s">
        <v>48</v>
      </c>
      <c r="D388" s="1">
        <v>2024.0</v>
      </c>
      <c r="E388" s="1" t="s">
        <v>14</v>
      </c>
      <c r="F388" s="1" t="s">
        <v>21</v>
      </c>
      <c r="G388" s="1" t="s">
        <v>49</v>
      </c>
      <c r="H388" s="1" t="s">
        <v>50</v>
      </c>
      <c r="I388" s="1">
        <v>0.0</v>
      </c>
      <c r="K388" s="4" t="s">
        <v>9332</v>
      </c>
    </row>
    <row r="389" ht="15.75" customHeight="1">
      <c r="A389" s="1" t="s">
        <v>56</v>
      </c>
      <c r="B389" s="1" t="s">
        <v>57</v>
      </c>
      <c r="C389" s="1" t="s">
        <v>58</v>
      </c>
      <c r="D389" s="1">
        <v>2024.0</v>
      </c>
      <c r="E389" s="1" t="s">
        <v>14</v>
      </c>
      <c r="F389" s="1" t="s">
        <v>21</v>
      </c>
      <c r="G389" s="1" t="s">
        <v>59</v>
      </c>
      <c r="H389" s="1" t="s">
        <v>60</v>
      </c>
      <c r="I389" s="1">
        <v>0.0</v>
      </c>
      <c r="K389" s="4" t="s">
        <v>9332</v>
      </c>
    </row>
    <row r="390" ht="15.75" customHeight="1">
      <c r="A390" s="1" t="s">
        <v>61</v>
      </c>
      <c r="B390" s="1" t="s">
        <v>62</v>
      </c>
      <c r="C390" s="1" t="s">
        <v>63</v>
      </c>
      <c r="D390" s="1">
        <v>2023.0</v>
      </c>
      <c r="E390" s="1" t="s">
        <v>14</v>
      </c>
      <c r="F390" s="1" t="s">
        <v>15</v>
      </c>
      <c r="G390" s="1" t="s">
        <v>64</v>
      </c>
      <c r="H390" s="1" t="s">
        <v>65</v>
      </c>
      <c r="I390" s="1">
        <v>1.0</v>
      </c>
      <c r="K390" s="4" t="s">
        <v>9332</v>
      </c>
    </row>
    <row r="391" ht="15.75" customHeight="1">
      <c r="A391" s="1" t="s">
        <v>85</v>
      </c>
      <c r="B391" s="1" t="s">
        <v>86</v>
      </c>
      <c r="C391" s="1" t="s">
        <v>63</v>
      </c>
      <c r="D391" s="1">
        <v>2023.0</v>
      </c>
      <c r="E391" s="1" t="s">
        <v>14</v>
      </c>
      <c r="F391" s="1" t="s">
        <v>15</v>
      </c>
      <c r="G391" s="1" t="s">
        <v>87</v>
      </c>
      <c r="H391" s="1" t="s">
        <v>88</v>
      </c>
      <c r="I391" s="1">
        <v>4.0</v>
      </c>
      <c r="K391" s="4" t="s">
        <v>9332</v>
      </c>
    </row>
    <row r="392" ht="15.75" customHeight="1">
      <c r="A392" s="1" t="s">
        <v>99</v>
      </c>
      <c r="B392" s="1" t="s">
        <v>100</v>
      </c>
      <c r="C392" s="1" t="s">
        <v>101</v>
      </c>
      <c r="D392" s="1">
        <v>2023.0</v>
      </c>
      <c r="E392" s="1" t="s">
        <v>14</v>
      </c>
      <c r="F392" s="1" t="s">
        <v>21</v>
      </c>
      <c r="G392" s="1" t="s">
        <v>102</v>
      </c>
      <c r="H392" s="1" t="s">
        <v>103</v>
      </c>
      <c r="I392" s="1">
        <v>3.0</v>
      </c>
      <c r="K392" s="4" t="s">
        <v>9332</v>
      </c>
    </row>
    <row r="393" ht="15.75" customHeight="1">
      <c r="A393" s="1" t="s">
        <v>109</v>
      </c>
      <c r="B393" s="1" t="s">
        <v>110</v>
      </c>
      <c r="C393" s="1" t="s">
        <v>111</v>
      </c>
      <c r="D393" s="1">
        <v>2022.0</v>
      </c>
      <c r="E393" s="1" t="s">
        <v>14</v>
      </c>
      <c r="F393" s="1" t="s">
        <v>21</v>
      </c>
      <c r="G393" s="1" t="s">
        <v>112</v>
      </c>
      <c r="H393" s="1" t="s">
        <v>113</v>
      </c>
      <c r="I393" s="1">
        <v>0.0</v>
      </c>
      <c r="K393" s="4" t="s">
        <v>9332</v>
      </c>
    </row>
    <row r="394" ht="15.75" customHeight="1">
      <c r="A394" s="1" t="s">
        <v>118</v>
      </c>
      <c r="B394" s="1" t="s">
        <v>119</v>
      </c>
      <c r="C394" s="1" t="s">
        <v>120</v>
      </c>
      <c r="D394" s="1">
        <v>2022.0</v>
      </c>
      <c r="E394" s="1" t="s">
        <v>14</v>
      </c>
      <c r="F394" s="1" t="s">
        <v>15</v>
      </c>
      <c r="H394" s="1" t="s">
        <v>121</v>
      </c>
      <c r="I394" s="1">
        <v>0.0</v>
      </c>
      <c r="K394" s="4" t="s">
        <v>9332</v>
      </c>
    </row>
    <row r="395" ht="15.75" customHeight="1">
      <c r="A395" s="1" t="s">
        <v>127</v>
      </c>
      <c r="B395" s="1" t="s">
        <v>128</v>
      </c>
      <c r="C395" s="1" t="s">
        <v>129</v>
      </c>
      <c r="D395" s="1">
        <v>2023.0</v>
      </c>
      <c r="E395" s="1" t="s">
        <v>14</v>
      </c>
      <c r="F395" s="1" t="s">
        <v>21</v>
      </c>
      <c r="G395" s="1" t="s">
        <v>130</v>
      </c>
      <c r="H395" s="1" t="s">
        <v>131</v>
      </c>
      <c r="I395" s="1">
        <v>2.0</v>
      </c>
      <c r="K395" s="4" t="s">
        <v>9332</v>
      </c>
    </row>
    <row r="396" ht="15.75" customHeight="1">
      <c r="A396" s="1" t="s">
        <v>132</v>
      </c>
      <c r="B396" s="1" t="s">
        <v>133</v>
      </c>
      <c r="C396" s="1" t="s">
        <v>134</v>
      </c>
      <c r="D396" s="1">
        <v>2023.0</v>
      </c>
      <c r="E396" s="1" t="s">
        <v>14</v>
      </c>
      <c r="F396" s="1" t="s">
        <v>21</v>
      </c>
      <c r="G396" s="1" t="s">
        <v>135</v>
      </c>
      <c r="H396" s="1" t="s">
        <v>136</v>
      </c>
      <c r="I396" s="1">
        <v>1.0</v>
      </c>
      <c r="K396" s="4" t="s">
        <v>9332</v>
      </c>
    </row>
    <row r="397" ht="15.75" customHeight="1">
      <c r="A397" s="1" t="s">
        <v>137</v>
      </c>
      <c r="B397" s="1" t="s">
        <v>138</v>
      </c>
      <c r="C397" s="1" t="s">
        <v>139</v>
      </c>
      <c r="D397" s="1">
        <v>2023.0</v>
      </c>
      <c r="E397" s="1" t="s">
        <v>14</v>
      </c>
      <c r="F397" s="1" t="s">
        <v>15</v>
      </c>
      <c r="G397" s="1" t="s">
        <v>140</v>
      </c>
      <c r="H397" s="1" t="s">
        <v>141</v>
      </c>
      <c r="I397" s="1">
        <v>1.0</v>
      </c>
      <c r="K397" s="4" t="s">
        <v>9332</v>
      </c>
    </row>
    <row r="398" ht="15.75" customHeight="1">
      <c r="A398" s="1" t="s">
        <v>151</v>
      </c>
      <c r="B398" s="1" t="s">
        <v>152</v>
      </c>
      <c r="C398" s="1" t="s">
        <v>153</v>
      </c>
      <c r="D398" s="1">
        <v>2022.0</v>
      </c>
      <c r="E398" s="1" t="s">
        <v>14</v>
      </c>
      <c r="F398" s="1" t="s">
        <v>15</v>
      </c>
      <c r="G398" s="1" t="s">
        <v>154</v>
      </c>
      <c r="H398" s="1" t="s">
        <v>155</v>
      </c>
      <c r="I398" s="1">
        <v>0.0</v>
      </c>
      <c r="K398" s="4" t="s">
        <v>9332</v>
      </c>
    </row>
    <row r="399" ht="15.75" customHeight="1">
      <c r="A399" s="1" t="s">
        <v>165</v>
      </c>
      <c r="B399" s="1" t="s">
        <v>166</v>
      </c>
      <c r="C399" s="1" t="s">
        <v>167</v>
      </c>
      <c r="D399" s="1">
        <v>2023.0</v>
      </c>
      <c r="E399" s="1" t="s">
        <v>14</v>
      </c>
      <c r="F399" s="1" t="s">
        <v>15</v>
      </c>
      <c r="G399" s="1" t="s">
        <v>168</v>
      </c>
      <c r="H399" s="1" t="s">
        <v>169</v>
      </c>
      <c r="I399" s="1">
        <v>0.0</v>
      </c>
      <c r="K399" s="4" t="s">
        <v>9332</v>
      </c>
    </row>
    <row r="400" ht="15.75" customHeight="1">
      <c r="A400" s="1" t="s">
        <v>175</v>
      </c>
      <c r="B400" s="1" t="s">
        <v>176</v>
      </c>
      <c r="C400" s="1" t="s">
        <v>177</v>
      </c>
      <c r="D400" s="1">
        <v>2024.0</v>
      </c>
      <c r="E400" s="1" t="s">
        <v>14</v>
      </c>
      <c r="F400" s="1" t="s">
        <v>21</v>
      </c>
      <c r="G400" s="1" t="s">
        <v>178</v>
      </c>
      <c r="H400" s="1" t="s">
        <v>179</v>
      </c>
      <c r="I400" s="1">
        <v>1.0</v>
      </c>
      <c r="K400" s="4" t="s">
        <v>9332</v>
      </c>
    </row>
    <row r="401" ht="15.75" customHeight="1">
      <c r="A401" s="1" t="s">
        <v>180</v>
      </c>
      <c r="B401" s="1" t="s">
        <v>181</v>
      </c>
      <c r="C401" s="1" t="s">
        <v>182</v>
      </c>
      <c r="D401" s="1">
        <v>2022.0</v>
      </c>
      <c r="E401" s="1" t="s">
        <v>14</v>
      </c>
      <c r="F401" s="1" t="s">
        <v>21</v>
      </c>
      <c r="G401" s="1" t="s">
        <v>183</v>
      </c>
      <c r="H401" s="1" t="s">
        <v>184</v>
      </c>
      <c r="I401" s="1">
        <v>0.0</v>
      </c>
      <c r="K401" s="4" t="s">
        <v>9332</v>
      </c>
    </row>
    <row r="402" ht="15.75" customHeight="1">
      <c r="A402" s="1" t="s">
        <v>185</v>
      </c>
      <c r="B402" s="1" t="s">
        <v>186</v>
      </c>
      <c r="C402" s="1" t="s">
        <v>187</v>
      </c>
      <c r="D402" s="1">
        <v>2023.0</v>
      </c>
      <c r="E402" s="1" t="s">
        <v>14</v>
      </c>
      <c r="F402" s="1" t="s">
        <v>21</v>
      </c>
      <c r="G402" s="1" t="s">
        <v>188</v>
      </c>
      <c r="H402" s="1" t="s">
        <v>189</v>
      </c>
      <c r="I402" s="1">
        <v>1.0</v>
      </c>
      <c r="K402" s="4" t="s">
        <v>9332</v>
      </c>
    </row>
    <row r="403" ht="15.75" customHeight="1">
      <c r="A403" s="1" t="s">
        <v>190</v>
      </c>
      <c r="B403" s="1" t="s">
        <v>191</v>
      </c>
      <c r="C403" s="1" t="s">
        <v>192</v>
      </c>
      <c r="D403" s="1">
        <v>2022.0</v>
      </c>
      <c r="E403" s="1" t="s">
        <v>14</v>
      </c>
      <c r="F403" s="1" t="s">
        <v>21</v>
      </c>
      <c r="G403" s="1" t="s">
        <v>193</v>
      </c>
      <c r="H403" s="1" t="s">
        <v>194</v>
      </c>
      <c r="I403" s="1">
        <v>1.0</v>
      </c>
      <c r="K403" s="4" t="s">
        <v>9332</v>
      </c>
    </row>
    <row r="404" ht="15.75" customHeight="1">
      <c r="A404" s="1" t="s">
        <v>195</v>
      </c>
      <c r="B404" s="1" t="s">
        <v>196</v>
      </c>
      <c r="C404" s="1" t="s">
        <v>197</v>
      </c>
      <c r="D404" s="1">
        <v>2023.0</v>
      </c>
      <c r="E404" s="1" t="s">
        <v>14</v>
      </c>
      <c r="F404" s="1" t="s">
        <v>21</v>
      </c>
      <c r="G404" s="1" t="s">
        <v>198</v>
      </c>
      <c r="H404" s="1" t="s">
        <v>199</v>
      </c>
      <c r="I404" s="1">
        <v>1.0</v>
      </c>
      <c r="K404" s="4" t="s">
        <v>9332</v>
      </c>
    </row>
    <row r="405" ht="15.75" customHeight="1">
      <c r="A405" s="1" t="s">
        <v>200</v>
      </c>
      <c r="B405" s="1" t="s">
        <v>201</v>
      </c>
      <c r="C405" s="1" t="s">
        <v>197</v>
      </c>
      <c r="D405" s="1">
        <v>2023.0</v>
      </c>
      <c r="E405" s="1" t="s">
        <v>14</v>
      </c>
      <c r="F405" s="1" t="s">
        <v>21</v>
      </c>
      <c r="G405" s="1" t="s">
        <v>202</v>
      </c>
      <c r="H405" s="1" t="s">
        <v>203</v>
      </c>
      <c r="I405" s="1">
        <v>0.0</v>
      </c>
      <c r="K405" s="4" t="s">
        <v>9332</v>
      </c>
    </row>
    <row r="406" ht="15.75" customHeight="1">
      <c r="A406" s="1" t="s">
        <v>204</v>
      </c>
      <c r="B406" s="1" t="s">
        <v>205</v>
      </c>
      <c r="C406" s="1" t="s">
        <v>206</v>
      </c>
      <c r="D406" s="1">
        <v>2022.0</v>
      </c>
      <c r="E406" s="1" t="s">
        <v>14</v>
      </c>
      <c r="F406" s="1" t="s">
        <v>21</v>
      </c>
      <c r="G406" s="1" t="s">
        <v>207</v>
      </c>
      <c r="H406" s="1" t="s">
        <v>208</v>
      </c>
      <c r="I406" s="1">
        <v>0.0</v>
      </c>
      <c r="K406" s="4" t="s">
        <v>9332</v>
      </c>
    </row>
    <row r="407" ht="15.75" customHeight="1">
      <c r="A407" s="1" t="s">
        <v>219</v>
      </c>
      <c r="B407" s="1" t="s">
        <v>220</v>
      </c>
      <c r="C407" s="1" t="s">
        <v>221</v>
      </c>
      <c r="D407" s="1">
        <v>2022.0</v>
      </c>
      <c r="E407" s="1" t="s">
        <v>14</v>
      </c>
      <c r="F407" s="1" t="s">
        <v>21</v>
      </c>
      <c r="G407" s="1" t="s">
        <v>222</v>
      </c>
      <c r="H407" s="1" t="s">
        <v>223</v>
      </c>
      <c r="I407" s="1">
        <v>25.0</v>
      </c>
      <c r="K407" s="4" t="s">
        <v>9332</v>
      </c>
    </row>
    <row r="408" ht="15.75" customHeight="1">
      <c r="A408" s="1" t="s">
        <v>229</v>
      </c>
      <c r="B408" s="1" t="s">
        <v>230</v>
      </c>
      <c r="C408" s="1" t="s">
        <v>24</v>
      </c>
      <c r="D408" s="1">
        <v>2023.0</v>
      </c>
      <c r="E408" s="1" t="s">
        <v>14</v>
      </c>
      <c r="F408" s="1" t="s">
        <v>21</v>
      </c>
      <c r="G408" s="1" t="s">
        <v>231</v>
      </c>
      <c r="H408" s="1" t="s">
        <v>232</v>
      </c>
      <c r="I408" s="1">
        <v>0.0</v>
      </c>
      <c r="K408" s="4" t="s">
        <v>9332</v>
      </c>
    </row>
    <row r="409" ht="15.75" customHeight="1">
      <c r="A409" s="1" t="s">
        <v>233</v>
      </c>
      <c r="B409" s="1" t="s">
        <v>234</v>
      </c>
      <c r="C409" s="1" t="s">
        <v>124</v>
      </c>
      <c r="D409" s="1">
        <v>2023.0</v>
      </c>
      <c r="E409" s="1" t="s">
        <v>14</v>
      </c>
      <c r="F409" s="1" t="s">
        <v>21</v>
      </c>
      <c r="G409" s="1" t="s">
        <v>235</v>
      </c>
      <c r="H409" s="1" t="s">
        <v>236</v>
      </c>
      <c r="I409" s="1">
        <v>0.0</v>
      </c>
      <c r="K409" s="4" t="s">
        <v>9332</v>
      </c>
    </row>
    <row r="410" ht="15.75" customHeight="1">
      <c r="A410" s="1" t="s">
        <v>242</v>
      </c>
      <c r="B410" s="1" t="s">
        <v>243</v>
      </c>
      <c r="C410" s="1" t="s">
        <v>244</v>
      </c>
      <c r="D410" s="1">
        <v>2023.0</v>
      </c>
      <c r="E410" s="1" t="s">
        <v>14</v>
      </c>
      <c r="F410" s="1" t="s">
        <v>15</v>
      </c>
      <c r="H410" s="1" t="s">
        <v>245</v>
      </c>
      <c r="I410" s="1">
        <v>0.0</v>
      </c>
      <c r="K410" s="4" t="s">
        <v>9332</v>
      </c>
    </row>
    <row r="411" ht="15.75" customHeight="1">
      <c r="A411" s="1" t="s">
        <v>251</v>
      </c>
      <c r="B411" s="1" t="s">
        <v>252</v>
      </c>
      <c r="C411" s="1" t="s">
        <v>253</v>
      </c>
      <c r="D411" s="1">
        <v>2021.0</v>
      </c>
      <c r="E411" s="1" t="s">
        <v>14</v>
      </c>
      <c r="F411" s="1" t="s">
        <v>21</v>
      </c>
      <c r="G411" s="1" t="s">
        <v>254</v>
      </c>
      <c r="H411" s="1" t="s">
        <v>255</v>
      </c>
      <c r="I411" s="1">
        <v>2.0</v>
      </c>
      <c r="K411" s="4" t="s">
        <v>9332</v>
      </c>
    </row>
    <row r="412" ht="15.75" customHeight="1">
      <c r="A412" s="1" t="s">
        <v>270</v>
      </c>
      <c r="B412" s="1" t="s">
        <v>271</v>
      </c>
      <c r="C412" s="1" t="s">
        <v>272</v>
      </c>
      <c r="D412" s="1">
        <v>2024.0</v>
      </c>
      <c r="E412" s="1" t="s">
        <v>14</v>
      </c>
      <c r="F412" s="1" t="s">
        <v>15</v>
      </c>
      <c r="G412" s="1" t="s">
        <v>273</v>
      </c>
      <c r="H412" s="1" t="s">
        <v>274</v>
      </c>
      <c r="I412" s="1">
        <v>0.0</v>
      </c>
      <c r="K412" s="4" t="s">
        <v>9332</v>
      </c>
    </row>
    <row r="413" ht="15.75" customHeight="1">
      <c r="A413" s="1" t="s">
        <v>280</v>
      </c>
      <c r="B413" s="1" t="s">
        <v>281</v>
      </c>
      <c r="C413" s="1" t="s">
        <v>282</v>
      </c>
      <c r="D413" s="1">
        <v>2022.0</v>
      </c>
      <c r="E413" s="1" t="s">
        <v>14</v>
      </c>
      <c r="F413" s="1" t="s">
        <v>21</v>
      </c>
      <c r="G413" s="1" t="s">
        <v>283</v>
      </c>
      <c r="H413" s="1" t="s">
        <v>284</v>
      </c>
      <c r="I413" s="1">
        <v>1.0</v>
      </c>
      <c r="K413" s="4" t="s">
        <v>9332</v>
      </c>
    </row>
    <row r="414" ht="15.75" customHeight="1">
      <c r="A414" s="1" t="s">
        <v>285</v>
      </c>
      <c r="B414" s="1" t="s">
        <v>286</v>
      </c>
      <c r="C414" s="1" t="s">
        <v>287</v>
      </c>
      <c r="D414" s="1">
        <v>2022.0</v>
      </c>
      <c r="E414" s="1" t="s">
        <v>14</v>
      </c>
      <c r="F414" s="1" t="s">
        <v>21</v>
      </c>
      <c r="G414" s="1" t="s">
        <v>288</v>
      </c>
      <c r="H414" s="1" t="s">
        <v>289</v>
      </c>
      <c r="I414" s="1">
        <v>2.0</v>
      </c>
      <c r="K414" s="4" t="s">
        <v>9332</v>
      </c>
    </row>
    <row r="415" ht="15.75" customHeight="1">
      <c r="A415" s="1" t="s">
        <v>295</v>
      </c>
      <c r="B415" s="1" t="s">
        <v>296</v>
      </c>
      <c r="C415" s="1" t="s">
        <v>297</v>
      </c>
      <c r="D415" s="1">
        <v>2022.0</v>
      </c>
      <c r="E415" s="1" t="s">
        <v>14</v>
      </c>
      <c r="F415" s="1" t="s">
        <v>15</v>
      </c>
      <c r="G415" s="1" t="s">
        <v>298</v>
      </c>
      <c r="H415" s="1" t="s">
        <v>299</v>
      </c>
      <c r="I415" s="1">
        <v>1.0</v>
      </c>
      <c r="K415" s="4" t="s">
        <v>9332</v>
      </c>
    </row>
    <row r="416" ht="15.75" customHeight="1">
      <c r="A416" s="1" t="s">
        <v>300</v>
      </c>
      <c r="B416" s="1" t="s">
        <v>301</v>
      </c>
      <c r="C416" s="1" t="s">
        <v>302</v>
      </c>
      <c r="D416" s="1">
        <v>2022.0</v>
      </c>
      <c r="E416" s="1" t="s">
        <v>14</v>
      </c>
      <c r="F416" s="1" t="s">
        <v>15</v>
      </c>
      <c r="G416" s="1" t="s">
        <v>303</v>
      </c>
      <c r="H416" s="1" t="s">
        <v>304</v>
      </c>
      <c r="I416" s="1">
        <v>0.0</v>
      </c>
      <c r="K416" s="4" t="s">
        <v>9332</v>
      </c>
    </row>
    <row r="417" ht="15.75" customHeight="1">
      <c r="A417" s="1" t="s">
        <v>314</v>
      </c>
      <c r="B417" s="1" t="s">
        <v>315</v>
      </c>
      <c r="C417" s="1" t="s">
        <v>211</v>
      </c>
      <c r="D417" s="1">
        <v>2024.0</v>
      </c>
      <c r="E417" s="1" t="s">
        <v>14</v>
      </c>
      <c r="F417" s="1" t="s">
        <v>21</v>
      </c>
      <c r="G417" s="1" t="s">
        <v>316</v>
      </c>
      <c r="H417" s="1" t="s">
        <v>317</v>
      </c>
      <c r="I417" s="1">
        <v>0.0</v>
      </c>
      <c r="K417" s="4" t="s">
        <v>9332</v>
      </c>
    </row>
    <row r="418" ht="15.75" customHeight="1">
      <c r="A418" s="1" t="s">
        <v>318</v>
      </c>
      <c r="B418" s="1" t="s">
        <v>319</v>
      </c>
      <c r="C418" s="1" t="s">
        <v>320</v>
      </c>
      <c r="D418" s="1">
        <v>2022.0</v>
      </c>
      <c r="E418" s="1" t="s">
        <v>14</v>
      </c>
      <c r="F418" s="1" t="s">
        <v>15</v>
      </c>
      <c r="G418" s="1" t="s">
        <v>321</v>
      </c>
      <c r="H418" s="1" t="s">
        <v>322</v>
      </c>
      <c r="I418" s="1">
        <v>0.0</v>
      </c>
      <c r="K418" s="4" t="s">
        <v>9332</v>
      </c>
    </row>
    <row r="419" ht="15.75" customHeight="1">
      <c r="A419" s="1" t="s">
        <v>332</v>
      </c>
      <c r="B419" s="1" t="s">
        <v>333</v>
      </c>
      <c r="C419" s="1" t="s">
        <v>334</v>
      </c>
      <c r="D419" s="1">
        <v>2021.0</v>
      </c>
      <c r="E419" s="1" t="s">
        <v>14</v>
      </c>
      <c r="F419" s="1" t="s">
        <v>21</v>
      </c>
      <c r="G419" s="1" t="s">
        <v>335</v>
      </c>
      <c r="H419" s="1" t="s">
        <v>336</v>
      </c>
      <c r="I419" s="1">
        <v>21.0</v>
      </c>
      <c r="K419" s="4" t="s">
        <v>9332</v>
      </c>
    </row>
    <row r="420" ht="15.75" customHeight="1">
      <c r="A420" s="1" t="s">
        <v>342</v>
      </c>
      <c r="B420" s="1" t="s">
        <v>343</v>
      </c>
      <c r="C420" s="1" t="s">
        <v>344</v>
      </c>
      <c r="D420" s="1">
        <v>2023.0</v>
      </c>
      <c r="E420" s="1" t="s">
        <v>14</v>
      </c>
      <c r="F420" s="1" t="s">
        <v>21</v>
      </c>
      <c r="G420" s="1" t="s">
        <v>345</v>
      </c>
      <c r="H420" s="1" t="s">
        <v>346</v>
      </c>
      <c r="I420" s="1">
        <v>0.0</v>
      </c>
      <c r="K420" s="4" t="s">
        <v>9332</v>
      </c>
    </row>
    <row r="421" ht="15.75" customHeight="1">
      <c r="A421" s="1" t="s">
        <v>347</v>
      </c>
      <c r="B421" s="1" t="s">
        <v>348</v>
      </c>
      <c r="C421" s="1" t="s">
        <v>349</v>
      </c>
      <c r="D421" s="1">
        <v>2023.0</v>
      </c>
      <c r="E421" s="1" t="s">
        <v>14</v>
      </c>
      <c r="F421" s="1" t="s">
        <v>21</v>
      </c>
      <c r="G421" s="1" t="s">
        <v>350</v>
      </c>
      <c r="H421" s="1" t="s">
        <v>351</v>
      </c>
      <c r="I421" s="1">
        <v>0.0</v>
      </c>
      <c r="K421" s="4" t="s">
        <v>9332</v>
      </c>
    </row>
    <row r="422" ht="15.75" customHeight="1">
      <c r="A422" s="1" t="s">
        <v>352</v>
      </c>
      <c r="B422" s="1" t="s">
        <v>353</v>
      </c>
      <c r="C422" s="1" t="s">
        <v>320</v>
      </c>
      <c r="D422" s="1">
        <v>2021.0</v>
      </c>
      <c r="E422" s="1" t="s">
        <v>14</v>
      </c>
      <c r="F422" s="1" t="s">
        <v>15</v>
      </c>
      <c r="G422" s="1" t="s">
        <v>354</v>
      </c>
      <c r="H422" s="1" t="s">
        <v>355</v>
      </c>
      <c r="I422" s="1">
        <v>2.0</v>
      </c>
      <c r="K422" s="4" t="s">
        <v>9332</v>
      </c>
    </row>
    <row r="423" ht="15.75" customHeight="1">
      <c r="A423" s="1" t="s">
        <v>356</v>
      </c>
      <c r="B423" s="1" t="s">
        <v>357</v>
      </c>
      <c r="C423" s="1" t="s">
        <v>358</v>
      </c>
      <c r="D423" s="1">
        <v>2024.0</v>
      </c>
      <c r="E423" s="1" t="s">
        <v>14</v>
      </c>
      <c r="F423" s="1" t="s">
        <v>21</v>
      </c>
      <c r="G423" s="1" t="s">
        <v>359</v>
      </c>
      <c r="H423" s="1" t="s">
        <v>360</v>
      </c>
      <c r="I423" s="1">
        <v>0.0</v>
      </c>
      <c r="K423" s="4" t="s">
        <v>9332</v>
      </c>
    </row>
    <row r="424" ht="15.75" customHeight="1">
      <c r="A424" s="1" t="s">
        <v>361</v>
      </c>
      <c r="B424" s="1" t="s">
        <v>362</v>
      </c>
      <c r="C424" s="1" t="s">
        <v>363</v>
      </c>
      <c r="D424" s="1">
        <v>2022.0</v>
      </c>
      <c r="E424" s="1" t="s">
        <v>14</v>
      </c>
      <c r="F424" s="1" t="s">
        <v>15</v>
      </c>
      <c r="G424" s="1" t="s">
        <v>364</v>
      </c>
      <c r="H424" s="1" t="s">
        <v>365</v>
      </c>
      <c r="I424" s="1">
        <v>2.0</v>
      </c>
      <c r="K424" s="4" t="s">
        <v>9332</v>
      </c>
    </row>
    <row r="425" ht="15.75" customHeight="1">
      <c r="A425" s="1" t="s">
        <v>371</v>
      </c>
      <c r="B425" s="1" t="s">
        <v>372</v>
      </c>
      <c r="C425" s="1" t="s">
        <v>373</v>
      </c>
      <c r="D425" s="1">
        <v>2021.0</v>
      </c>
      <c r="E425" s="1" t="s">
        <v>14</v>
      </c>
      <c r="F425" s="1" t="s">
        <v>15</v>
      </c>
      <c r="G425" s="1" t="s">
        <v>374</v>
      </c>
      <c r="H425" s="1" t="s">
        <v>375</v>
      </c>
      <c r="I425" s="1">
        <v>10.0</v>
      </c>
      <c r="K425" s="4" t="s">
        <v>9332</v>
      </c>
    </row>
    <row r="426" ht="15.75" customHeight="1">
      <c r="A426" s="1" t="s">
        <v>376</v>
      </c>
      <c r="B426" s="1" t="s">
        <v>377</v>
      </c>
      <c r="C426" s="1" t="s">
        <v>378</v>
      </c>
      <c r="D426" s="1">
        <v>2022.0</v>
      </c>
      <c r="E426" s="1" t="s">
        <v>14</v>
      </c>
      <c r="F426" s="1" t="s">
        <v>21</v>
      </c>
      <c r="G426" s="1" t="s">
        <v>379</v>
      </c>
      <c r="H426" s="1" t="s">
        <v>380</v>
      </c>
      <c r="I426" s="1">
        <v>1.0</v>
      </c>
      <c r="K426" s="4" t="s">
        <v>9332</v>
      </c>
    </row>
    <row r="427" ht="15.75" customHeight="1">
      <c r="A427" s="1" t="s">
        <v>391</v>
      </c>
      <c r="B427" s="1" t="s">
        <v>392</v>
      </c>
      <c r="C427" s="1" t="s">
        <v>393</v>
      </c>
      <c r="D427" s="1">
        <v>2021.0</v>
      </c>
      <c r="E427" s="1" t="s">
        <v>14</v>
      </c>
      <c r="F427" s="1" t="s">
        <v>21</v>
      </c>
      <c r="G427" s="1" t="s">
        <v>394</v>
      </c>
      <c r="H427" s="1" t="s">
        <v>395</v>
      </c>
      <c r="I427" s="1">
        <v>14.0</v>
      </c>
      <c r="K427" s="4" t="s">
        <v>9332</v>
      </c>
    </row>
    <row r="428" ht="15.75" customHeight="1">
      <c r="A428" s="1" t="s">
        <v>400</v>
      </c>
      <c r="B428" s="1" t="s">
        <v>401</v>
      </c>
      <c r="C428" s="1" t="s">
        <v>402</v>
      </c>
      <c r="D428" s="1">
        <v>2022.0</v>
      </c>
      <c r="E428" s="1" t="s">
        <v>14</v>
      </c>
      <c r="F428" s="1" t="s">
        <v>21</v>
      </c>
      <c r="G428" s="1" t="s">
        <v>403</v>
      </c>
      <c r="H428" s="1" t="s">
        <v>404</v>
      </c>
      <c r="I428" s="1">
        <v>13.0</v>
      </c>
      <c r="K428" s="4" t="s">
        <v>9332</v>
      </c>
    </row>
    <row r="429" ht="15.75" customHeight="1">
      <c r="A429" s="1" t="s">
        <v>420</v>
      </c>
      <c r="B429" s="1" t="s">
        <v>421</v>
      </c>
      <c r="C429" s="1" t="s">
        <v>197</v>
      </c>
      <c r="D429" s="1">
        <v>2023.0</v>
      </c>
      <c r="E429" s="1" t="s">
        <v>14</v>
      </c>
      <c r="F429" s="1" t="s">
        <v>21</v>
      </c>
      <c r="G429" s="1" t="s">
        <v>422</v>
      </c>
      <c r="H429" s="1" t="s">
        <v>423</v>
      </c>
      <c r="I429" s="1">
        <v>2.0</v>
      </c>
      <c r="K429" s="4" t="s">
        <v>9332</v>
      </c>
    </row>
    <row r="430" ht="15.75" customHeight="1">
      <c r="A430" s="1" t="s">
        <v>424</v>
      </c>
      <c r="B430" s="1" t="s">
        <v>425</v>
      </c>
      <c r="C430" s="1" t="s">
        <v>426</v>
      </c>
      <c r="D430" s="1">
        <v>2023.0</v>
      </c>
      <c r="E430" s="1" t="s">
        <v>14</v>
      </c>
      <c r="F430" s="1" t="s">
        <v>21</v>
      </c>
      <c r="G430" s="1" t="s">
        <v>427</v>
      </c>
      <c r="H430" s="1" t="s">
        <v>428</v>
      </c>
      <c r="I430" s="1">
        <v>0.0</v>
      </c>
      <c r="K430" s="4" t="s">
        <v>9332</v>
      </c>
    </row>
    <row r="431" ht="15.75" customHeight="1">
      <c r="A431" s="1" t="s">
        <v>439</v>
      </c>
      <c r="B431" s="1" t="s">
        <v>440</v>
      </c>
      <c r="C431" s="1" t="s">
        <v>216</v>
      </c>
      <c r="D431" s="1">
        <v>2022.0</v>
      </c>
      <c r="E431" s="1" t="s">
        <v>14</v>
      </c>
      <c r="F431" s="1" t="s">
        <v>21</v>
      </c>
      <c r="G431" s="1" t="s">
        <v>441</v>
      </c>
      <c r="H431" s="1" t="s">
        <v>442</v>
      </c>
      <c r="I431" s="1">
        <v>5.0</v>
      </c>
      <c r="K431" s="4" t="s">
        <v>9332</v>
      </c>
    </row>
    <row r="432" ht="15.75" customHeight="1">
      <c r="A432" s="1" t="s">
        <v>443</v>
      </c>
      <c r="B432" s="1" t="s">
        <v>444</v>
      </c>
      <c r="C432" s="1" t="s">
        <v>320</v>
      </c>
      <c r="D432" s="1">
        <v>2021.0</v>
      </c>
      <c r="E432" s="1" t="s">
        <v>14</v>
      </c>
      <c r="F432" s="1" t="s">
        <v>15</v>
      </c>
      <c r="G432" s="1" t="s">
        <v>445</v>
      </c>
      <c r="H432" s="1" t="s">
        <v>446</v>
      </c>
      <c r="I432" s="1">
        <v>0.0</v>
      </c>
      <c r="K432" s="4" t="s">
        <v>9332</v>
      </c>
    </row>
    <row r="433" ht="15.75" customHeight="1">
      <c r="A433" s="1" t="s">
        <v>447</v>
      </c>
      <c r="B433" s="1" t="s">
        <v>448</v>
      </c>
      <c r="C433" s="1" t="s">
        <v>449</v>
      </c>
      <c r="D433" s="1">
        <v>2022.0</v>
      </c>
      <c r="E433" s="1" t="s">
        <v>14</v>
      </c>
      <c r="F433" s="1" t="s">
        <v>15</v>
      </c>
      <c r="G433" s="1" t="s">
        <v>450</v>
      </c>
      <c r="H433" s="1" t="s">
        <v>451</v>
      </c>
      <c r="I433" s="1">
        <v>0.0</v>
      </c>
      <c r="K433" s="4" t="s">
        <v>9332</v>
      </c>
    </row>
    <row r="434" ht="15.75" customHeight="1">
      <c r="A434" s="1" t="s">
        <v>467</v>
      </c>
      <c r="B434" s="1" t="s">
        <v>430</v>
      </c>
      <c r="C434" s="1" t="s">
        <v>63</v>
      </c>
      <c r="D434" s="1">
        <v>2022.0</v>
      </c>
      <c r="E434" s="1" t="s">
        <v>14</v>
      </c>
      <c r="F434" s="1" t="s">
        <v>15</v>
      </c>
      <c r="G434" s="1" t="s">
        <v>468</v>
      </c>
      <c r="H434" s="1" t="s">
        <v>469</v>
      </c>
      <c r="I434" s="1">
        <v>9.0</v>
      </c>
      <c r="K434" s="4" t="s">
        <v>9332</v>
      </c>
    </row>
    <row r="435" ht="15.75" customHeight="1">
      <c r="A435" s="1" t="s">
        <v>470</v>
      </c>
      <c r="B435" s="1" t="s">
        <v>471</v>
      </c>
      <c r="C435" s="1" t="s">
        <v>472</v>
      </c>
      <c r="D435" s="1">
        <v>2024.0</v>
      </c>
      <c r="E435" s="1" t="s">
        <v>14</v>
      </c>
      <c r="F435" s="1" t="s">
        <v>21</v>
      </c>
      <c r="G435" s="1" t="s">
        <v>473</v>
      </c>
      <c r="H435" s="1" t="s">
        <v>474</v>
      </c>
      <c r="I435" s="1">
        <v>0.0</v>
      </c>
      <c r="K435" s="4" t="s">
        <v>9332</v>
      </c>
    </row>
    <row r="436" ht="15.75" customHeight="1">
      <c r="A436" s="1" t="s">
        <v>475</v>
      </c>
      <c r="B436" s="1" t="s">
        <v>301</v>
      </c>
      <c r="C436" s="1" t="s">
        <v>476</v>
      </c>
      <c r="D436" s="1">
        <v>2024.0</v>
      </c>
      <c r="E436" s="1" t="s">
        <v>14</v>
      </c>
      <c r="F436" s="1" t="s">
        <v>21</v>
      </c>
      <c r="G436" s="1" t="s">
        <v>477</v>
      </c>
      <c r="H436" s="1" t="s">
        <v>478</v>
      </c>
      <c r="I436" s="1">
        <v>0.0</v>
      </c>
      <c r="K436" s="4" t="s">
        <v>9332</v>
      </c>
    </row>
    <row r="437" ht="15.75" customHeight="1">
      <c r="A437" s="1" t="s">
        <v>479</v>
      </c>
      <c r="B437" s="1" t="s">
        <v>480</v>
      </c>
      <c r="C437" s="1" t="s">
        <v>481</v>
      </c>
      <c r="D437" s="1">
        <v>2023.0</v>
      </c>
      <c r="E437" s="1" t="s">
        <v>14</v>
      </c>
      <c r="F437" s="1" t="s">
        <v>21</v>
      </c>
      <c r="G437" s="1" t="s">
        <v>482</v>
      </c>
      <c r="H437" s="1" t="s">
        <v>483</v>
      </c>
      <c r="I437" s="1">
        <v>1.0</v>
      </c>
      <c r="K437" s="4" t="s">
        <v>9332</v>
      </c>
    </row>
    <row r="438" ht="15.75" customHeight="1">
      <c r="A438" s="1" t="s">
        <v>488</v>
      </c>
      <c r="B438" s="1" t="s">
        <v>489</v>
      </c>
      <c r="C438" s="1" t="s">
        <v>490</v>
      </c>
      <c r="D438" s="1">
        <v>2018.0</v>
      </c>
      <c r="E438" s="1" t="s">
        <v>14</v>
      </c>
      <c r="F438" s="1" t="s">
        <v>15</v>
      </c>
      <c r="G438" s="1" t="s">
        <v>491</v>
      </c>
      <c r="H438" s="1" t="s">
        <v>492</v>
      </c>
      <c r="I438" s="1">
        <v>117.0</v>
      </c>
      <c r="K438" s="4" t="s">
        <v>9332</v>
      </c>
    </row>
    <row r="439" ht="15.75" customHeight="1">
      <c r="A439" s="1" t="s">
        <v>498</v>
      </c>
      <c r="B439" s="1" t="s">
        <v>499</v>
      </c>
      <c r="C439" s="1" t="s">
        <v>402</v>
      </c>
      <c r="D439" s="1">
        <v>2018.0</v>
      </c>
      <c r="E439" s="1" t="s">
        <v>14</v>
      </c>
      <c r="F439" s="1" t="s">
        <v>21</v>
      </c>
      <c r="G439" s="1" t="s">
        <v>500</v>
      </c>
      <c r="H439" s="1" t="s">
        <v>501</v>
      </c>
      <c r="I439" s="1">
        <v>9.0</v>
      </c>
      <c r="K439" s="4" t="s">
        <v>9332</v>
      </c>
    </row>
    <row r="440" ht="15.75" customHeight="1">
      <c r="A440" s="1" t="s">
        <v>507</v>
      </c>
      <c r="B440" s="1" t="s">
        <v>508</v>
      </c>
      <c r="C440" s="1" t="s">
        <v>509</v>
      </c>
      <c r="D440" s="1">
        <v>2021.0</v>
      </c>
      <c r="E440" s="1" t="s">
        <v>14</v>
      </c>
      <c r="F440" s="1" t="s">
        <v>21</v>
      </c>
      <c r="G440" s="1" t="s">
        <v>510</v>
      </c>
      <c r="H440" s="1" t="s">
        <v>511</v>
      </c>
      <c r="I440" s="1">
        <v>0.0</v>
      </c>
      <c r="K440" s="4" t="s">
        <v>9332</v>
      </c>
    </row>
    <row r="441" ht="15.75" customHeight="1">
      <c r="A441" s="1" t="s">
        <v>512</v>
      </c>
      <c r="B441" s="1" t="s">
        <v>513</v>
      </c>
      <c r="C441" s="1" t="s">
        <v>514</v>
      </c>
      <c r="D441" s="1">
        <v>2021.0</v>
      </c>
      <c r="E441" s="1" t="s">
        <v>14</v>
      </c>
      <c r="F441" s="1" t="s">
        <v>15</v>
      </c>
      <c r="H441" s="1" t="s">
        <v>515</v>
      </c>
      <c r="I441" s="1">
        <v>0.0</v>
      </c>
      <c r="K441" s="4" t="s">
        <v>9332</v>
      </c>
    </row>
    <row r="442" ht="15.75" customHeight="1">
      <c r="A442" s="1" t="s">
        <v>516</v>
      </c>
      <c r="B442" s="1" t="s">
        <v>517</v>
      </c>
      <c r="C442" s="1" t="s">
        <v>518</v>
      </c>
      <c r="D442" s="1">
        <v>2019.0</v>
      </c>
      <c r="E442" s="1" t="s">
        <v>14</v>
      </c>
      <c r="F442" s="1" t="s">
        <v>21</v>
      </c>
      <c r="G442" s="1" t="s">
        <v>519</v>
      </c>
      <c r="H442" s="1" t="s">
        <v>520</v>
      </c>
      <c r="I442" s="1">
        <v>11.0</v>
      </c>
      <c r="K442" s="4" t="s">
        <v>9332</v>
      </c>
    </row>
    <row r="443" ht="15.75" customHeight="1">
      <c r="A443" s="1" t="s">
        <v>521</v>
      </c>
      <c r="B443" s="1" t="s">
        <v>522</v>
      </c>
      <c r="C443" s="1" t="s">
        <v>523</v>
      </c>
      <c r="D443" s="1">
        <v>2021.0</v>
      </c>
      <c r="E443" s="1" t="s">
        <v>14</v>
      </c>
      <c r="F443" s="1" t="s">
        <v>15</v>
      </c>
      <c r="G443" s="1" t="s">
        <v>524</v>
      </c>
      <c r="H443" s="1" t="s">
        <v>525</v>
      </c>
      <c r="I443" s="1">
        <v>0.0</v>
      </c>
      <c r="K443" s="4" t="s">
        <v>9332</v>
      </c>
    </row>
    <row r="444" ht="15.75" customHeight="1">
      <c r="A444" s="1" t="s">
        <v>526</v>
      </c>
      <c r="B444" s="1" t="s">
        <v>527</v>
      </c>
      <c r="C444" s="1" t="s">
        <v>18</v>
      </c>
      <c r="D444" s="1">
        <v>2020.0</v>
      </c>
      <c r="E444" s="1" t="s">
        <v>14</v>
      </c>
      <c r="F444" s="1" t="s">
        <v>21</v>
      </c>
      <c r="G444" s="1" t="s">
        <v>528</v>
      </c>
      <c r="H444" s="1" t="s">
        <v>529</v>
      </c>
      <c r="I444" s="1">
        <v>31.0</v>
      </c>
      <c r="K444" s="4" t="s">
        <v>9332</v>
      </c>
    </row>
    <row r="445" ht="15.75" customHeight="1">
      <c r="A445" s="1" t="s">
        <v>530</v>
      </c>
      <c r="B445" s="1" t="s">
        <v>531</v>
      </c>
      <c r="C445" s="1" t="s">
        <v>532</v>
      </c>
      <c r="D445" s="1">
        <v>2018.0</v>
      </c>
      <c r="E445" s="1" t="s">
        <v>14</v>
      </c>
      <c r="F445" s="1" t="s">
        <v>15</v>
      </c>
      <c r="H445" s="1" t="s">
        <v>533</v>
      </c>
      <c r="I445" s="1">
        <v>0.0</v>
      </c>
      <c r="K445" s="4" t="s">
        <v>9332</v>
      </c>
    </row>
    <row r="446" ht="15.75" customHeight="1">
      <c r="A446" s="1" t="s">
        <v>562</v>
      </c>
      <c r="B446" s="1" t="s">
        <v>563</v>
      </c>
      <c r="C446" s="1" t="s">
        <v>490</v>
      </c>
      <c r="D446" s="1">
        <v>2021.0</v>
      </c>
      <c r="E446" s="1" t="s">
        <v>14</v>
      </c>
      <c r="F446" s="1" t="s">
        <v>15</v>
      </c>
      <c r="G446" s="1" t="s">
        <v>564</v>
      </c>
      <c r="H446" s="1" t="s">
        <v>565</v>
      </c>
      <c r="I446" s="1">
        <v>4.0</v>
      </c>
      <c r="K446" s="4" t="s">
        <v>9332</v>
      </c>
    </row>
    <row r="447" ht="15.75" customHeight="1">
      <c r="A447" s="1" t="s">
        <v>588</v>
      </c>
      <c r="B447" s="1" t="s">
        <v>589</v>
      </c>
      <c r="C447" s="1" t="s">
        <v>449</v>
      </c>
      <c r="D447" s="1">
        <v>2021.0</v>
      </c>
      <c r="E447" s="1" t="s">
        <v>14</v>
      </c>
      <c r="F447" s="1" t="s">
        <v>15</v>
      </c>
      <c r="G447" s="1" t="s">
        <v>590</v>
      </c>
      <c r="H447" s="1" t="s">
        <v>591</v>
      </c>
      <c r="I447" s="1">
        <v>2.0</v>
      </c>
      <c r="K447" s="4" t="s">
        <v>9332</v>
      </c>
    </row>
    <row r="448" ht="15.75" customHeight="1">
      <c r="A448" s="1" t="s">
        <v>592</v>
      </c>
      <c r="B448" s="1" t="s">
        <v>593</v>
      </c>
      <c r="C448" s="1" t="s">
        <v>594</v>
      </c>
      <c r="D448" s="1">
        <v>2021.0</v>
      </c>
      <c r="E448" s="1" t="s">
        <v>14</v>
      </c>
      <c r="F448" s="1" t="s">
        <v>15</v>
      </c>
      <c r="G448" s="1" t="s">
        <v>595</v>
      </c>
      <c r="H448" s="1" t="s">
        <v>596</v>
      </c>
      <c r="I448" s="1">
        <v>4.0</v>
      </c>
      <c r="K448" s="4" t="s">
        <v>9332</v>
      </c>
    </row>
    <row r="449" ht="15.75" customHeight="1">
      <c r="A449" s="1" t="s">
        <v>597</v>
      </c>
      <c r="B449" s="1" t="s">
        <v>598</v>
      </c>
      <c r="C449" s="1" t="s">
        <v>599</v>
      </c>
      <c r="D449" s="1">
        <v>2019.0</v>
      </c>
      <c r="E449" s="1" t="s">
        <v>14</v>
      </c>
      <c r="F449" s="1" t="s">
        <v>21</v>
      </c>
      <c r="G449" s="1" t="s">
        <v>600</v>
      </c>
      <c r="H449" s="1" t="s">
        <v>601</v>
      </c>
      <c r="I449" s="1">
        <v>49.0</v>
      </c>
      <c r="K449" s="4" t="s">
        <v>9332</v>
      </c>
    </row>
    <row r="450" ht="15.75" customHeight="1">
      <c r="A450" s="1" t="s">
        <v>602</v>
      </c>
      <c r="B450" s="1" t="s">
        <v>603</v>
      </c>
      <c r="C450" s="1" t="s">
        <v>604</v>
      </c>
      <c r="D450" s="1">
        <v>2020.0</v>
      </c>
      <c r="E450" s="1" t="s">
        <v>14</v>
      </c>
      <c r="F450" s="1" t="s">
        <v>15</v>
      </c>
      <c r="G450" s="1" t="s">
        <v>605</v>
      </c>
      <c r="H450" s="1" t="s">
        <v>606</v>
      </c>
      <c r="I450" s="1">
        <v>0.0</v>
      </c>
      <c r="K450" s="4" t="s">
        <v>9332</v>
      </c>
    </row>
    <row r="451" ht="15.75" customHeight="1">
      <c r="A451" s="1" t="s">
        <v>612</v>
      </c>
      <c r="B451" s="1" t="s">
        <v>613</v>
      </c>
      <c r="C451" s="1" t="s">
        <v>614</v>
      </c>
      <c r="D451" s="1">
        <v>2018.0</v>
      </c>
      <c r="E451" s="1" t="s">
        <v>14</v>
      </c>
      <c r="F451" s="1" t="s">
        <v>15</v>
      </c>
      <c r="G451" s="1" t="s">
        <v>615</v>
      </c>
      <c r="H451" s="1" t="s">
        <v>616</v>
      </c>
      <c r="I451" s="1">
        <v>0.0</v>
      </c>
      <c r="K451" s="4" t="s">
        <v>9332</v>
      </c>
    </row>
    <row r="452" ht="15.75" customHeight="1">
      <c r="A452" s="1" t="s">
        <v>622</v>
      </c>
      <c r="B452" s="1" t="s">
        <v>623</v>
      </c>
      <c r="C452" s="1" t="s">
        <v>624</v>
      </c>
      <c r="D452" s="1">
        <v>2018.0</v>
      </c>
      <c r="E452" s="1" t="s">
        <v>14</v>
      </c>
      <c r="F452" s="1" t="s">
        <v>21</v>
      </c>
      <c r="G452" s="1" t="s">
        <v>625</v>
      </c>
      <c r="H452" s="1" t="s">
        <v>626</v>
      </c>
      <c r="I452" s="1">
        <v>5.0</v>
      </c>
      <c r="K452" s="4" t="s">
        <v>9332</v>
      </c>
    </row>
    <row r="453" ht="15.75" customHeight="1">
      <c r="A453" s="1" t="s">
        <v>627</v>
      </c>
      <c r="B453" s="1" t="s">
        <v>628</v>
      </c>
      <c r="C453" s="1" t="s">
        <v>629</v>
      </c>
      <c r="D453" s="1">
        <v>2020.0</v>
      </c>
      <c r="E453" s="1" t="s">
        <v>14</v>
      </c>
      <c r="F453" s="1" t="s">
        <v>15</v>
      </c>
      <c r="G453" s="1" t="s">
        <v>630</v>
      </c>
      <c r="H453" s="1" t="s">
        <v>631</v>
      </c>
      <c r="I453" s="1">
        <v>70.0</v>
      </c>
      <c r="K453" s="4" t="s">
        <v>9332</v>
      </c>
    </row>
    <row r="454" ht="15.75" customHeight="1">
      <c r="A454" s="1" t="s">
        <v>637</v>
      </c>
      <c r="B454" s="1" t="s">
        <v>638</v>
      </c>
      <c r="C454" s="1" t="s">
        <v>639</v>
      </c>
      <c r="D454" s="1">
        <v>2019.0</v>
      </c>
      <c r="E454" s="1" t="s">
        <v>14</v>
      </c>
      <c r="F454" s="1" t="s">
        <v>15</v>
      </c>
      <c r="G454" s="1" t="s">
        <v>640</v>
      </c>
      <c r="H454" s="1" t="s">
        <v>641</v>
      </c>
      <c r="I454" s="1">
        <v>1.0</v>
      </c>
      <c r="K454" s="4" t="s">
        <v>9332</v>
      </c>
    </row>
    <row r="455" ht="15.75" customHeight="1">
      <c r="A455" s="1" t="s">
        <v>646</v>
      </c>
      <c r="B455" s="1" t="s">
        <v>647</v>
      </c>
      <c r="C455" s="1" t="s">
        <v>648</v>
      </c>
      <c r="D455" s="1">
        <v>2020.0</v>
      </c>
      <c r="E455" s="1" t="s">
        <v>14</v>
      </c>
      <c r="F455" s="1" t="s">
        <v>21</v>
      </c>
      <c r="G455" s="1" t="s">
        <v>649</v>
      </c>
      <c r="H455" s="1" t="s">
        <v>650</v>
      </c>
      <c r="I455" s="1">
        <v>8.0</v>
      </c>
      <c r="K455" s="4" t="s">
        <v>9332</v>
      </c>
    </row>
    <row r="456" ht="15.75" customHeight="1">
      <c r="A456" s="1" t="s">
        <v>656</v>
      </c>
      <c r="B456" s="1" t="s">
        <v>657</v>
      </c>
      <c r="C456" s="1" t="s">
        <v>63</v>
      </c>
      <c r="D456" s="1">
        <v>2021.0</v>
      </c>
      <c r="E456" s="1" t="s">
        <v>14</v>
      </c>
      <c r="F456" s="1" t="s">
        <v>15</v>
      </c>
      <c r="G456" s="1" t="s">
        <v>658</v>
      </c>
      <c r="H456" s="1" t="s">
        <v>659</v>
      </c>
      <c r="I456" s="1">
        <v>15.0</v>
      </c>
      <c r="K456" s="4" t="s">
        <v>9332</v>
      </c>
    </row>
    <row r="457" ht="15.75" customHeight="1">
      <c r="A457" s="1" t="s">
        <v>660</v>
      </c>
      <c r="B457" s="1" t="s">
        <v>661</v>
      </c>
      <c r="C457" s="1" t="s">
        <v>662</v>
      </c>
      <c r="D457" s="1">
        <v>2019.0</v>
      </c>
      <c r="E457" s="1" t="s">
        <v>14</v>
      </c>
      <c r="F457" s="1" t="s">
        <v>15</v>
      </c>
      <c r="G457" s="1" t="s">
        <v>663</v>
      </c>
      <c r="H457" s="1" t="s">
        <v>664</v>
      </c>
      <c r="I457" s="1">
        <v>1.0</v>
      </c>
      <c r="K457" s="4" t="s">
        <v>9332</v>
      </c>
    </row>
    <row r="458" ht="15.75" customHeight="1">
      <c r="A458" s="1" t="s">
        <v>669</v>
      </c>
      <c r="B458" s="1" t="s">
        <v>670</v>
      </c>
      <c r="C458" s="1" t="s">
        <v>671</v>
      </c>
      <c r="D458" s="1">
        <v>2018.0</v>
      </c>
      <c r="E458" s="1" t="s">
        <v>14</v>
      </c>
      <c r="F458" s="1" t="s">
        <v>15</v>
      </c>
      <c r="G458" s="1" t="s">
        <v>672</v>
      </c>
      <c r="H458" s="1" t="s">
        <v>673</v>
      </c>
      <c r="I458" s="1">
        <v>2.0</v>
      </c>
      <c r="K458" s="4" t="s">
        <v>9332</v>
      </c>
    </row>
    <row r="459" ht="15.75" customHeight="1">
      <c r="A459" s="1" t="s">
        <v>674</v>
      </c>
      <c r="B459" s="1" t="s">
        <v>675</v>
      </c>
      <c r="C459" s="1" t="s">
        <v>320</v>
      </c>
      <c r="D459" s="1">
        <v>2019.0</v>
      </c>
      <c r="E459" s="1" t="s">
        <v>14</v>
      </c>
      <c r="F459" s="1" t="s">
        <v>15</v>
      </c>
      <c r="G459" s="1" t="s">
        <v>676</v>
      </c>
      <c r="H459" s="1" t="s">
        <v>677</v>
      </c>
      <c r="I459" s="1">
        <v>0.0</v>
      </c>
      <c r="K459" s="4" t="s">
        <v>9332</v>
      </c>
    </row>
    <row r="460" ht="15.75" customHeight="1">
      <c r="A460" s="1" t="s">
        <v>678</v>
      </c>
      <c r="B460" s="1" t="s">
        <v>679</v>
      </c>
      <c r="C460" s="1" t="s">
        <v>486</v>
      </c>
      <c r="D460" s="1">
        <v>2020.0</v>
      </c>
      <c r="E460" s="1" t="s">
        <v>14</v>
      </c>
      <c r="F460" s="1" t="s">
        <v>15</v>
      </c>
      <c r="H460" s="1" t="s">
        <v>680</v>
      </c>
      <c r="I460" s="1">
        <v>29.0</v>
      </c>
      <c r="K460" s="4" t="s">
        <v>9332</v>
      </c>
    </row>
    <row r="461" ht="15.75" customHeight="1">
      <c r="A461" s="1" t="s">
        <v>681</v>
      </c>
      <c r="B461" s="1" t="s">
        <v>682</v>
      </c>
      <c r="C461" s="1" t="s">
        <v>683</v>
      </c>
      <c r="D461" s="1">
        <v>2019.0</v>
      </c>
      <c r="E461" s="1" t="s">
        <v>14</v>
      </c>
      <c r="F461" s="1" t="s">
        <v>15</v>
      </c>
      <c r="G461" s="1" t="s">
        <v>684</v>
      </c>
      <c r="H461" s="1" t="s">
        <v>685</v>
      </c>
      <c r="I461" s="1">
        <v>6.0</v>
      </c>
      <c r="K461" s="4" t="s">
        <v>9332</v>
      </c>
    </row>
    <row r="462" ht="15.75" customHeight="1">
      <c r="A462" s="1" t="s">
        <v>686</v>
      </c>
      <c r="B462" s="1" t="s">
        <v>687</v>
      </c>
      <c r="C462" s="1" t="s">
        <v>532</v>
      </c>
      <c r="D462" s="1">
        <v>2021.0</v>
      </c>
      <c r="E462" s="1" t="s">
        <v>14</v>
      </c>
      <c r="F462" s="1" t="s">
        <v>15</v>
      </c>
      <c r="H462" s="1" t="s">
        <v>688</v>
      </c>
      <c r="I462" s="1">
        <v>0.0</v>
      </c>
      <c r="K462" s="4" t="s">
        <v>9332</v>
      </c>
    </row>
    <row r="463" ht="15.75" customHeight="1">
      <c r="A463" s="1" t="s">
        <v>689</v>
      </c>
      <c r="B463" s="1" t="s">
        <v>690</v>
      </c>
      <c r="C463" s="1" t="s">
        <v>691</v>
      </c>
      <c r="D463" s="1">
        <v>2020.0</v>
      </c>
      <c r="E463" s="1" t="s">
        <v>14</v>
      </c>
      <c r="F463" s="1" t="s">
        <v>15</v>
      </c>
      <c r="H463" s="1" t="s">
        <v>692</v>
      </c>
      <c r="I463" s="1">
        <v>5.0</v>
      </c>
      <c r="K463" s="4" t="s">
        <v>9332</v>
      </c>
    </row>
    <row r="464" ht="15.75" customHeight="1">
      <c r="A464" s="1" t="s">
        <v>693</v>
      </c>
      <c r="B464" s="1" t="s">
        <v>694</v>
      </c>
      <c r="C464" s="1" t="s">
        <v>695</v>
      </c>
      <c r="D464" s="1">
        <v>2019.0</v>
      </c>
      <c r="E464" s="1" t="s">
        <v>14</v>
      </c>
      <c r="F464" s="1" t="s">
        <v>21</v>
      </c>
      <c r="G464" s="1" t="s">
        <v>696</v>
      </c>
      <c r="H464" s="1" t="s">
        <v>697</v>
      </c>
      <c r="I464" s="1">
        <v>2.0</v>
      </c>
      <c r="K464" s="4" t="s">
        <v>9332</v>
      </c>
    </row>
    <row r="465" ht="15.75" customHeight="1">
      <c r="A465" s="1" t="s">
        <v>701</v>
      </c>
      <c r="B465" s="1" t="s">
        <v>702</v>
      </c>
      <c r="C465" s="1" t="s">
        <v>449</v>
      </c>
      <c r="D465" s="1">
        <v>2019.0</v>
      </c>
      <c r="E465" s="1" t="s">
        <v>14</v>
      </c>
      <c r="F465" s="1" t="s">
        <v>15</v>
      </c>
      <c r="G465" s="1" t="s">
        <v>703</v>
      </c>
      <c r="H465" s="1" t="s">
        <v>704</v>
      </c>
      <c r="I465" s="1">
        <v>0.0</v>
      </c>
      <c r="K465" s="4" t="s">
        <v>9332</v>
      </c>
    </row>
    <row r="466" ht="15.75" customHeight="1">
      <c r="A466" s="1" t="s">
        <v>715</v>
      </c>
      <c r="B466" s="1" t="s">
        <v>716</v>
      </c>
      <c r="C466" s="1" t="s">
        <v>717</v>
      </c>
      <c r="D466" s="1">
        <v>2020.0</v>
      </c>
      <c r="E466" s="1" t="s">
        <v>14</v>
      </c>
      <c r="F466" s="1" t="s">
        <v>15</v>
      </c>
      <c r="G466" s="1" t="s">
        <v>718</v>
      </c>
      <c r="H466" s="1" t="s">
        <v>719</v>
      </c>
      <c r="I466" s="1">
        <v>97.0</v>
      </c>
      <c r="K466" s="4" t="s">
        <v>9332</v>
      </c>
    </row>
    <row r="467" ht="15.75" customHeight="1">
      <c r="A467" s="1" t="s">
        <v>720</v>
      </c>
      <c r="B467" s="1" t="s">
        <v>721</v>
      </c>
      <c r="C467" s="1" t="s">
        <v>722</v>
      </c>
      <c r="D467" s="1">
        <v>2020.0</v>
      </c>
      <c r="E467" s="1" t="s">
        <v>14</v>
      </c>
      <c r="F467" s="1" t="s">
        <v>21</v>
      </c>
      <c r="G467" s="1" t="s">
        <v>723</v>
      </c>
      <c r="H467" s="1" t="s">
        <v>724</v>
      </c>
      <c r="I467" s="1">
        <v>13.0</v>
      </c>
      <c r="K467" s="4" t="s">
        <v>9332</v>
      </c>
    </row>
    <row r="468" ht="15.75" customHeight="1">
      <c r="A468" s="1" t="s">
        <v>725</v>
      </c>
      <c r="B468" s="1" t="s">
        <v>726</v>
      </c>
      <c r="C468" s="1" t="s">
        <v>532</v>
      </c>
      <c r="D468" s="1">
        <v>2020.0</v>
      </c>
      <c r="E468" s="1" t="s">
        <v>14</v>
      </c>
      <c r="F468" s="1" t="s">
        <v>15</v>
      </c>
      <c r="H468" s="1" t="s">
        <v>727</v>
      </c>
      <c r="I468" s="1">
        <v>49.0</v>
      </c>
      <c r="K468" s="4" t="s">
        <v>9332</v>
      </c>
    </row>
    <row r="469" ht="15.75" customHeight="1">
      <c r="A469" s="1" t="s">
        <v>728</v>
      </c>
      <c r="B469" s="1" t="s">
        <v>729</v>
      </c>
      <c r="C469" s="1" t="s">
        <v>63</v>
      </c>
      <c r="D469" s="1">
        <v>2018.0</v>
      </c>
      <c r="E469" s="1" t="s">
        <v>14</v>
      </c>
      <c r="F469" s="1" t="s">
        <v>15</v>
      </c>
      <c r="G469" s="1" t="s">
        <v>730</v>
      </c>
      <c r="H469" s="1" t="s">
        <v>731</v>
      </c>
      <c r="I469" s="1">
        <v>1.0</v>
      </c>
      <c r="K469" s="4" t="s">
        <v>9332</v>
      </c>
    </row>
    <row r="470" ht="15.75" customHeight="1">
      <c r="A470" s="1" t="s">
        <v>732</v>
      </c>
      <c r="B470" s="1" t="s">
        <v>733</v>
      </c>
      <c r="C470" s="1" t="s">
        <v>111</v>
      </c>
      <c r="D470" s="1">
        <v>2021.0</v>
      </c>
      <c r="E470" s="1" t="s">
        <v>14</v>
      </c>
      <c r="F470" s="1" t="s">
        <v>21</v>
      </c>
      <c r="G470" s="1" t="s">
        <v>734</v>
      </c>
      <c r="H470" s="1" t="s">
        <v>735</v>
      </c>
      <c r="I470" s="1">
        <v>14.0</v>
      </c>
      <c r="K470" s="4" t="s">
        <v>9332</v>
      </c>
    </row>
    <row r="471" ht="15.75" customHeight="1">
      <c r="A471" s="1" t="s">
        <v>736</v>
      </c>
      <c r="B471" s="1" t="s">
        <v>737</v>
      </c>
      <c r="C471" s="1" t="s">
        <v>738</v>
      </c>
      <c r="D471" s="1">
        <v>2019.0</v>
      </c>
      <c r="E471" s="1" t="s">
        <v>14</v>
      </c>
      <c r="F471" s="1" t="s">
        <v>21</v>
      </c>
      <c r="G471" s="1" t="s">
        <v>739</v>
      </c>
      <c r="H471" s="1" t="s">
        <v>740</v>
      </c>
      <c r="I471" s="1">
        <v>34.0</v>
      </c>
      <c r="K471" s="4" t="s">
        <v>9332</v>
      </c>
    </row>
    <row r="472" ht="15.75" customHeight="1">
      <c r="A472" s="1" t="s">
        <v>751</v>
      </c>
      <c r="B472" s="1" t="s">
        <v>752</v>
      </c>
      <c r="C472" s="1" t="s">
        <v>753</v>
      </c>
      <c r="D472" s="1">
        <v>2020.0</v>
      </c>
      <c r="E472" s="1" t="s">
        <v>14</v>
      </c>
      <c r="F472" s="1" t="s">
        <v>15</v>
      </c>
      <c r="G472" s="1" t="s">
        <v>754</v>
      </c>
      <c r="H472" s="1" t="s">
        <v>755</v>
      </c>
      <c r="I472" s="1">
        <v>0.0</v>
      </c>
      <c r="K472" s="4" t="s">
        <v>9332</v>
      </c>
    </row>
    <row r="473" ht="15.75" customHeight="1">
      <c r="A473" s="1" t="s">
        <v>779</v>
      </c>
      <c r="B473" s="1" t="s">
        <v>780</v>
      </c>
      <c r="C473" s="1" t="s">
        <v>781</v>
      </c>
      <c r="D473" s="1">
        <v>2020.0</v>
      </c>
      <c r="E473" s="1" t="s">
        <v>14</v>
      </c>
      <c r="F473" s="1" t="s">
        <v>21</v>
      </c>
      <c r="G473" s="1" t="s">
        <v>782</v>
      </c>
      <c r="H473" s="1" t="s">
        <v>783</v>
      </c>
      <c r="I473" s="1">
        <v>7.0</v>
      </c>
      <c r="K473" s="4" t="s">
        <v>9332</v>
      </c>
    </row>
    <row r="474" ht="15.75" customHeight="1">
      <c r="A474" s="1" t="s">
        <v>803</v>
      </c>
      <c r="B474" s="1" t="s">
        <v>804</v>
      </c>
      <c r="C474" s="1" t="s">
        <v>402</v>
      </c>
      <c r="D474" s="1">
        <v>2020.0</v>
      </c>
      <c r="E474" s="1" t="s">
        <v>14</v>
      </c>
      <c r="F474" s="1" t="s">
        <v>21</v>
      </c>
      <c r="G474" s="1" t="s">
        <v>805</v>
      </c>
      <c r="H474" s="1" t="s">
        <v>806</v>
      </c>
      <c r="I474" s="1">
        <v>8.0</v>
      </c>
      <c r="K474" s="4" t="s">
        <v>9332</v>
      </c>
    </row>
    <row r="475" ht="15.75" customHeight="1">
      <c r="A475" s="1" t="s">
        <v>811</v>
      </c>
      <c r="B475" s="1" t="s">
        <v>812</v>
      </c>
      <c r="C475" s="1" t="s">
        <v>153</v>
      </c>
      <c r="D475" s="1">
        <v>2018.0</v>
      </c>
      <c r="E475" s="1" t="s">
        <v>14</v>
      </c>
      <c r="F475" s="1" t="s">
        <v>15</v>
      </c>
      <c r="G475" s="1" t="s">
        <v>813</v>
      </c>
      <c r="H475" s="1" t="s">
        <v>814</v>
      </c>
      <c r="I475" s="1">
        <v>5.0</v>
      </c>
      <c r="K475" s="4" t="s">
        <v>9332</v>
      </c>
    </row>
    <row r="476" ht="15.75" customHeight="1">
      <c r="A476" s="1" t="s">
        <v>815</v>
      </c>
      <c r="B476" s="1" t="s">
        <v>816</v>
      </c>
      <c r="D476" s="1">
        <v>2021.0</v>
      </c>
      <c r="E476" s="1" t="s">
        <v>14</v>
      </c>
      <c r="F476" s="1" t="s">
        <v>15</v>
      </c>
      <c r="G476" s="1" t="s">
        <v>817</v>
      </c>
      <c r="H476" s="1" t="s">
        <v>818</v>
      </c>
      <c r="I476" s="1">
        <v>0.0</v>
      </c>
      <c r="K476" s="4" t="s">
        <v>9332</v>
      </c>
    </row>
    <row r="477" ht="15.75" customHeight="1">
      <c r="A477" s="1" t="s">
        <v>819</v>
      </c>
      <c r="B477" s="1" t="s">
        <v>820</v>
      </c>
      <c r="C477" s="1" t="s">
        <v>821</v>
      </c>
      <c r="D477" s="1">
        <v>2021.0</v>
      </c>
      <c r="E477" s="1" t="s">
        <v>14</v>
      </c>
      <c r="F477" s="1" t="s">
        <v>21</v>
      </c>
      <c r="G477" s="1" t="s">
        <v>822</v>
      </c>
      <c r="H477" s="1" t="s">
        <v>823</v>
      </c>
      <c r="I477" s="1">
        <v>6.0</v>
      </c>
      <c r="K477" s="4" t="s">
        <v>9332</v>
      </c>
    </row>
    <row r="478" ht="15.75" customHeight="1">
      <c r="A478" s="1" t="s">
        <v>824</v>
      </c>
      <c r="B478" s="1" t="s">
        <v>825</v>
      </c>
      <c r="C478" s="1" t="s">
        <v>826</v>
      </c>
      <c r="D478" s="1">
        <v>2020.0</v>
      </c>
      <c r="E478" s="1" t="s">
        <v>14</v>
      </c>
      <c r="F478" s="1" t="s">
        <v>21</v>
      </c>
      <c r="G478" s="1" t="s">
        <v>827</v>
      </c>
      <c r="H478" s="1" t="s">
        <v>828</v>
      </c>
      <c r="I478" s="1">
        <v>17.0</v>
      </c>
      <c r="K478" s="4" t="s">
        <v>9332</v>
      </c>
    </row>
    <row r="479" ht="15.75" customHeight="1">
      <c r="A479" s="1" t="s">
        <v>829</v>
      </c>
      <c r="B479" s="1" t="s">
        <v>830</v>
      </c>
      <c r="C479" s="1" t="s">
        <v>831</v>
      </c>
      <c r="D479" s="1">
        <v>2018.0</v>
      </c>
      <c r="E479" s="1" t="s">
        <v>14</v>
      </c>
      <c r="F479" s="1" t="s">
        <v>21</v>
      </c>
      <c r="G479" s="1" t="s">
        <v>832</v>
      </c>
      <c r="H479" s="1" t="s">
        <v>833</v>
      </c>
      <c r="I479" s="1">
        <v>23.0</v>
      </c>
      <c r="K479" s="4" t="s">
        <v>9332</v>
      </c>
    </row>
    <row r="480" ht="15.75" customHeight="1">
      <c r="A480" s="1" t="s">
        <v>839</v>
      </c>
      <c r="B480" s="1" t="s">
        <v>840</v>
      </c>
      <c r="C480" s="1" t="s">
        <v>841</v>
      </c>
      <c r="D480" s="1">
        <v>2021.0</v>
      </c>
      <c r="E480" s="1" t="s">
        <v>14</v>
      </c>
      <c r="F480" s="1" t="s">
        <v>15</v>
      </c>
      <c r="G480" s="1" t="s">
        <v>842</v>
      </c>
      <c r="H480" s="1" t="s">
        <v>843</v>
      </c>
      <c r="I480" s="1">
        <v>0.0</v>
      </c>
      <c r="K480" s="4" t="s">
        <v>9332</v>
      </c>
    </row>
    <row r="481" ht="15.75" customHeight="1">
      <c r="A481" s="1" t="s">
        <v>854</v>
      </c>
      <c r="B481" s="1" t="s">
        <v>855</v>
      </c>
      <c r="C481" s="1" t="s">
        <v>129</v>
      </c>
      <c r="D481" s="1">
        <v>2020.0</v>
      </c>
      <c r="E481" s="1" t="s">
        <v>14</v>
      </c>
      <c r="F481" s="1" t="s">
        <v>21</v>
      </c>
      <c r="G481" s="1" t="s">
        <v>856</v>
      </c>
      <c r="H481" s="1" t="s">
        <v>857</v>
      </c>
      <c r="I481" s="1">
        <v>3.0</v>
      </c>
      <c r="K481" s="4" t="s">
        <v>9332</v>
      </c>
    </row>
    <row r="482" ht="15.75" customHeight="1">
      <c r="A482" s="1" t="s">
        <v>858</v>
      </c>
      <c r="B482" s="1" t="s">
        <v>859</v>
      </c>
      <c r="C482" s="1" t="s">
        <v>860</v>
      </c>
      <c r="D482" s="1">
        <v>2018.0</v>
      </c>
      <c r="E482" s="1" t="s">
        <v>14</v>
      </c>
      <c r="F482" s="1" t="s">
        <v>15</v>
      </c>
      <c r="H482" s="1" t="s">
        <v>861</v>
      </c>
      <c r="I482" s="1">
        <v>1.0</v>
      </c>
      <c r="K482" s="4" t="s">
        <v>9332</v>
      </c>
    </row>
    <row r="483" ht="15.75" customHeight="1">
      <c r="A483" s="1" t="s">
        <v>862</v>
      </c>
      <c r="B483" s="1" t="s">
        <v>863</v>
      </c>
      <c r="C483" s="1" t="s">
        <v>864</v>
      </c>
      <c r="D483" s="1">
        <v>2019.0</v>
      </c>
      <c r="E483" s="1" t="s">
        <v>14</v>
      </c>
      <c r="F483" s="1" t="s">
        <v>21</v>
      </c>
      <c r="G483" s="1" t="s">
        <v>865</v>
      </c>
      <c r="H483" s="1" t="s">
        <v>866</v>
      </c>
      <c r="I483" s="1">
        <v>41.0</v>
      </c>
      <c r="K483" s="4" t="s">
        <v>9332</v>
      </c>
    </row>
    <row r="484" ht="15.75" customHeight="1">
      <c r="A484" s="1" t="s">
        <v>872</v>
      </c>
      <c r="B484" s="1" t="s">
        <v>873</v>
      </c>
      <c r="C484" s="1" t="s">
        <v>344</v>
      </c>
      <c r="D484" s="1">
        <v>2021.0</v>
      </c>
      <c r="E484" s="1" t="s">
        <v>14</v>
      </c>
      <c r="F484" s="1" t="s">
        <v>21</v>
      </c>
      <c r="G484" s="1" t="s">
        <v>874</v>
      </c>
      <c r="H484" s="1" t="s">
        <v>875</v>
      </c>
      <c r="I484" s="1">
        <v>6.0</v>
      </c>
      <c r="K484" s="4" t="s">
        <v>9332</v>
      </c>
    </row>
    <row r="485" ht="15.75" customHeight="1">
      <c r="A485" s="1" t="s">
        <v>881</v>
      </c>
      <c r="B485" s="1" t="s">
        <v>882</v>
      </c>
      <c r="C485" s="1" t="s">
        <v>449</v>
      </c>
      <c r="D485" s="1">
        <v>2019.0</v>
      </c>
      <c r="E485" s="1" t="s">
        <v>14</v>
      </c>
      <c r="F485" s="1" t="s">
        <v>15</v>
      </c>
      <c r="G485" s="1" t="s">
        <v>883</v>
      </c>
      <c r="H485" s="1" t="s">
        <v>884</v>
      </c>
      <c r="I485" s="1">
        <v>0.0</v>
      </c>
      <c r="K485" s="4" t="s">
        <v>9332</v>
      </c>
    </row>
    <row r="486" ht="15.75" customHeight="1">
      <c r="A486" s="1" t="s">
        <v>890</v>
      </c>
      <c r="B486" s="1" t="s">
        <v>891</v>
      </c>
      <c r="C486" s="1" t="s">
        <v>292</v>
      </c>
      <c r="D486" s="1">
        <v>2020.0</v>
      </c>
      <c r="E486" s="1" t="s">
        <v>14</v>
      </c>
      <c r="F486" s="1" t="s">
        <v>15</v>
      </c>
      <c r="G486" s="1" t="s">
        <v>892</v>
      </c>
      <c r="H486" s="1" t="s">
        <v>893</v>
      </c>
      <c r="I486" s="1">
        <v>2.0</v>
      </c>
      <c r="K486" s="4" t="s">
        <v>9332</v>
      </c>
    </row>
    <row r="487" ht="15.75" customHeight="1">
      <c r="A487" s="1" t="s">
        <v>894</v>
      </c>
      <c r="B487" s="1" t="s">
        <v>895</v>
      </c>
      <c r="C487" s="1" t="s">
        <v>896</v>
      </c>
      <c r="D487" s="1">
        <v>2018.0</v>
      </c>
      <c r="E487" s="1" t="s">
        <v>14</v>
      </c>
      <c r="F487" s="1" t="s">
        <v>21</v>
      </c>
      <c r="G487" s="1" t="s">
        <v>897</v>
      </c>
      <c r="H487" s="1" t="s">
        <v>898</v>
      </c>
      <c r="I487" s="1">
        <v>11.0</v>
      </c>
      <c r="K487" s="4" t="s">
        <v>9332</v>
      </c>
    </row>
    <row r="488" ht="15.75" customHeight="1">
      <c r="A488" s="1" t="s">
        <v>903</v>
      </c>
      <c r="B488" s="1" t="s">
        <v>904</v>
      </c>
      <c r="C488" s="1" t="s">
        <v>905</v>
      </c>
      <c r="D488" s="1">
        <v>2018.0</v>
      </c>
      <c r="E488" s="1" t="s">
        <v>14</v>
      </c>
      <c r="F488" s="1" t="s">
        <v>15</v>
      </c>
      <c r="G488" s="1" t="s">
        <v>906</v>
      </c>
      <c r="H488" s="1" t="s">
        <v>907</v>
      </c>
      <c r="I488" s="1">
        <v>0.0</v>
      </c>
      <c r="K488" s="4" t="s">
        <v>9332</v>
      </c>
    </row>
    <row r="489" ht="15.75" customHeight="1">
      <c r="A489" s="1" t="s">
        <v>908</v>
      </c>
      <c r="B489" s="1" t="s">
        <v>909</v>
      </c>
      <c r="C489" s="1" t="s">
        <v>910</v>
      </c>
      <c r="D489" s="1">
        <v>2020.0</v>
      </c>
      <c r="E489" s="1" t="s">
        <v>14</v>
      </c>
      <c r="F489" s="1" t="s">
        <v>21</v>
      </c>
      <c r="H489" s="1" t="s">
        <v>911</v>
      </c>
      <c r="I489" s="1">
        <v>1.0</v>
      </c>
      <c r="K489" s="4" t="s">
        <v>9332</v>
      </c>
    </row>
    <row r="490" ht="15.75" customHeight="1">
      <c r="A490" s="1" t="s">
        <v>912</v>
      </c>
      <c r="B490" s="1" t="s">
        <v>913</v>
      </c>
      <c r="C490" s="1" t="s">
        <v>320</v>
      </c>
      <c r="D490" s="1">
        <v>2020.0</v>
      </c>
      <c r="E490" s="1" t="s">
        <v>14</v>
      </c>
      <c r="F490" s="1" t="s">
        <v>15</v>
      </c>
      <c r="G490" s="1" t="s">
        <v>914</v>
      </c>
      <c r="H490" s="1" t="s">
        <v>915</v>
      </c>
      <c r="I490" s="1">
        <v>1.0</v>
      </c>
      <c r="K490" s="4" t="s">
        <v>9332</v>
      </c>
    </row>
    <row r="491" ht="15.75" customHeight="1">
      <c r="A491" s="1" t="s">
        <v>924</v>
      </c>
      <c r="B491" s="1" t="s">
        <v>925</v>
      </c>
      <c r="C491" s="1" t="s">
        <v>926</v>
      </c>
      <c r="D491" s="1">
        <v>2018.0</v>
      </c>
      <c r="E491" s="1" t="s">
        <v>14</v>
      </c>
      <c r="F491" s="1" t="s">
        <v>21</v>
      </c>
      <c r="G491" s="1" t="s">
        <v>927</v>
      </c>
      <c r="H491" s="1" t="s">
        <v>928</v>
      </c>
      <c r="I491" s="1">
        <v>11.0</v>
      </c>
      <c r="K491" s="4" t="s">
        <v>9332</v>
      </c>
    </row>
    <row r="492" ht="15.75" customHeight="1">
      <c r="A492" s="1" t="s">
        <v>934</v>
      </c>
      <c r="B492" s="1" t="s">
        <v>935</v>
      </c>
      <c r="C492" s="1" t="s">
        <v>936</v>
      </c>
      <c r="D492" s="1">
        <v>2018.0</v>
      </c>
      <c r="E492" s="1" t="s">
        <v>14</v>
      </c>
      <c r="F492" s="1" t="s">
        <v>15</v>
      </c>
      <c r="H492" s="1" t="s">
        <v>937</v>
      </c>
      <c r="I492" s="1">
        <v>2.0</v>
      </c>
      <c r="K492" s="4" t="s">
        <v>9332</v>
      </c>
    </row>
    <row r="493" ht="15.75" customHeight="1">
      <c r="A493" s="1" t="s">
        <v>938</v>
      </c>
      <c r="B493" s="1" t="s">
        <v>939</v>
      </c>
      <c r="C493" s="1" t="s">
        <v>940</v>
      </c>
      <c r="D493" s="1">
        <v>2020.0</v>
      </c>
      <c r="E493" s="1" t="s">
        <v>14</v>
      </c>
      <c r="F493" s="1" t="s">
        <v>15</v>
      </c>
      <c r="G493" s="1" t="s">
        <v>941</v>
      </c>
      <c r="H493" s="1" t="s">
        <v>942</v>
      </c>
      <c r="I493" s="1">
        <v>6.0</v>
      </c>
      <c r="K493" s="4" t="s">
        <v>9332</v>
      </c>
    </row>
    <row r="494" ht="15.75" customHeight="1">
      <c r="A494" s="1" t="s">
        <v>943</v>
      </c>
      <c r="B494" s="1" t="s">
        <v>944</v>
      </c>
      <c r="C494" s="1" t="s">
        <v>945</v>
      </c>
      <c r="D494" s="1">
        <v>2015.0</v>
      </c>
      <c r="E494" s="1" t="s">
        <v>14</v>
      </c>
      <c r="F494" s="1" t="s">
        <v>15</v>
      </c>
      <c r="H494" s="1" t="s">
        <v>946</v>
      </c>
      <c r="I494" s="1">
        <v>9.0</v>
      </c>
      <c r="K494" s="4" t="s">
        <v>9332</v>
      </c>
    </row>
    <row r="495" ht="15.75" customHeight="1">
      <c r="A495" s="1" t="s">
        <v>947</v>
      </c>
      <c r="B495" s="1" t="s">
        <v>948</v>
      </c>
      <c r="C495" s="1" t="s">
        <v>949</v>
      </c>
      <c r="D495" s="1">
        <v>2013.0</v>
      </c>
      <c r="E495" s="1" t="s">
        <v>14</v>
      </c>
      <c r="F495" s="1" t="s">
        <v>15</v>
      </c>
      <c r="G495" s="1" t="s">
        <v>950</v>
      </c>
      <c r="H495" s="1" t="s">
        <v>951</v>
      </c>
      <c r="I495" s="1">
        <v>13.0</v>
      </c>
      <c r="K495" s="4" t="s">
        <v>9332</v>
      </c>
    </row>
    <row r="496" ht="15.75" customHeight="1">
      <c r="A496" s="1" t="s">
        <v>952</v>
      </c>
      <c r="B496" s="1" t="s">
        <v>953</v>
      </c>
      <c r="C496" s="1" t="s">
        <v>954</v>
      </c>
      <c r="D496" s="1">
        <v>2014.0</v>
      </c>
      <c r="E496" s="1" t="s">
        <v>14</v>
      </c>
      <c r="F496" s="1" t="s">
        <v>21</v>
      </c>
      <c r="G496" s="1" t="s">
        <v>955</v>
      </c>
      <c r="H496" s="1" t="s">
        <v>956</v>
      </c>
      <c r="I496" s="1">
        <v>12.0</v>
      </c>
      <c r="K496" s="4" t="s">
        <v>9332</v>
      </c>
    </row>
    <row r="497" ht="15.75" customHeight="1">
      <c r="A497" s="1" t="s">
        <v>957</v>
      </c>
      <c r="B497" s="1" t="s">
        <v>958</v>
      </c>
      <c r="C497" s="1" t="s">
        <v>959</v>
      </c>
      <c r="D497" s="1">
        <v>2015.0</v>
      </c>
      <c r="E497" s="1" t="s">
        <v>14</v>
      </c>
      <c r="F497" s="1" t="s">
        <v>21</v>
      </c>
      <c r="G497" s="1" t="s">
        <v>960</v>
      </c>
      <c r="H497" s="1" t="s">
        <v>961</v>
      </c>
      <c r="I497" s="1">
        <v>10.0</v>
      </c>
      <c r="K497" s="4" t="s">
        <v>9332</v>
      </c>
    </row>
    <row r="498" ht="15.75" customHeight="1">
      <c r="A498" s="1" t="s">
        <v>962</v>
      </c>
      <c r="B498" s="1" t="s">
        <v>963</v>
      </c>
      <c r="C498" s="1" t="s">
        <v>964</v>
      </c>
      <c r="D498" s="1">
        <v>2014.0</v>
      </c>
      <c r="E498" s="1" t="s">
        <v>14</v>
      </c>
      <c r="F498" s="1" t="s">
        <v>15</v>
      </c>
      <c r="H498" s="1" t="s">
        <v>965</v>
      </c>
      <c r="I498" s="1">
        <v>0.0</v>
      </c>
      <c r="K498" s="4" t="s">
        <v>9332</v>
      </c>
    </row>
    <row r="499" ht="15.75" customHeight="1">
      <c r="A499" s="1" t="s">
        <v>966</v>
      </c>
      <c r="B499" s="1" t="s">
        <v>967</v>
      </c>
      <c r="C499" s="1" t="s">
        <v>18</v>
      </c>
      <c r="D499" s="1">
        <v>2017.0</v>
      </c>
      <c r="E499" s="1" t="s">
        <v>14</v>
      </c>
      <c r="F499" s="1" t="s">
        <v>21</v>
      </c>
      <c r="G499" s="1" t="s">
        <v>968</v>
      </c>
      <c r="H499" s="1" t="s">
        <v>969</v>
      </c>
      <c r="I499" s="1">
        <v>6.0</v>
      </c>
      <c r="K499" s="4" t="s">
        <v>9332</v>
      </c>
    </row>
    <row r="500" ht="15.75" customHeight="1">
      <c r="A500" s="1" t="s">
        <v>975</v>
      </c>
      <c r="B500" s="1" t="s">
        <v>976</v>
      </c>
      <c r="C500" s="1" t="s">
        <v>977</v>
      </c>
      <c r="D500" s="1">
        <v>2015.0</v>
      </c>
      <c r="E500" s="1" t="s">
        <v>14</v>
      </c>
      <c r="F500" s="1" t="s">
        <v>21</v>
      </c>
      <c r="G500" s="1" t="s">
        <v>978</v>
      </c>
      <c r="H500" s="1" t="s">
        <v>979</v>
      </c>
      <c r="I500" s="1">
        <v>6.0</v>
      </c>
      <c r="K500" s="4" t="s">
        <v>9332</v>
      </c>
    </row>
    <row r="501" ht="15.75" customHeight="1">
      <c r="A501" s="1" t="s">
        <v>980</v>
      </c>
      <c r="B501" s="1" t="s">
        <v>981</v>
      </c>
      <c r="C501" s="1" t="s">
        <v>982</v>
      </c>
      <c r="D501" s="1">
        <v>2014.0</v>
      </c>
      <c r="E501" s="1" t="s">
        <v>14</v>
      </c>
      <c r="F501" s="1" t="s">
        <v>15</v>
      </c>
      <c r="G501" s="1" t="s">
        <v>983</v>
      </c>
      <c r="H501" s="1" t="s">
        <v>984</v>
      </c>
      <c r="I501" s="1">
        <v>33.0</v>
      </c>
      <c r="K501" s="4" t="s">
        <v>9332</v>
      </c>
    </row>
    <row r="502" ht="15.75" customHeight="1">
      <c r="A502" s="1" t="s">
        <v>990</v>
      </c>
      <c r="B502" s="1" t="s">
        <v>991</v>
      </c>
      <c r="C502" s="1" t="s">
        <v>63</v>
      </c>
      <c r="D502" s="1">
        <v>2016.0</v>
      </c>
      <c r="E502" s="1" t="s">
        <v>14</v>
      </c>
      <c r="F502" s="1" t="s">
        <v>15</v>
      </c>
      <c r="G502" s="1" t="s">
        <v>992</v>
      </c>
      <c r="H502" s="1" t="s">
        <v>993</v>
      </c>
      <c r="I502" s="1">
        <v>6.0</v>
      </c>
      <c r="K502" s="4" t="s">
        <v>9332</v>
      </c>
    </row>
    <row r="503" ht="15.75" customHeight="1">
      <c r="A503" s="1" t="s">
        <v>999</v>
      </c>
      <c r="B503" s="1" t="s">
        <v>1000</v>
      </c>
      <c r="C503" s="1" t="s">
        <v>63</v>
      </c>
      <c r="D503" s="1">
        <v>2017.0</v>
      </c>
      <c r="E503" s="1" t="s">
        <v>14</v>
      </c>
      <c r="F503" s="1" t="s">
        <v>15</v>
      </c>
      <c r="G503" s="1" t="s">
        <v>1001</v>
      </c>
      <c r="H503" s="1" t="s">
        <v>1002</v>
      </c>
      <c r="I503" s="1">
        <v>20.0</v>
      </c>
      <c r="K503" s="4" t="s">
        <v>9332</v>
      </c>
    </row>
    <row r="504" ht="15.75" customHeight="1">
      <c r="A504" s="1" t="s">
        <v>1003</v>
      </c>
      <c r="B504" s="1" t="s">
        <v>1004</v>
      </c>
      <c r="C504" s="1" t="s">
        <v>1005</v>
      </c>
      <c r="D504" s="1">
        <v>2017.0</v>
      </c>
      <c r="E504" s="1" t="s">
        <v>14</v>
      </c>
      <c r="F504" s="1" t="s">
        <v>15</v>
      </c>
      <c r="G504" s="1" t="s">
        <v>1006</v>
      </c>
      <c r="H504" s="1" t="s">
        <v>1007</v>
      </c>
      <c r="I504" s="1">
        <v>27.0</v>
      </c>
      <c r="K504" s="4" t="s">
        <v>9332</v>
      </c>
    </row>
    <row r="505" ht="15.75" customHeight="1">
      <c r="A505" s="1" t="s">
        <v>1008</v>
      </c>
      <c r="B505" s="1" t="s">
        <v>1009</v>
      </c>
      <c r="C505" s="1" t="s">
        <v>216</v>
      </c>
      <c r="D505" s="1">
        <v>2016.0</v>
      </c>
      <c r="E505" s="1" t="s">
        <v>14</v>
      </c>
      <c r="F505" s="1" t="s">
        <v>21</v>
      </c>
      <c r="G505" s="1" t="s">
        <v>1010</v>
      </c>
      <c r="H505" s="1" t="s">
        <v>1011</v>
      </c>
      <c r="I505" s="1">
        <v>3.0</v>
      </c>
      <c r="K505" s="4" t="s">
        <v>9332</v>
      </c>
    </row>
    <row r="506" ht="15.75" customHeight="1">
      <c r="A506" s="1" t="s">
        <v>1012</v>
      </c>
      <c r="B506" s="1" t="s">
        <v>1013</v>
      </c>
      <c r="C506" s="1" t="s">
        <v>1014</v>
      </c>
      <c r="D506" s="1">
        <v>2015.0</v>
      </c>
      <c r="E506" s="1" t="s">
        <v>14</v>
      </c>
      <c r="F506" s="1" t="s">
        <v>21</v>
      </c>
      <c r="G506" s="1" t="s">
        <v>1015</v>
      </c>
      <c r="H506" s="1" t="s">
        <v>1016</v>
      </c>
      <c r="I506" s="1">
        <v>11.0</v>
      </c>
      <c r="K506" s="4" t="s">
        <v>9332</v>
      </c>
    </row>
    <row r="507" ht="15.75" customHeight="1">
      <c r="A507" s="1" t="s">
        <v>1017</v>
      </c>
      <c r="B507" s="1" t="s">
        <v>1018</v>
      </c>
      <c r="C507" s="1" t="s">
        <v>1019</v>
      </c>
      <c r="D507" s="1">
        <v>2017.0</v>
      </c>
      <c r="E507" s="1" t="s">
        <v>14</v>
      </c>
      <c r="F507" s="1" t="s">
        <v>15</v>
      </c>
      <c r="G507" s="1" t="s">
        <v>1020</v>
      </c>
      <c r="H507" s="1" t="s">
        <v>1021</v>
      </c>
      <c r="I507" s="1">
        <v>2.0</v>
      </c>
      <c r="K507" s="4" t="s">
        <v>9332</v>
      </c>
    </row>
    <row r="508" ht="15.75" customHeight="1">
      <c r="A508" s="1" t="s">
        <v>1032</v>
      </c>
      <c r="B508" s="1" t="s">
        <v>1033</v>
      </c>
      <c r="C508" s="1" t="s">
        <v>1034</v>
      </c>
      <c r="D508" s="1">
        <v>2016.0</v>
      </c>
      <c r="E508" s="1" t="s">
        <v>14</v>
      </c>
      <c r="F508" s="1" t="s">
        <v>15</v>
      </c>
      <c r="H508" s="1" t="s">
        <v>1035</v>
      </c>
      <c r="I508" s="1">
        <v>0.0</v>
      </c>
      <c r="K508" s="4" t="s">
        <v>9332</v>
      </c>
    </row>
    <row r="509" ht="15.75" customHeight="1">
      <c r="A509" s="1" t="s">
        <v>1040</v>
      </c>
      <c r="B509" s="1" t="s">
        <v>1041</v>
      </c>
      <c r="C509" s="1" t="s">
        <v>1042</v>
      </c>
      <c r="D509" s="1">
        <v>2013.0</v>
      </c>
      <c r="E509" s="1" t="s">
        <v>14</v>
      </c>
      <c r="F509" s="1" t="s">
        <v>21</v>
      </c>
      <c r="G509" s="1" t="s">
        <v>1043</v>
      </c>
      <c r="H509" s="1" t="s">
        <v>1044</v>
      </c>
      <c r="I509" s="1">
        <v>4.0</v>
      </c>
      <c r="K509" s="4" t="s">
        <v>9332</v>
      </c>
    </row>
    <row r="510" ht="15.75" customHeight="1">
      <c r="A510" s="1" t="s">
        <v>1055</v>
      </c>
      <c r="B510" s="1" t="s">
        <v>1056</v>
      </c>
      <c r="C510" s="1" t="s">
        <v>936</v>
      </c>
      <c r="D510" s="1">
        <v>2015.0</v>
      </c>
      <c r="E510" s="1" t="s">
        <v>14</v>
      </c>
      <c r="F510" s="1" t="s">
        <v>15</v>
      </c>
      <c r="H510" s="1" t="s">
        <v>1057</v>
      </c>
      <c r="I510" s="1">
        <v>0.0</v>
      </c>
      <c r="K510" s="4" t="s">
        <v>9332</v>
      </c>
    </row>
    <row r="511" ht="15.75" customHeight="1">
      <c r="A511" s="1" t="s">
        <v>1058</v>
      </c>
      <c r="B511" s="1" t="s">
        <v>1059</v>
      </c>
      <c r="C511" s="1" t="s">
        <v>63</v>
      </c>
      <c r="D511" s="1">
        <v>2016.0</v>
      </c>
      <c r="E511" s="1" t="s">
        <v>14</v>
      </c>
      <c r="F511" s="1" t="s">
        <v>15</v>
      </c>
      <c r="G511" s="1" t="s">
        <v>1060</v>
      </c>
      <c r="H511" s="1" t="s">
        <v>1061</v>
      </c>
      <c r="I511" s="1">
        <v>3.0</v>
      </c>
      <c r="K511" s="4" t="s">
        <v>9332</v>
      </c>
    </row>
    <row r="512" ht="15.75" customHeight="1">
      <c r="A512" s="1" t="s">
        <v>1067</v>
      </c>
      <c r="B512" s="1" t="s">
        <v>1068</v>
      </c>
      <c r="C512" s="1" t="s">
        <v>1069</v>
      </c>
      <c r="D512" s="1">
        <v>2018.0</v>
      </c>
      <c r="E512" s="1" t="s">
        <v>14</v>
      </c>
      <c r="F512" s="1" t="s">
        <v>15</v>
      </c>
      <c r="G512" s="1" t="s">
        <v>1070</v>
      </c>
      <c r="H512" s="1" t="s">
        <v>1071</v>
      </c>
      <c r="I512" s="1">
        <v>0.0</v>
      </c>
      <c r="K512" s="4" t="s">
        <v>9332</v>
      </c>
    </row>
    <row r="513" ht="15.75" customHeight="1">
      <c r="A513" s="1" t="s">
        <v>1072</v>
      </c>
      <c r="B513" s="1" t="s">
        <v>1073</v>
      </c>
      <c r="C513" s="1" t="s">
        <v>1074</v>
      </c>
      <c r="D513" s="1">
        <v>2015.0</v>
      </c>
      <c r="E513" s="1" t="s">
        <v>14</v>
      </c>
      <c r="F513" s="1" t="s">
        <v>15</v>
      </c>
      <c r="G513" s="1" t="s">
        <v>1075</v>
      </c>
      <c r="H513" s="1" t="s">
        <v>1076</v>
      </c>
      <c r="I513" s="1">
        <v>19.0</v>
      </c>
      <c r="K513" s="4" t="s">
        <v>9332</v>
      </c>
    </row>
    <row r="514" ht="15.75" customHeight="1">
      <c r="A514" s="1" t="s">
        <v>1077</v>
      </c>
      <c r="B514" s="1" t="s">
        <v>1078</v>
      </c>
      <c r="C514" s="1" t="s">
        <v>1079</v>
      </c>
      <c r="D514" s="1">
        <v>2016.0</v>
      </c>
      <c r="E514" s="1" t="s">
        <v>14</v>
      </c>
      <c r="F514" s="1" t="s">
        <v>15</v>
      </c>
      <c r="G514" s="1" t="s">
        <v>1080</v>
      </c>
      <c r="H514" s="1" t="s">
        <v>1081</v>
      </c>
      <c r="I514" s="1">
        <v>4.0</v>
      </c>
      <c r="K514" s="4" t="s">
        <v>9332</v>
      </c>
    </row>
    <row r="515" ht="15.75" customHeight="1">
      <c r="A515" s="1" t="s">
        <v>1082</v>
      </c>
      <c r="B515" s="1" t="s">
        <v>1083</v>
      </c>
      <c r="C515" s="1" t="s">
        <v>1084</v>
      </c>
      <c r="D515" s="1">
        <v>2015.0</v>
      </c>
      <c r="E515" s="1" t="s">
        <v>14</v>
      </c>
      <c r="F515" s="1" t="s">
        <v>15</v>
      </c>
      <c r="G515" s="1" t="s">
        <v>1085</v>
      </c>
      <c r="H515" s="1" t="s">
        <v>1086</v>
      </c>
      <c r="I515" s="1">
        <v>3.0</v>
      </c>
      <c r="K515" s="4" t="s">
        <v>9332</v>
      </c>
    </row>
    <row r="516" ht="15.75" customHeight="1">
      <c r="A516" s="1" t="s">
        <v>1105</v>
      </c>
      <c r="B516" s="1" t="s">
        <v>1106</v>
      </c>
      <c r="C516" s="1" t="s">
        <v>63</v>
      </c>
      <c r="D516" s="1">
        <v>2015.0</v>
      </c>
      <c r="E516" s="1" t="s">
        <v>14</v>
      </c>
      <c r="F516" s="1" t="s">
        <v>15</v>
      </c>
      <c r="G516" s="1" t="s">
        <v>1107</v>
      </c>
      <c r="H516" s="1" t="s">
        <v>1108</v>
      </c>
      <c r="I516" s="1">
        <v>22.0</v>
      </c>
      <c r="K516" s="4" t="s">
        <v>9332</v>
      </c>
    </row>
    <row r="517" ht="15.75" customHeight="1">
      <c r="A517" s="1" t="s">
        <v>1109</v>
      </c>
      <c r="B517" s="1" t="s">
        <v>1110</v>
      </c>
      <c r="C517" s="1" t="s">
        <v>1111</v>
      </c>
      <c r="D517" s="1">
        <v>2016.0</v>
      </c>
      <c r="E517" s="1" t="s">
        <v>14</v>
      </c>
      <c r="F517" s="1" t="s">
        <v>15</v>
      </c>
      <c r="G517" s="1" t="s">
        <v>1112</v>
      </c>
      <c r="H517" s="1" t="s">
        <v>1113</v>
      </c>
      <c r="I517" s="1">
        <v>3.0</v>
      </c>
      <c r="K517" s="4" t="s">
        <v>9332</v>
      </c>
    </row>
    <row r="518" ht="15.75" customHeight="1">
      <c r="A518" s="1" t="s">
        <v>1128</v>
      </c>
      <c r="B518" s="1" t="s">
        <v>1129</v>
      </c>
      <c r="C518" s="1" t="s">
        <v>1130</v>
      </c>
      <c r="D518" s="1">
        <v>2014.0</v>
      </c>
      <c r="E518" s="1" t="s">
        <v>14</v>
      </c>
      <c r="F518" s="1" t="s">
        <v>15</v>
      </c>
      <c r="H518" s="1" t="s">
        <v>1131</v>
      </c>
      <c r="I518" s="1">
        <v>0.0</v>
      </c>
      <c r="K518" s="4" t="s">
        <v>9332</v>
      </c>
    </row>
    <row r="519" ht="15.75" customHeight="1">
      <c r="A519" s="1" t="s">
        <v>1165</v>
      </c>
      <c r="B519" s="1" t="s">
        <v>1166</v>
      </c>
      <c r="C519" s="1" t="s">
        <v>1167</v>
      </c>
      <c r="D519" s="1">
        <v>2017.0</v>
      </c>
      <c r="E519" s="1" t="s">
        <v>14</v>
      </c>
      <c r="F519" s="1" t="s">
        <v>21</v>
      </c>
      <c r="G519" s="1" t="s">
        <v>1168</v>
      </c>
      <c r="H519" s="1" t="s">
        <v>1169</v>
      </c>
      <c r="I519" s="1">
        <v>1.0</v>
      </c>
      <c r="K519" s="4" t="s">
        <v>9332</v>
      </c>
    </row>
    <row r="520" ht="15.75" customHeight="1">
      <c r="A520" s="1" t="s">
        <v>1170</v>
      </c>
      <c r="B520" s="1" t="s">
        <v>1171</v>
      </c>
      <c r="C520" s="1" t="s">
        <v>1172</v>
      </c>
      <c r="D520" s="1">
        <v>2015.0</v>
      </c>
      <c r="E520" s="1" t="s">
        <v>14</v>
      </c>
      <c r="F520" s="1" t="s">
        <v>21</v>
      </c>
      <c r="G520" s="1" t="s">
        <v>1173</v>
      </c>
      <c r="H520" s="1" t="s">
        <v>1174</v>
      </c>
      <c r="I520" s="1">
        <v>0.0</v>
      </c>
      <c r="K520" s="4" t="s">
        <v>9332</v>
      </c>
    </row>
    <row r="521" ht="15.75" customHeight="1">
      <c r="A521" s="1" t="s">
        <v>1192</v>
      </c>
      <c r="B521" s="1" t="s">
        <v>1193</v>
      </c>
      <c r="C521" s="1" t="s">
        <v>1194</v>
      </c>
      <c r="D521" s="1">
        <v>2017.0</v>
      </c>
      <c r="E521" s="1" t="s">
        <v>14</v>
      </c>
      <c r="F521" s="1" t="s">
        <v>21</v>
      </c>
      <c r="G521" s="1" t="s">
        <v>1195</v>
      </c>
      <c r="H521" s="1" t="s">
        <v>1196</v>
      </c>
      <c r="I521" s="1">
        <v>25.0</v>
      </c>
      <c r="K521" s="4" t="s">
        <v>9332</v>
      </c>
    </row>
    <row r="522" ht="15.75" customHeight="1">
      <c r="A522" s="1" t="s">
        <v>1197</v>
      </c>
      <c r="B522" s="1" t="s">
        <v>1198</v>
      </c>
      <c r="C522" s="1" t="s">
        <v>1199</v>
      </c>
      <c r="D522" s="1">
        <v>2017.0</v>
      </c>
      <c r="E522" s="1" t="s">
        <v>14</v>
      </c>
      <c r="F522" s="1" t="s">
        <v>21</v>
      </c>
      <c r="G522" s="1" t="s">
        <v>1200</v>
      </c>
      <c r="H522" s="1" t="s">
        <v>1201</v>
      </c>
      <c r="I522" s="1">
        <v>164.0</v>
      </c>
      <c r="K522" s="4" t="s">
        <v>9332</v>
      </c>
    </row>
    <row r="523" ht="15.75" customHeight="1">
      <c r="A523" s="1" t="s">
        <v>1202</v>
      </c>
      <c r="B523" s="1" t="s">
        <v>1203</v>
      </c>
      <c r="C523" s="1" t="s">
        <v>320</v>
      </c>
      <c r="D523" s="1">
        <v>2016.0</v>
      </c>
      <c r="E523" s="1" t="s">
        <v>14</v>
      </c>
      <c r="F523" s="1" t="s">
        <v>15</v>
      </c>
      <c r="G523" s="1" t="s">
        <v>1204</v>
      </c>
      <c r="H523" s="1" t="s">
        <v>1205</v>
      </c>
      <c r="I523" s="1">
        <v>19.0</v>
      </c>
      <c r="K523" s="4" t="s">
        <v>9332</v>
      </c>
    </row>
    <row r="524" ht="15.75" customHeight="1">
      <c r="A524" s="1" t="s">
        <v>1213</v>
      </c>
      <c r="B524" s="1" t="s">
        <v>1214</v>
      </c>
      <c r="C524" s="1" t="s">
        <v>1215</v>
      </c>
      <c r="D524" s="1">
        <v>2014.0</v>
      </c>
      <c r="E524" s="1" t="s">
        <v>14</v>
      </c>
      <c r="F524" s="1" t="s">
        <v>15</v>
      </c>
      <c r="H524" s="1" t="s">
        <v>1216</v>
      </c>
      <c r="I524" s="1">
        <v>0.0</v>
      </c>
      <c r="K524" s="4" t="s">
        <v>9332</v>
      </c>
    </row>
    <row r="525" ht="15.75" customHeight="1">
      <c r="A525" s="1" t="s">
        <v>1222</v>
      </c>
      <c r="B525" s="1" t="s">
        <v>1223</v>
      </c>
      <c r="C525" s="1" t="s">
        <v>1224</v>
      </c>
      <c r="D525" s="1">
        <v>2016.0</v>
      </c>
      <c r="E525" s="1" t="s">
        <v>14</v>
      </c>
      <c r="F525" s="1" t="s">
        <v>15</v>
      </c>
      <c r="G525" s="1" t="s">
        <v>1225</v>
      </c>
      <c r="H525" s="1" t="s">
        <v>1226</v>
      </c>
      <c r="I525" s="1">
        <v>14.0</v>
      </c>
      <c r="K525" s="4" t="s">
        <v>9332</v>
      </c>
    </row>
    <row r="526" ht="15.75" customHeight="1">
      <c r="A526" s="1" t="s">
        <v>1231</v>
      </c>
      <c r="B526" s="1" t="s">
        <v>1232</v>
      </c>
      <c r="C526" s="1" t="s">
        <v>1233</v>
      </c>
      <c r="D526" s="1">
        <v>2016.0</v>
      </c>
      <c r="E526" s="1" t="s">
        <v>14</v>
      </c>
      <c r="F526" s="1" t="s">
        <v>15</v>
      </c>
      <c r="H526" s="1" t="s">
        <v>1234</v>
      </c>
      <c r="I526" s="1">
        <v>0.0</v>
      </c>
      <c r="K526" s="4" t="s">
        <v>9332</v>
      </c>
    </row>
    <row r="527" ht="15.75" customHeight="1">
      <c r="A527" s="1" t="s">
        <v>1235</v>
      </c>
      <c r="B527" s="1" t="s">
        <v>1236</v>
      </c>
      <c r="C527" s="1" t="s">
        <v>1237</v>
      </c>
      <c r="D527" s="1">
        <v>2017.0</v>
      </c>
      <c r="E527" s="1" t="s">
        <v>14</v>
      </c>
      <c r="F527" s="1" t="s">
        <v>21</v>
      </c>
      <c r="G527" s="1" t="s">
        <v>1238</v>
      </c>
      <c r="H527" s="1" t="s">
        <v>1239</v>
      </c>
      <c r="I527" s="1">
        <v>117.0</v>
      </c>
      <c r="K527" s="4" t="s">
        <v>9332</v>
      </c>
    </row>
    <row r="528" ht="15.75" customHeight="1">
      <c r="A528" s="1" t="s">
        <v>1240</v>
      </c>
      <c r="B528" s="1" t="s">
        <v>1241</v>
      </c>
      <c r="C528" s="1" t="s">
        <v>320</v>
      </c>
      <c r="D528" s="1">
        <v>2015.0</v>
      </c>
      <c r="E528" s="1" t="s">
        <v>14</v>
      </c>
      <c r="F528" s="1" t="s">
        <v>15</v>
      </c>
      <c r="G528" s="1" t="s">
        <v>1242</v>
      </c>
      <c r="H528" s="1" t="s">
        <v>1243</v>
      </c>
      <c r="I528" s="1">
        <v>52.0</v>
      </c>
      <c r="K528" s="4" t="s">
        <v>9332</v>
      </c>
    </row>
    <row r="529" ht="15.75" customHeight="1">
      <c r="A529" s="1" t="s">
        <v>1244</v>
      </c>
      <c r="B529" s="1" t="s">
        <v>1245</v>
      </c>
      <c r="C529" s="1" t="s">
        <v>1246</v>
      </c>
      <c r="D529" s="1">
        <v>2015.0</v>
      </c>
      <c r="E529" s="1" t="s">
        <v>14</v>
      </c>
      <c r="F529" s="1" t="s">
        <v>15</v>
      </c>
      <c r="H529" s="1" t="s">
        <v>1247</v>
      </c>
      <c r="I529" s="1">
        <v>1.0</v>
      </c>
      <c r="K529" s="4" t="s">
        <v>9332</v>
      </c>
    </row>
    <row r="530" ht="15.75" customHeight="1">
      <c r="A530" s="1" t="s">
        <v>1248</v>
      </c>
      <c r="B530" s="1" t="s">
        <v>1249</v>
      </c>
      <c r="C530" s="1" t="s">
        <v>18</v>
      </c>
      <c r="D530" s="1">
        <v>2016.0</v>
      </c>
      <c r="E530" s="1" t="s">
        <v>14</v>
      </c>
      <c r="F530" s="1" t="s">
        <v>21</v>
      </c>
      <c r="G530" s="1" t="s">
        <v>1250</v>
      </c>
      <c r="H530" s="1" t="s">
        <v>1251</v>
      </c>
      <c r="I530" s="1">
        <v>31.0</v>
      </c>
      <c r="K530" s="4" t="s">
        <v>9332</v>
      </c>
    </row>
    <row r="531" ht="15.75" customHeight="1">
      <c r="A531" s="1" t="s">
        <v>1252</v>
      </c>
      <c r="B531" s="1" t="s">
        <v>1253</v>
      </c>
      <c r="C531" s="1" t="s">
        <v>1254</v>
      </c>
      <c r="D531" s="1">
        <v>2016.0</v>
      </c>
      <c r="E531" s="1" t="s">
        <v>14</v>
      </c>
      <c r="F531" s="1" t="s">
        <v>21</v>
      </c>
      <c r="G531" s="1" t="s">
        <v>1255</v>
      </c>
      <c r="H531" s="1" t="s">
        <v>1256</v>
      </c>
      <c r="I531" s="1">
        <v>49.0</v>
      </c>
      <c r="K531" s="4" t="s">
        <v>9332</v>
      </c>
    </row>
    <row r="532" ht="15.75" customHeight="1">
      <c r="A532" s="1" t="s">
        <v>1257</v>
      </c>
      <c r="B532" s="1" t="s">
        <v>1258</v>
      </c>
      <c r="C532" s="1" t="s">
        <v>1259</v>
      </c>
      <c r="D532" s="1">
        <v>2017.0</v>
      </c>
      <c r="E532" s="1" t="s">
        <v>14</v>
      </c>
      <c r="F532" s="1" t="s">
        <v>21</v>
      </c>
      <c r="G532" s="1" t="s">
        <v>1260</v>
      </c>
      <c r="H532" s="1" t="s">
        <v>1261</v>
      </c>
      <c r="I532" s="1">
        <v>22.0</v>
      </c>
      <c r="K532" s="4" t="s">
        <v>9332</v>
      </c>
    </row>
    <row r="533" ht="15.75" customHeight="1">
      <c r="A533" s="1" t="s">
        <v>1262</v>
      </c>
      <c r="B533" s="1" t="s">
        <v>1263</v>
      </c>
      <c r="C533" s="1" t="s">
        <v>1264</v>
      </c>
      <c r="D533" s="1">
        <v>2013.0</v>
      </c>
      <c r="E533" s="1" t="s">
        <v>14</v>
      </c>
      <c r="F533" s="1" t="s">
        <v>15</v>
      </c>
      <c r="G533" s="1" t="s">
        <v>1265</v>
      </c>
      <c r="H533" s="1" t="s">
        <v>1266</v>
      </c>
      <c r="I533" s="1">
        <v>8.0</v>
      </c>
      <c r="K533" s="4" t="s">
        <v>9332</v>
      </c>
    </row>
    <row r="534" ht="15.75" customHeight="1">
      <c r="A534" s="1" t="s">
        <v>1272</v>
      </c>
      <c r="B534" s="1" t="s">
        <v>1273</v>
      </c>
      <c r="C534" s="1" t="s">
        <v>1274</v>
      </c>
      <c r="D534" s="1">
        <v>2017.0</v>
      </c>
      <c r="E534" s="1" t="s">
        <v>14</v>
      </c>
      <c r="F534" s="1" t="s">
        <v>15</v>
      </c>
      <c r="G534" s="1" t="s">
        <v>1275</v>
      </c>
      <c r="H534" s="1" t="s">
        <v>1276</v>
      </c>
      <c r="I534" s="1">
        <v>8.0</v>
      </c>
      <c r="K534" s="4" t="s">
        <v>9332</v>
      </c>
    </row>
    <row r="535" ht="15.75" customHeight="1">
      <c r="A535" s="1" t="s">
        <v>1277</v>
      </c>
      <c r="B535" s="1" t="s">
        <v>1278</v>
      </c>
      <c r="C535" s="1" t="s">
        <v>1279</v>
      </c>
      <c r="D535" s="1">
        <v>2016.0</v>
      </c>
      <c r="E535" s="1" t="s">
        <v>14</v>
      </c>
      <c r="F535" s="1" t="s">
        <v>21</v>
      </c>
      <c r="G535" s="1" t="s">
        <v>1280</v>
      </c>
      <c r="H535" s="1" t="s">
        <v>1281</v>
      </c>
      <c r="I535" s="1">
        <v>10.0</v>
      </c>
      <c r="K535" s="4" t="s">
        <v>9332</v>
      </c>
    </row>
    <row r="536" ht="15.75" customHeight="1">
      <c r="A536" s="1" t="s">
        <v>1282</v>
      </c>
      <c r="B536" s="1" t="s">
        <v>1283</v>
      </c>
      <c r="C536" s="1" t="s">
        <v>1284</v>
      </c>
      <c r="D536" s="1">
        <v>2017.0</v>
      </c>
      <c r="E536" s="1" t="s">
        <v>14</v>
      </c>
      <c r="F536" s="1" t="s">
        <v>15</v>
      </c>
      <c r="G536" s="1" t="s">
        <v>1285</v>
      </c>
      <c r="H536" s="1" t="s">
        <v>1286</v>
      </c>
      <c r="I536" s="1">
        <v>9.0</v>
      </c>
      <c r="K536" s="4" t="s">
        <v>9332</v>
      </c>
    </row>
    <row r="537" ht="15.75" customHeight="1">
      <c r="A537" s="1" t="s">
        <v>1287</v>
      </c>
      <c r="B537" s="1" t="s">
        <v>1288</v>
      </c>
      <c r="C537" s="1" t="s">
        <v>1289</v>
      </c>
      <c r="D537" s="1">
        <v>2017.0</v>
      </c>
      <c r="E537" s="1" t="s">
        <v>14</v>
      </c>
      <c r="F537" s="1" t="s">
        <v>15</v>
      </c>
      <c r="G537" s="1" t="s">
        <v>1290</v>
      </c>
      <c r="H537" s="1" t="s">
        <v>1291</v>
      </c>
      <c r="I537" s="1">
        <v>16.0</v>
      </c>
      <c r="K537" s="4" t="s">
        <v>9332</v>
      </c>
    </row>
    <row r="538" ht="15.75" customHeight="1">
      <c r="A538" s="1" t="s">
        <v>1297</v>
      </c>
      <c r="B538" s="1" t="s">
        <v>1298</v>
      </c>
      <c r="C538" s="1" t="s">
        <v>63</v>
      </c>
      <c r="D538" s="1">
        <v>2013.0</v>
      </c>
      <c r="E538" s="1" t="s">
        <v>14</v>
      </c>
      <c r="F538" s="1" t="s">
        <v>15</v>
      </c>
      <c r="G538" s="1" t="s">
        <v>1299</v>
      </c>
      <c r="H538" s="1" t="s">
        <v>1300</v>
      </c>
      <c r="I538" s="1">
        <v>33.0</v>
      </c>
      <c r="K538" s="4" t="s">
        <v>9332</v>
      </c>
    </row>
    <row r="539" ht="15.75" customHeight="1">
      <c r="A539" s="1" t="s">
        <v>1305</v>
      </c>
      <c r="B539" s="1" t="s">
        <v>1306</v>
      </c>
      <c r="C539" s="1" t="s">
        <v>18</v>
      </c>
      <c r="D539" s="1">
        <v>2015.0</v>
      </c>
      <c r="E539" s="1" t="s">
        <v>14</v>
      </c>
      <c r="F539" s="1" t="s">
        <v>21</v>
      </c>
      <c r="G539" s="1" t="s">
        <v>1307</v>
      </c>
      <c r="H539" s="1" t="s">
        <v>1308</v>
      </c>
      <c r="I539" s="1">
        <v>5.0</v>
      </c>
      <c r="K539" s="4" t="s">
        <v>9332</v>
      </c>
    </row>
    <row r="540" ht="15.75" customHeight="1">
      <c r="A540" s="1" t="s">
        <v>1309</v>
      </c>
      <c r="B540" s="1" t="s">
        <v>1310</v>
      </c>
      <c r="C540" s="1" t="s">
        <v>1311</v>
      </c>
      <c r="D540" s="1">
        <v>2014.0</v>
      </c>
      <c r="E540" s="1" t="s">
        <v>14</v>
      </c>
      <c r="F540" s="1" t="s">
        <v>21</v>
      </c>
      <c r="G540" s="1" t="s">
        <v>1312</v>
      </c>
      <c r="H540" s="1" t="s">
        <v>1313</v>
      </c>
      <c r="I540" s="1">
        <v>5.0</v>
      </c>
      <c r="K540" s="4" t="s">
        <v>9332</v>
      </c>
    </row>
    <row r="541" ht="15.75" customHeight="1">
      <c r="A541" s="1" t="s">
        <v>1314</v>
      </c>
      <c r="B541" s="1" t="s">
        <v>1315</v>
      </c>
      <c r="C541" s="1" t="s">
        <v>1316</v>
      </c>
      <c r="D541" s="1">
        <v>2016.0</v>
      </c>
      <c r="E541" s="1" t="s">
        <v>14</v>
      </c>
      <c r="F541" s="1" t="s">
        <v>15</v>
      </c>
      <c r="H541" s="1" t="s">
        <v>1317</v>
      </c>
      <c r="I541" s="1">
        <v>32.0</v>
      </c>
      <c r="K541" s="4" t="s">
        <v>9332</v>
      </c>
    </row>
    <row r="542" ht="15.75" customHeight="1">
      <c r="A542" s="1" t="s">
        <v>1327</v>
      </c>
      <c r="B542" s="1" t="s">
        <v>1328</v>
      </c>
      <c r="C542" s="1" t="s">
        <v>18</v>
      </c>
      <c r="D542" s="1">
        <v>2015.0</v>
      </c>
      <c r="E542" s="1" t="s">
        <v>14</v>
      </c>
      <c r="F542" s="1" t="s">
        <v>21</v>
      </c>
      <c r="G542" s="1" t="s">
        <v>1329</v>
      </c>
      <c r="H542" s="1" t="s">
        <v>1330</v>
      </c>
      <c r="I542" s="1">
        <v>7.0</v>
      </c>
      <c r="K542" s="4" t="s">
        <v>9332</v>
      </c>
    </row>
    <row r="543" ht="15.75" customHeight="1">
      <c r="A543" s="1" t="s">
        <v>1335</v>
      </c>
      <c r="B543" s="1" t="s">
        <v>1336</v>
      </c>
      <c r="C543" s="1" t="s">
        <v>1337</v>
      </c>
      <c r="D543" s="1">
        <v>2016.0</v>
      </c>
      <c r="E543" s="1" t="s">
        <v>14</v>
      </c>
      <c r="F543" s="1" t="s">
        <v>21</v>
      </c>
      <c r="G543" s="1" t="s">
        <v>1338</v>
      </c>
      <c r="H543" s="1" t="s">
        <v>1339</v>
      </c>
      <c r="I543" s="1">
        <v>52.0</v>
      </c>
      <c r="K543" s="4" t="s">
        <v>9332</v>
      </c>
    </row>
    <row r="544" ht="15.75" customHeight="1">
      <c r="A544" s="1" t="s">
        <v>1340</v>
      </c>
      <c r="B544" s="1" t="s">
        <v>1341</v>
      </c>
      <c r="C544" s="1" t="s">
        <v>1342</v>
      </c>
      <c r="D544" s="1">
        <v>2016.0</v>
      </c>
      <c r="E544" s="1" t="s">
        <v>14</v>
      </c>
      <c r="F544" s="1" t="s">
        <v>15</v>
      </c>
      <c r="H544" s="1" t="s">
        <v>1343</v>
      </c>
      <c r="I544" s="1">
        <v>2.0</v>
      </c>
      <c r="K544" s="4" t="s">
        <v>9332</v>
      </c>
    </row>
    <row r="545" ht="15.75" customHeight="1">
      <c r="A545" s="1" t="s">
        <v>1344</v>
      </c>
      <c r="B545" s="1" t="s">
        <v>1345</v>
      </c>
      <c r="C545" s="1" t="s">
        <v>1346</v>
      </c>
      <c r="D545" s="1">
        <v>2014.0</v>
      </c>
      <c r="E545" s="1" t="s">
        <v>14</v>
      </c>
      <c r="F545" s="1" t="s">
        <v>15</v>
      </c>
      <c r="H545" s="1" t="s">
        <v>1347</v>
      </c>
      <c r="I545" s="1">
        <v>0.0</v>
      </c>
      <c r="K545" s="4" t="s">
        <v>9332</v>
      </c>
    </row>
    <row r="546" ht="15.75" customHeight="1">
      <c r="A546" s="1" t="s">
        <v>1348</v>
      </c>
      <c r="B546" s="1" t="s">
        <v>1349</v>
      </c>
      <c r="C546" s="1" t="s">
        <v>1350</v>
      </c>
      <c r="D546" s="1">
        <v>2015.0</v>
      </c>
      <c r="E546" s="1" t="s">
        <v>14</v>
      </c>
      <c r="F546" s="1" t="s">
        <v>15</v>
      </c>
      <c r="H546" s="1" t="s">
        <v>1351</v>
      </c>
      <c r="I546" s="1">
        <v>0.0</v>
      </c>
      <c r="K546" s="4" t="s">
        <v>9332</v>
      </c>
    </row>
    <row r="547" ht="15.75" customHeight="1">
      <c r="A547" s="1" t="s">
        <v>1357</v>
      </c>
      <c r="B547" s="1" t="s">
        <v>1358</v>
      </c>
      <c r="C547" s="1" t="s">
        <v>1311</v>
      </c>
      <c r="D547" s="1">
        <v>2015.0</v>
      </c>
      <c r="E547" s="1" t="s">
        <v>14</v>
      </c>
      <c r="F547" s="1" t="s">
        <v>21</v>
      </c>
      <c r="G547" s="1" t="s">
        <v>1359</v>
      </c>
      <c r="H547" s="1" t="s">
        <v>1360</v>
      </c>
      <c r="I547" s="1">
        <v>18.0</v>
      </c>
      <c r="K547" s="4" t="s">
        <v>9332</v>
      </c>
    </row>
    <row r="548" ht="15.75" customHeight="1">
      <c r="A548" s="1" t="s">
        <v>1361</v>
      </c>
      <c r="B548" s="1" t="s">
        <v>1362</v>
      </c>
      <c r="C548" s="1" t="s">
        <v>1363</v>
      </c>
      <c r="D548" s="1">
        <v>2017.0</v>
      </c>
      <c r="E548" s="1" t="s">
        <v>14</v>
      </c>
      <c r="F548" s="1" t="s">
        <v>21</v>
      </c>
      <c r="G548" s="1" t="s">
        <v>1364</v>
      </c>
      <c r="H548" s="1" t="s">
        <v>1365</v>
      </c>
      <c r="I548" s="1">
        <v>3.0</v>
      </c>
      <c r="K548" s="4" t="s">
        <v>9332</v>
      </c>
    </row>
    <row r="549" ht="15.75" customHeight="1">
      <c r="A549" s="1" t="s">
        <v>1366</v>
      </c>
      <c r="B549" s="1" t="s">
        <v>1367</v>
      </c>
      <c r="C549" s="1" t="s">
        <v>1368</v>
      </c>
      <c r="D549" s="1">
        <v>2016.0</v>
      </c>
      <c r="E549" s="1" t="s">
        <v>14</v>
      </c>
      <c r="F549" s="1" t="s">
        <v>21</v>
      </c>
      <c r="G549" s="1" t="s">
        <v>1369</v>
      </c>
      <c r="H549" s="1" t="s">
        <v>1370</v>
      </c>
      <c r="I549" s="1">
        <v>1.0</v>
      </c>
      <c r="K549" s="4" t="s">
        <v>9332</v>
      </c>
    </row>
    <row r="550" ht="15.75" customHeight="1">
      <c r="A550" s="1" t="s">
        <v>1371</v>
      </c>
      <c r="B550" s="1" t="s">
        <v>1372</v>
      </c>
      <c r="C550" s="1" t="s">
        <v>1373</v>
      </c>
      <c r="D550" s="1">
        <v>2013.0</v>
      </c>
      <c r="E550" s="1" t="s">
        <v>14</v>
      </c>
      <c r="F550" s="1" t="s">
        <v>15</v>
      </c>
      <c r="G550" s="1" t="s">
        <v>1374</v>
      </c>
      <c r="H550" s="1" t="s">
        <v>1375</v>
      </c>
      <c r="I550" s="1">
        <v>4.0</v>
      </c>
      <c r="K550" s="4" t="s">
        <v>9332</v>
      </c>
    </row>
    <row r="551" ht="15.75" customHeight="1">
      <c r="A551" s="1" t="s">
        <v>1395</v>
      </c>
      <c r="B551" s="1" t="s">
        <v>1396</v>
      </c>
      <c r="C551" s="1" t="s">
        <v>1042</v>
      </c>
      <c r="D551" s="1">
        <v>2013.0</v>
      </c>
      <c r="E551" s="1" t="s">
        <v>14</v>
      </c>
      <c r="F551" s="1" t="s">
        <v>21</v>
      </c>
      <c r="G551" s="1" t="s">
        <v>1397</v>
      </c>
      <c r="H551" s="1" t="s">
        <v>1398</v>
      </c>
      <c r="I551" s="1">
        <v>0.0</v>
      </c>
      <c r="K551" s="4" t="s">
        <v>9332</v>
      </c>
    </row>
    <row r="552" ht="15.75" customHeight="1">
      <c r="A552" s="1" t="s">
        <v>1404</v>
      </c>
      <c r="B552" s="1" t="s">
        <v>1405</v>
      </c>
      <c r="C552" s="1" t="s">
        <v>153</v>
      </c>
      <c r="D552" s="1">
        <v>2002.0</v>
      </c>
      <c r="E552" s="1" t="s">
        <v>14</v>
      </c>
      <c r="F552" s="1" t="s">
        <v>15</v>
      </c>
      <c r="G552" s="1" t="s">
        <v>1406</v>
      </c>
      <c r="H552" s="1" t="s">
        <v>1407</v>
      </c>
      <c r="I552" s="1">
        <v>3.0</v>
      </c>
      <c r="K552" s="4" t="s">
        <v>9332</v>
      </c>
    </row>
    <row r="553" ht="15.75" customHeight="1">
      <c r="A553" s="1" t="s">
        <v>1408</v>
      </c>
      <c r="B553" s="1" t="s">
        <v>1409</v>
      </c>
      <c r="C553" s="1" t="s">
        <v>1410</v>
      </c>
      <c r="D553" s="1">
        <v>2005.0</v>
      </c>
      <c r="E553" s="1" t="s">
        <v>14</v>
      </c>
      <c r="F553" s="1" t="s">
        <v>21</v>
      </c>
      <c r="G553" s="1" t="s">
        <v>1411</v>
      </c>
      <c r="H553" s="1" t="s">
        <v>1412</v>
      </c>
      <c r="I553" s="1">
        <v>2.0</v>
      </c>
      <c r="K553" s="4" t="s">
        <v>9332</v>
      </c>
    </row>
    <row r="554" ht="15.75" customHeight="1">
      <c r="A554" s="1" t="s">
        <v>1413</v>
      </c>
      <c r="B554" s="1" t="s">
        <v>1414</v>
      </c>
      <c r="C554" s="1" t="s">
        <v>63</v>
      </c>
      <c r="D554" s="1">
        <v>2009.0</v>
      </c>
      <c r="E554" s="1" t="s">
        <v>14</v>
      </c>
      <c r="F554" s="1" t="s">
        <v>15</v>
      </c>
      <c r="G554" s="1" t="s">
        <v>1415</v>
      </c>
      <c r="H554" s="1" t="s">
        <v>1416</v>
      </c>
      <c r="I554" s="1">
        <v>15.0</v>
      </c>
      <c r="K554" s="4" t="s">
        <v>9332</v>
      </c>
    </row>
    <row r="555" ht="15.75" customHeight="1">
      <c r="A555" s="1" t="s">
        <v>1422</v>
      </c>
      <c r="B555" s="1" t="s">
        <v>1423</v>
      </c>
      <c r="C555" s="1" t="s">
        <v>1424</v>
      </c>
      <c r="D555" s="1">
        <v>2007.0</v>
      </c>
      <c r="E555" s="1" t="s">
        <v>14</v>
      </c>
      <c r="F555" s="1" t="s">
        <v>15</v>
      </c>
      <c r="H555" s="1" t="s">
        <v>1425</v>
      </c>
      <c r="I555" s="1">
        <v>3.0</v>
      </c>
      <c r="K555" s="4" t="s">
        <v>9332</v>
      </c>
    </row>
    <row r="556" ht="15.75" customHeight="1">
      <c r="A556" s="1" t="s">
        <v>1426</v>
      </c>
      <c r="B556" s="1" t="s">
        <v>1427</v>
      </c>
      <c r="C556" s="1" t="s">
        <v>63</v>
      </c>
      <c r="D556" s="1">
        <v>2007.0</v>
      </c>
      <c r="E556" s="1" t="s">
        <v>14</v>
      </c>
      <c r="F556" s="1" t="s">
        <v>15</v>
      </c>
      <c r="G556" s="1" t="s">
        <v>1428</v>
      </c>
      <c r="H556" s="1" t="s">
        <v>1429</v>
      </c>
      <c r="I556" s="1">
        <v>41.0</v>
      </c>
      <c r="K556" s="4" t="s">
        <v>9332</v>
      </c>
    </row>
    <row r="557" ht="15.75" customHeight="1">
      <c r="A557" s="1" t="s">
        <v>1430</v>
      </c>
      <c r="B557" s="1" t="s">
        <v>1431</v>
      </c>
      <c r="C557" s="1" t="s">
        <v>1432</v>
      </c>
      <c r="D557" s="1">
        <v>2006.0</v>
      </c>
      <c r="E557" s="1" t="s">
        <v>14</v>
      </c>
      <c r="F557" s="1" t="s">
        <v>15</v>
      </c>
      <c r="G557" s="1" t="s">
        <v>1433</v>
      </c>
      <c r="H557" s="1" t="s">
        <v>1434</v>
      </c>
      <c r="I557" s="1">
        <v>12.0</v>
      </c>
      <c r="K557" s="4" t="s">
        <v>9332</v>
      </c>
    </row>
    <row r="558" ht="15.75" customHeight="1">
      <c r="A558" s="1" t="s">
        <v>1435</v>
      </c>
      <c r="B558" s="1" t="s">
        <v>1436</v>
      </c>
      <c r="C558" s="1" t="s">
        <v>1437</v>
      </c>
      <c r="D558" s="1">
        <v>2012.0</v>
      </c>
      <c r="E558" s="1" t="s">
        <v>14</v>
      </c>
      <c r="F558" s="1" t="s">
        <v>15</v>
      </c>
      <c r="G558" s="1" t="s">
        <v>1438</v>
      </c>
      <c r="H558" s="1" t="s">
        <v>1439</v>
      </c>
      <c r="I558" s="1">
        <v>0.0</v>
      </c>
      <c r="K558" s="4" t="s">
        <v>9332</v>
      </c>
    </row>
    <row r="559" ht="15.75" customHeight="1">
      <c r="A559" s="1" t="s">
        <v>1440</v>
      </c>
      <c r="B559" s="1" t="s">
        <v>1441</v>
      </c>
      <c r="C559" s="1" t="s">
        <v>1442</v>
      </c>
      <c r="D559" s="1">
        <v>2011.0</v>
      </c>
      <c r="E559" s="1" t="s">
        <v>14</v>
      </c>
      <c r="F559" s="1" t="s">
        <v>15</v>
      </c>
      <c r="G559" s="1" t="s">
        <v>1443</v>
      </c>
      <c r="H559" s="1" t="s">
        <v>1444</v>
      </c>
      <c r="I559" s="1">
        <v>13.0</v>
      </c>
      <c r="K559" s="4" t="s">
        <v>9332</v>
      </c>
    </row>
    <row r="560" ht="15.75" customHeight="1">
      <c r="A560" s="1" t="s">
        <v>1445</v>
      </c>
      <c r="B560" s="1" t="s">
        <v>1446</v>
      </c>
      <c r="C560" s="1" t="s">
        <v>1447</v>
      </c>
      <c r="D560" s="1">
        <v>2011.0</v>
      </c>
      <c r="E560" s="1" t="s">
        <v>14</v>
      </c>
      <c r="F560" s="1" t="s">
        <v>21</v>
      </c>
      <c r="G560" s="1" t="s">
        <v>1448</v>
      </c>
      <c r="H560" s="1" t="s">
        <v>1449</v>
      </c>
      <c r="I560" s="1">
        <v>3.0</v>
      </c>
      <c r="K560" s="4" t="s">
        <v>9332</v>
      </c>
    </row>
    <row r="561" ht="15.75" customHeight="1">
      <c r="A561" s="1" t="s">
        <v>1450</v>
      </c>
      <c r="B561" s="1" t="s">
        <v>1451</v>
      </c>
      <c r="C561" s="1" t="s">
        <v>1452</v>
      </c>
      <c r="D561" s="1">
        <v>2012.0</v>
      </c>
      <c r="E561" s="1" t="s">
        <v>14</v>
      </c>
      <c r="F561" s="1" t="s">
        <v>15</v>
      </c>
      <c r="G561" s="1" t="s">
        <v>1453</v>
      </c>
      <c r="H561" s="1" t="s">
        <v>1454</v>
      </c>
      <c r="I561" s="1">
        <v>2.0</v>
      </c>
      <c r="K561" s="4" t="s">
        <v>9332</v>
      </c>
    </row>
    <row r="562" ht="15.75" customHeight="1">
      <c r="A562" s="1" t="s">
        <v>1455</v>
      </c>
      <c r="B562" s="1" t="s">
        <v>1456</v>
      </c>
      <c r="C562" s="1" t="s">
        <v>1457</v>
      </c>
      <c r="D562" s="1">
        <v>2009.0</v>
      </c>
      <c r="E562" s="1" t="s">
        <v>14</v>
      </c>
      <c r="F562" s="1" t="s">
        <v>15</v>
      </c>
      <c r="H562" s="1" t="s">
        <v>1458</v>
      </c>
      <c r="I562" s="1">
        <v>3.0</v>
      </c>
      <c r="K562" s="4" t="s">
        <v>9332</v>
      </c>
    </row>
    <row r="563" ht="15.75" customHeight="1">
      <c r="A563" s="1" t="s">
        <v>1459</v>
      </c>
      <c r="B563" s="1" t="s">
        <v>1460</v>
      </c>
      <c r="C563" s="1" t="s">
        <v>1461</v>
      </c>
      <c r="D563" s="1">
        <v>2010.0</v>
      </c>
      <c r="E563" s="1" t="s">
        <v>14</v>
      </c>
      <c r="F563" s="1" t="s">
        <v>15</v>
      </c>
      <c r="G563" s="1" t="s">
        <v>1462</v>
      </c>
      <c r="H563" s="1" t="s">
        <v>1463</v>
      </c>
      <c r="I563" s="1">
        <v>0.0</v>
      </c>
      <c r="K563" s="4" t="s">
        <v>9332</v>
      </c>
    </row>
    <row r="564" ht="15.75" customHeight="1">
      <c r="A564" s="1" t="s">
        <v>1464</v>
      </c>
      <c r="B564" s="1" t="s">
        <v>1465</v>
      </c>
      <c r="C564" s="1" t="s">
        <v>1466</v>
      </c>
      <c r="D564" s="1">
        <v>2006.0</v>
      </c>
      <c r="E564" s="1" t="s">
        <v>14</v>
      </c>
      <c r="F564" s="1" t="s">
        <v>21</v>
      </c>
      <c r="G564" s="1" t="s">
        <v>1467</v>
      </c>
      <c r="H564" s="1" t="s">
        <v>1468</v>
      </c>
      <c r="I564" s="1">
        <v>222.0</v>
      </c>
      <c r="K564" s="4" t="s">
        <v>9332</v>
      </c>
    </row>
    <row r="565" ht="15.75" customHeight="1">
      <c r="A565" s="1" t="s">
        <v>1469</v>
      </c>
      <c r="B565" s="1" t="s">
        <v>1470</v>
      </c>
      <c r="C565" s="1" t="s">
        <v>1471</v>
      </c>
      <c r="D565" s="1">
        <v>2013.0</v>
      </c>
      <c r="E565" s="1" t="s">
        <v>14</v>
      </c>
      <c r="F565" s="1" t="s">
        <v>15</v>
      </c>
      <c r="G565" s="1" t="s">
        <v>1472</v>
      </c>
      <c r="H565" s="1" t="s">
        <v>1473</v>
      </c>
      <c r="I565" s="1">
        <v>0.0</v>
      </c>
      <c r="K565" s="4" t="s">
        <v>9332</v>
      </c>
    </row>
    <row r="566" ht="15.75" customHeight="1">
      <c r="A566" s="1" t="s">
        <v>1474</v>
      </c>
      <c r="B566" s="1" t="s">
        <v>1475</v>
      </c>
      <c r="C566" s="1" t="s">
        <v>1476</v>
      </c>
      <c r="D566" s="1">
        <v>2011.0</v>
      </c>
      <c r="E566" s="1" t="s">
        <v>14</v>
      </c>
      <c r="F566" s="1" t="s">
        <v>15</v>
      </c>
      <c r="G566" s="1" t="s">
        <v>1477</v>
      </c>
      <c r="H566" s="1" t="s">
        <v>1478</v>
      </c>
      <c r="I566" s="1">
        <v>170.0</v>
      </c>
      <c r="K566" s="4" t="s">
        <v>9332</v>
      </c>
    </row>
    <row r="567" ht="15.75" customHeight="1">
      <c r="A567" s="1" t="s">
        <v>1479</v>
      </c>
      <c r="B567" s="1" t="s">
        <v>1480</v>
      </c>
      <c r="C567" s="1" t="s">
        <v>1481</v>
      </c>
      <c r="D567" s="1">
        <v>2006.0</v>
      </c>
      <c r="E567" s="1" t="s">
        <v>14</v>
      </c>
      <c r="F567" s="1" t="s">
        <v>15</v>
      </c>
      <c r="G567" s="1" t="s">
        <v>1482</v>
      </c>
      <c r="H567" s="1" t="s">
        <v>1483</v>
      </c>
      <c r="I567" s="1">
        <v>104.0</v>
      </c>
      <c r="K567" s="4" t="s">
        <v>9332</v>
      </c>
    </row>
    <row r="568" ht="15.75" customHeight="1">
      <c r="A568" s="1" t="s">
        <v>1484</v>
      </c>
      <c r="B568" s="1" t="s">
        <v>1485</v>
      </c>
      <c r="C568" s="1" t="s">
        <v>1486</v>
      </c>
      <c r="D568" s="1">
        <v>2003.0</v>
      </c>
      <c r="E568" s="1" t="s">
        <v>14</v>
      </c>
      <c r="F568" s="1" t="s">
        <v>15</v>
      </c>
      <c r="G568" s="1" t="s">
        <v>1487</v>
      </c>
      <c r="H568" s="1" t="s">
        <v>1488</v>
      </c>
      <c r="I568" s="1">
        <v>24.0</v>
      </c>
      <c r="K568" s="4" t="s">
        <v>9332</v>
      </c>
    </row>
    <row r="569" ht="15.75" customHeight="1">
      <c r="A569" s="1" t="s">
        <v>1489</v>
      </c>
      <c r="B569" s="1" t="s">
        <v>1490</v>
      </c>
      <c r="C569" s="1" t="s">
        <v>1491</v>
      </c>
      <c r="D569" s="1">
        <v>2009.0</v>
      </c>
      <c r="E569" s="1" t="s">
        <v>14</v>
      </c>
      <c r="F569" s="1" t="s">
        <v>15</v>
      </c>
      <c r="H569" s="1" t="s">
        <v>1492</v>
      </c>
      <c r="I569" s="1">
        <v>3.0</v>
      </c>
      <c r="K569" s="4" t="s">
        <v>9332</v>
      </c>
    </row>
    <row r="570" ht="15.75" customHeight="1">
      <c r="A570" s="1" t="s">
        <v>1493</v>
      </c>
      <c r="B570" s="1" t="s">
        <v>1494</v>
      </c>
      <c r="C570" s="1" t="s">
        <v>1495</v>
      </c>
      <c r="D570" s="1">
        <v>2004.0</v>
      </c>
      <c r="E570" s="1" t="s">
        <v>14</v>
      </c>
      <c r="F570" s="1" t="s">
        <v>21</v>
      </c>
      <c r="G570" s="1" t="s">
        <v>1496</v>
      </c>
      <c r="H570" s="1" t="s">
        <v>1497</v>
      </c>
      <c r="I570" s="1">
        <v>88.0</v>
      </c>
      <c r="K570" s="4" t="s">
        <v>9332</v>
      </c>
    </row>
    <row r="571" ht="15.75" customHeight="1">
      <c r="A571" s="1" t="s">
        <v>1498</v>
      </c>
      <c r="B571" s="1" t="s">
        <v>1499</v>
      </c>
      <c r="C571" s="1" t="s">
        <v>1500</v>
      </c>
      <c r="D571" s="1">
        <v>2009.0</v>
      </c>
      <c r="E571" s="1" t="s">
        <v>14</v>
      </c>
      <c r="F571" s="1" t="s">
        <v>21</v>
      </c>
      <c r="G571" s="1" t="s">
        <v>1501</v>
      </c>
      <c r="H571" s="1" t="s">
        <v>1502</v>
      </c>
      <c r="I571" s="1">
        <v>2.0</v>
      </c>
      <c r="K571" s="4" t="s">
        <v>9332</v>
      </c>
    </row>
    <row r="572" ht="15.75" customHeight="1">
      <c r="A572" s="1" t="s">
        <v>1503</v>
      </c>
      <c r="B572" s="1" t="s">
        <v>1504</v>
      </c>
      <c r="C572" s="1" t="s">
        <v>509</v>
      </c>
      <c r="D572" s="1">
        <v>2007.0</v>
      </c>
      <c r="E572" s="1" t="s">
        <v>14</v>
      </c>
      <c r="F572" s="1" t="s">
        <v>21</v>
      </c>
      <c r="H572" s="1" t="s">
        <v>1505</v>
      </c>
      <c r="I572" s="1">
        <v>0.0</v>
      </c>
      <c r="K572" s="4" t="s">
        <v>9332</v>
      </c>
    </row>
    <row r="573" ht="15.75" customHeight="1">
      <c r="A573" s="1" t="s">
        <v>1520</v>
      </c>
      <c r="B573" s="1" t="s">
        <v>1521</v>
      </c>
      <c r="C573" s="1" t="s">
        <v>1522</v>
      </c>
      <c r="D573" s="1">
        <v>2000.0</v>
      </c>
      <c r="E573" s="1" t="s">
        <v>14</v>
      </c>
      <c r="F573" s="1" t="s">
        <v>15</v>
      </c>
      <c r="G573" s="1" t="s">
        <v>1523</v>
      </c>
      <c r="H573" s="1" t="s">
        <v>1524</v>
      </c>
      <c r="I573" s="1">
        <v>208.0</v>
      </c>
      <c r="K573" s="4" t="s">
        <v>9332</v>
      </c>
    </row>
    <row r="574" ht="15.75" customHeight="1">
      <c r="A574" s="1" t="s">
        <v>1525</v>
      </c>
      <c r="B574" s="1" t="s">
        <v>1526</v>
      </c>
      <c r="C574" s="1" t="s">
        <v>216</v>
      </c>
      <c r="D574" s="1">
        <v>2007.0</v>
      </c>
      <c r="E574" s="1" t="s">
        <v>14</v>
      </c>
      <c r="F574" s="1" t="s">
        <v>21</v>
      </c>
      <c r="G574" s="1" t="s">
        <v>1527</v>
      </c>
      <c r="H574" s="1" t="s">
        <v>1528</v>
      </c>
      <c r="I574" s="1">
        <v>35.0</v>
      </c>
      <c r="K574" s="4" t="s">
        <v>9332</v>
      </c>
    </row>
    <row r="575" ht="15.75" customHeight="1">
      <c r="A575" s="1" t="s">
        <v>1529</v>
      </c>
      <c r="B575" s="1" t="s">
        <v>1530</v>
      </c>
      <c r="C575" s="1" t="s">
        <v>1531</v>
      </c>
      <c r="D575" s="1">
        <v>2005.0</v>
      </c>
      <c r="E575" s="1" t="s">
        <v>14</v>
      </c>
      <c r="F575" s="1" t="s">
        <v>15</v>
      </c>
      <c r="G575" s="1" t="s">
        <v>1532</v>
      </c>
      <c r="H575" s="1" t="s">
        <v>1533</v>
      </c>
      <c r="I575" s="1">
        <v>224.0</v>
      </c>
      <c r="K575" s="4" t="s">
        <v>9332</v>
      </c>
    </row>
    <row r="576" ht="15.75" customHeight="1">
      <c r="A576" s="1" t="s">
        <v>1534</v>
      </c>
      <c r="B576" s="1" t="s">
        <v>1535</v>
      </c>
      <c r="C576" s="1" t="s">
        <v>1536</v>
      </c>
      <c r="D576" s="1">
        <v>2002.0</v>
      </c>
      <c r="E576" s="1" t="s">
        <v>14</v>
      </c>
      <c r="F576" s="1" t="s">
        <v>15</v>
      </c>
      <c r="G576" s="1" t="s">
        <v>1537</v>
      </c>
      <c r="H576" s="1" t="s">
        <v>1538</v>
      </c>
      <c r="I576" s="1">
        <v>0.0</v>
      </c>
      <c r="K576" s="4" t="s">
        <v>9332</v>
      </c>
    </row>
    <row r="577" ht="15.75" customHeight="1">
      <c r="A577" s="1" t="s">
        <v>1543</v>
      </c>
      <c r="B577" s="1" t="s">
        <v>1544</v>
      </c>
      <c r="C577" s="1" t="s">
        <v>1545</v>
      </c>
      <c r="D577" s="1">
        <v>2003.0</v>
      </c>
      <c r="E577" s="1" t="s">
        <v>14</v>
      </c>
      <c r="F577" s="1" t="s">
        <v>21</v>
      </c>
      <c r="G577" s="1" t="s">
        <v>1546</v>
      </c>
      <c r="H577" s="1" t="s">
        <v>1547</v>
      </c>
      <c r="I577" s="1">
        <v>20.0</v>
      </c>
      <c r="K577" s="4" t="s">
        <v>9332</v>
      </c>
    </row>
    <row r="578" ht="15.75" customHeight="1">
      <c r="A578" s="1" t="s">
        <v>1548</v>
      </c>
      <c r="B578" s="1" t="s">
        <v>1549</v>
      </c>
      <c r="C578" s="1" t="s">
        <v>1550</v>
      </c>
      <c r="D578" s="1">
        <v>2003.0</v>
      </c>
      <c r="E578" s="1" t="s">
        <v>14</v>
      </c>
      <c r="F578" s="1" t="s">
        <v>15</v>
      </c>
      <c r="G578" s="1" t="s">
        <v>1551</v>
      </c>
      <c r="H578" s="1" t="s">
        <v>1552</v>
      </c>
      <c r="I578" s="1">
        <v>371.0</v>
      </c>
      <c r="K578" s="4" t="s">
        <v>9332</v>
      </c>
    </row>
    <row r="579" ht="15.75" customHeight="1">
      <c r="A579" s="1" t="s">
        <v>1553</v>
      </c>
      <c r="B579" s="1" t="s">
        <v>1554</v>
      </c>
      <c r="C579" s="1" t="s">
        <v>63</v>
      </c>
      <c r="D579" s="1">
        <v>2010.0</v>
      </c>
      <c r="E579" s="1" t="s">
        <v>14</v>
      </c>
      <c r="F579" s="1" t="s">
        <v>15</v>
      </c>
      <c r="G579" s="1" t="s">
        <v>1555</v>
      </c>
      <c r="H579" s="1" t="s">
        <v>1556</v>
      </c>
      <c r="I579" s="1">
        <v>2.0</v>
      </c>
      <c r="K579" s="4" t="s">
        <v>9332</v>
      </c>
    </row>
    <row r="580" ht="15.75" customHeight="1">
      <c r="A580" s="1" t="s">
        <v>1567</v>
      </c>
      <c r="B580" s="1" t="s">
        <v>1568</v>
      </c>
      <c r="C580" s="1" t="s">
        <v>1569</v>
      </c>
      <c r="D580" s="1">
        <v>2008.0</v>
      </c>
      <c r="E580" s="1" t="s">
        <v>14</v>
      </c>
      <c r="F580" s="1" t="s">
        <v>21</v>
      </c>
      <c r="G580" s="1" t="s">
        <v>1570</v>
      </c>
      <c r="H580" s="1" t="s">
        <v>1571</v>
      </c>
      <c r="I580" s="1">
        <v>1.0</v>
      </c>
      <c r="K580" s="4" t="s">
        <v>9332</v>
      </c>
    </row>
    <row r="581" ht="15.75" customHeight="1">
      <c r="A581" s="1" t="s">
        <v>1577</v>
      </c>
      <c r="B581" s="1" t="s">
        <v>1578</v>
      </c>
      <c r="C581" s="1" t="s">
        <v>1014</v>
      </c>
      <c r="D581" s="1">
        <v>2011.0</v>
      </c>
      <c r="E581" s="1" t="s">
        <v>14</v>
      </c>
      <c r="F581" s="1" t="s">
        <v>21</v>
      </c>
      <c r="G581" s="1" t="s">
        <v>1579</v>
      </c>
      <c r="H581" s="1" t="s">
        <v>1580</v>
      </c>
      <c r="I581" s="1">
        <v>18.0</v>
      </c>
      <c r="K581" s="4" t="s">
        <v>9332</v>
      </c>
    </row>
    <row r="582" ht="15.75" customHeight="1">
      <c r="A582" s="1" t="s">
        <v>1586</v>
      </c>
      <c r="B582" s="1" t="s">
        <v>1587</v>
      </c>
      <c r="C582" s="1" t="s">
        <v>1588</v>
      </c>
      <c r="D582" s="1">
        <v>2011.0</v>
      </c>
      <c r="E582" s="1" t="s">
        <v>14</v>
      </c>
      <c r="F582" s="1" t="s">
        <v>15</v>
      </c>
      <c r="G582" s="1" t="s">
        <v>1589</v>
      </c>
      <c r="H582" s="1" t="s">
        <v>1590</v>
      </c>
      <c r="I582" s="1">
        <v>0.0</v>
      </c>
      <c r="K582" s="4" t="s">
        <v>9332</v>
      </c>
    </row>
    <row r="583" ht="15.75" customHeight="1">
      <c r="A583" s="1" t="s">
        <v>1596</v>
      </c>
      <c r="B583" s="1" t="s">
        <v>1597</v>
      </c>
      <c r="C583" s="1" t="s">
        <v>1598</v>
      </c>
      <c r="D583" s="1">
        <v>2007.0</v>
      </c>
      <c r="E583" s="1" t="s">
        <v>14</v>
      </c>
      <c r="F583" s="1" t="s">
        <v>15</v>
      </c>
      <c r="H583" s="1" t="s">
        <v>1599</v>
      </c>
      <c r="I583" s="1">
        <v>1.0</v>
      </c>
      <c r="K583" s="4" t="s">
        <v>9332</v>
      </c>
    </row>
    <row r="584" ht="15.75" customHeight="1">
      <c r="A584" s="1" t="s">
        <v>1610</v>
      </c>
      <c r="B584" s="1" t="s">
        <v>1611</v>
      </c>
      <c r="C584" s="1" t="s">
        <v>63</v>
      </c>
      <c r="D584" s="1">
        <v>2005.0</v>
      </c>
      <c r="E584" s="1" t="s">
        <v>14</v>
      </c>
      <c r="F584" s="1" t="s">
        <v>15</v>
      </c>
      <c r="G584" s="1" t="s">
        <v>1612</v>
      </c>
      <c r="H584" s="1" t="s">
        <v>1613</v>
      </c>
      <c r="I584" s="1">
        <v>21.0</v>
      </c>
      <c r="K584" s="4" t="s">
        <v>9332</v>
      </c>
    </row>
    <row r="585" ht="15.75" customHeight="1">
      <c r="A585" s="1" t="s">
        <v>1614</v>
      </c>
      <c r="B585" s="1" t="s">
        <v>1615</v>
      </c>
      <c r="C585" s="1" t="s">
        <v>211</v>
      </c>
      <c r="D585" s="1">
        <v>2011.0</v>
      </c>
      <c r="E585" s="1" t="s">
        <v>14</v>
      </c>
      <c r="F585" s="1" t="s">
        <v>21</v>
      </c>
      <c r="G585" s="1" t="s">
        <v>1616</v>
      </c>
      <c r="H585" s="1" t="s">
        <v>1617</v>
      </c>
      <c r="I585" s="1">
        <v>37.0</v>
      </c>
      <c r="K585" s="4" t="s">
        <v>9332</v>
      </c>
    </row>
    <row r="586" ht="15.75" customHeight="1">
      <c r="A586" s="1" t="s">
        <v>1618</v>
      </c>
      <c r="B586" s="1" t="s">
        <v>1619</v>
      </c>
      <c r="C586" s="1" t="s">
        <v>1466</v>
      </c>
      <c r="D586" s="1">
        <v>2012.0</v>
      </c>
      <c r="E586" s="1" t="s">
        <v>14</v>
      </c>
      <c r="F586" s="1" t="s">
        <v>21</v>
      </c>
      <c r="G586" s="1" t="s">
        <v>1620</v>
      </c>
      <c r="H586" s="1" t="s">
        <v>1621</v>
      </c>
      <c r="I586" s="1">
        <v>146.0</v>
      </c>
      <c r="K586" s="4" t="s">
        <v>9332</v>
      </c>
    </row>
    <row r="587" ht="15.75" customHeight="1">
      <c r="A587" s="1" t="s">
        <v>1632</v>
      </c>
      <c r="B587" s="1" t="s">
        <v>1633</v>
      </c>
      <c r="C587" s="1" t="s">
        <v>1634</v>
      </c>
      <c r="D587" s="1">
        <v>2007.0</v>
      </c>
      <c r="E587" s="1" t="s">
        <v>14</v>
      </c>
      <c r="F587" s="1" t="s">
        <v>21</v>
      </c>
      <c r="G587" s="1" t="s">
        <v>1635</v>
      </c>
      <c r="H587" s="1" t="s">
        <v>1636</v>
      </c>
      <c r="I587" s="1">
        <v>1.0</v>
      </c>
      <c r="K587" s="4" t="s">
        <v>9332</v>
      </c>
    </row>
    <row r="588" ht="15.75" customHeight="1">
      <c r="A588" s="1" t="s">
        <v>1640</v>
      </c>
      <c r="B588" s="1" t="s">
        <v>1641</v>
      </c>
      <c r="C588" s="1" t="s">
        <v>1642</v>
      </c>
      <c r="D588" s="1">
        <v>2010.0</v>
      </c>
      <c r="E588" s="1" t="s">
        <v>14</v>
      </c>
      <c r="F588" s="1" t="s">
        <v>15</v>
      </c>
      <c r="G588" s="1" t="s">
        <v>1643</v>
      </c>
      <c r="H588" s="1" t="s">
        <v>1644</v>
      </c>
      <c r="I588" s="1">
        <v>1.0</v>
      </c>
      <c r="K588" s="4" t="s">
        <v>9332</v>
      </c>
    </row>
    <row r="589" ht="15.75" customHeight="1">
      <c r="A589" s="1" t="s">
        <v>1655</v>
      </c>
      <c r="B589" s="1" t="s">
        <v>1656</v>
      </c>
      <c r="C589" s="1" t="s">
        <v>1657</v>
      </c>
      <c r="D589" s="1">
        <v>2011.0</v>
      </c>
      <c r="E589" s="1" t="s">
        <v>14</v>
      </c>
      <c r="F589" s="1" t="s">
        <v>15</v>
      </c>
      <c r="H589" s="1" t="s">
        <v>1658</v>
      </c>
      <c r="I589" s="1">
        <v>0.0</v>
      </c>
      <c r="K589" s="4" t="s">
        <v>9332</v>
      </c>
    </row>
    <row r="590" ht="15.75" customHeight="1">
      <c r="A590" s="1" t="s">
        <v>1664</v>
      </c>
      <c r="B590" s="1" t="s">
        <v>1665</v>
      </c>
      <c r="C590" s="1" t="s">
        <v>1666</v>
      </c>
      <c r="D590" s="1">
        <v>2012.0</v>
      </c>
      <c r="E590" s="1" t="s">
        <v>14</v>
      </c>
      <c r="F590" s="1" t="s">
        <v>21</v>
      </c>
      <c r="H590" s="1" t="s">
        <v>1667</v>
      </c>
      <c r="I590" s="1">
        <v>0.0</v>
      </c>
      <c r="K590" s="4" t="s">
        <v>9332</v>
      </c>
    </row>
    <row r="591" ht="15.75" customHeight="1">
      <c r="A591" s="1" t="s">
        <v>1672</v>
      </c>
      <c r="B591" s="1" t="s">
        <v>1673</v>
      </c>
      <c r="C591" s="1" t="s">
        <v>1102</v>
      </c>
      <c r="D591" s="1">
        <v>2010.0</v>
      </c>
      <c r="E591" s="1" t="s">
        <v>14</v>
      </c>
      <c r="F591" s="1" t="s">
        <v>21</v>
      </c>
      <c r="G591" s="1" t="s">
        <v>1674</v>
      </c>
      <c r="H591" s="1" t="s">
        <v>1675</v>
      </c>
      <c r="I591" s="1">
        <v>4.0</v>
      </c>
      <c r="K591" s="4" t="s">
        <v>9332</v>
      </c>
    </row>
    <row r="592" ht="15.75" customHeight="1">
      <c r="A592" s="1" t="s">
        <v>1688</v>
      </c>
      <c r="B592" s="1" t="s">
        <v>1689</v>
      </c>
      <c r="C592" s="1" t="s">
        <v>1211</v>
      </c>
      <c r="D592" s="1">
        <v>2008.0</v>
      </c>
      <c r="E592" s="1" t="s">
        <v>14</v>
      </c>
      <c r="F592" s="1" t="s">
        <v>21</v>
      </c>
      <c r="G592" s="1" t="s">
        <v>1690</v>
      </c>
      <c r="H592" s="1" t="s">
        <v>1691</v>
      </c>
      <c r="I592" s="1">
        <v>184.0</v>
      </c>
      <c r="K592" s="4" t="s">
        <v>9332</v>
      </c>
    </row>
    <row r="593" ht="15.75" customHeight="1">
      <c r="A593" s="1" t="s">
        <v>1692</v>
      </c>
      <c r="B593" s="1" t="s">
        <v>1693</v>
      </c>
      <c r="C593" s="1" t="s">
        <v>1694</v>
      </c>
      <c r="D593" s="1">
        <v>2003.0</v>
      </c>
      <c r="E593" s="1" t="s">
        <v>14</v>
      </c>
      <c r="F593" s="1" t="s">
        <v>15</v>
      </c>
      <c r="H593" s="1" t="s">
        <v>1695</v>
      </c>
      <c r="I593" s="1">
        <v>11.0</v>
      </c>
      <c r="K593" s="4" t="s">
        <v>9332</v>
      </c>
    </row>
    <row r="594" ht="15.75" customHeight="1">
      <c r="A594" s="1" t="s">
        <v>1696</v>
      </c>
      <c r="B594" s="1" t="s">
        <v>1697</v>
      </c>
      <c r="C594" s="1" t="s">
        <v>1698</v>
      </c>
      <c r="D594" s="1">
        <v>2009.0</v>
      </c>
      <c r="E594" s="1" t="s">
        <v>14</v>
      </c>
      <c r="F594" s="1" t="s">
        <v>15</v>
      </c>
      <c r="G594" s="1" t="s">
        <v>1699</v>
      </c>
      <c r="H594" s="1" t="s">
        <v>1700</v>
      </c>
      <c r="I594" s="1">
        <v>23.0</v>
      </c>
      <c r="K594" s="4" t="s">
        <v>9332</v>
      </c>
    </row>
    <row r="595" ht="15.75" customHeight="1">
      <c r="A595" s="1" t="s">
        <v>1701</v>
      </c>
      <c r="B595" s="1" t="s">
        <v>1702</v>
      </c>
      <c r="C595" s="1" t="s">
        <v>1703</v>
      </c>
      <c r="D595" s="1">
        <v>2004.0</v>
      </c>
      <c r="E595" s="1" t="s">
        <v>14</v>
      </c>
      <c r="F595" s="1" t="s">
        <v>15</v>
      </c>
      <c r="G595" s="1" t="s">
        <v>1704</v>
      </c>
      <c r="H595" s="1" t="s">
        <v>1705</v>
      </c>
      <c r="I595" s="1">
        <v>17.0</v>
      </c>
      <c r="K595" s="4" t="s">
        <v>9332</v>
      </c>
    </row>
    <row r="596" ht="15.75" customHeight="1">
      <c r="A596" s="1" t="s">
        <v>1706</v>
      </c>
      <c r="B596" s="1" t="s">
        <v>1707</v>
      </c>
      <c r="C596" s="1" t="s">
        <v>1708</v>
      </c>
      <c r="D596" s="1">
        <v>2011.0</v>
      </c>
      <c r="E596" s="1" t="s">
        <v>14</v>
      </c>
      <c r="F596" s="1" t="s">
        <v>21</v>
      </c>
      <c r="G596" s="1" t="s">
        <v>1709</v>
      </c>
      <c r="H596" s="1" t="s">
        <v>1710</v>
      </c>
      <c r="I596" s="1">
        <v>1.0</v>
      </c>
      <c r="K596" s="4" t="s">
        <v>9332</v>
      </c>
    </row>
    <row r="597" ht="15.75" customHeight="1">
      <c r="A597" s="1" t="s">
        <v>1711</v>
      </c>
      <c r="B597" s="1" t="s">
        <v>1712</v>
      </c>
      <c r="C597" s="1" t="s">
        <v>1713</v>
      </c>
      <c r="D597" s="1">
        <v>2006.0</v>
      </c>
      <c r="E597" s="1" t="s">
        <v>14</v>
      </c>
      <c r="F597" s="1" t="s">
        <v>21</v>
      </c>
      <c r="G597" s="1" t="s">
        <v>1714</v>
      </c>
      <c r="H597" s="1" t="s">
        <v>1715</v>
      </c>
      <c r="I597" s="1">
        <v>84.0</v>
      </c>
      <c r="K597" s="4" t="s">
        <v>9332</v>
      </c>
    </row>
    <row r="598" ht="15.75" customHeight="1">
      <c r="A598" s="1" t="s">
        <v>1716</v>
      </c>
      <c r="B598" s="1" t="s">
        <v>1717</v>
      </c>
      <c r="C598" s="1" t="s">
        <v>153</v>
      </c>
      <c r="D598" s="1">
        <v>2008.0</v>
      </c>
      <c r="E598" s="1" t="s">
        <v>14</v>
      </c>
      <c r="F598" s="1" t="s">
        <v>15</v>
      </c>
      <c r="G598" s="1" t="s">
        <v>1718</v>
      </c>
      <c r="H598" s="1" t="s">
        <v>1719</v>
      </c>
      <c r="I598" s="1">
        <v>0.0</v>
      </c>
      <c r="K598" s="4" t="s">
        <v>9332</v>
      </c>
    </row>
    <row r="599" ht="15.75" customHeight="1">
      <c r="A599" s="1" t="s">
        <v>1722</v>
      </c>
      <c r="B599" s="1" t="s">
        <v>1723</v>
      </c>
      <c r="C599" s="1" t="s">
        <v>63</v>
      </c>
      <c r="D599" s="1">
        <v>2005.0</v>
      </c>
      <c r="E599" s="1" t="s">
        <v>14</v>
      </c>
      <c r="F599" s="1" t="s">
        <v>15</v>
      </c>
      <c r="G599" s="1" t="s">
        <v>1724</v>
      </c>
      <c r="H599" s="1" t="s">
        <v>1725</v>
      </c>
      <c r="I599" s="1">
        <v>2.0</v>
      </c>
      <c r="K599" s="4" t="s">
        <v>9332</v>
      </c>
    </row>
    <row r="600" ht="15.75" customHeight="1">
      <c r="A600" s="1" t="s">
        <v>1734</v>
      </c>
      <c r="B600" s="1" t="s">
        <v>1735</v>
      </c>
      <c r="C600" s="1" t="s">
        <v>1736</v>
      </c>
      <c r="D600" s="1">
        <v>2013.0</v>
      </c>
      <c r="E600" s="1" t="s">
        <v>14</v>
      </c>
      <c r="F600" s="1" t="s">
        <v>21</v>
      </c>
      <c r="H600" s="1" t="s">
        <v>1737</v>
      </c>
      <c r="I600" s="1">
        <v>0.0</v>
      </c>
      <c r="K600" s="4" t="s">
        <v>9332</v>
      </c>
    </row>
    <row r="601" ht="15.75" customHeight="1">
      <c r="A601" s="1" t="s">
        <v>1742</v>
      </c>
      <c r="B601" s="1" t="s">
        <v>1743</v>
      </c>
      <c r="C601" s="1" t="s">
        <v>1550</v>
      </c>
      <c r="D601" s="1">
        <v>2007.0</v>
      </c>
      <c r="E601" s="1" t="s">
        <v>14</v>
      </c>
      <c r="F601" s="1" t="s">
        <v>15</v>
      </c>
      <c r="G601" s="1" t="s">
        <v>1744</v>
      </c>
      <c r="H601" s="1" t="s">
        <v>1745</v>
      </c>
      <c r="I601" s="1">
        <v>45.0</v>
      </c>
      <c r="K601" s="4" t="s">
        <v>9332</v>
      </c>
    </row>
    <row r="602" ht="15.75" customHeight="1">
      <c r="A602" s="1" t="s">
        <v>1751</v>
      </c>
      <c r="B602" s="1" t="s">
        <v>1752</v>
      </c>
      <c r="C602" s="1" t="s">
        <v>1634</v>
      </c>
      <c r="D602" s="1">
        <v>2004.0</v>
      </c>
      <c r="E602" s="1" t="s">
        <v>14</v>
      </c>
      <c r="F602" s="1" t="s">
        <v>21</v>
      </c>
      <c r="H602" s="1" t="s">
        <v>1753</v>
      </c>
      <c r="I602" s="1">
        <v>1.0</v>
      </c>
      <c r="K602" s="4" t="s">
        <v>9332</v>
      </c>
    </row>
    <row r="603" ht="15.75" customHeight="1">
      <c r="A603" s="1" t="s">
        <v>1754</v>
      </c>
      <c r="B603" s="1" t="s">
        <v>1755</v>
      </c>
      <c r="C603" s="1" t="s">
        <v>73</v>
      </c>
      <c r="D603" s="1">
        <v>2002.0</v>
      </c>
      <c r="E603" s="1" t="s">
        <v>14</v>
      </c>
      <c r="F603" s="1" t="s">
        <v>21</v>
      </c>
      <c r="G603" s="1" t="s">
        <v>1756</v>
      </c>
      <c r="H603" s="1" t="s">
        <v>1757</v>
      </c>
      <c r="I603" s="1">
        <v>8.0</v>
      </c>
      <c r="K603" s="4" t="s">
        <v>9332</v>
      </c>
    </row>
    <row r="604" ht="15.75" customHeight="1">
      <c r="A604" s="1" t="s">
        <v>1758</v>
      </c>
      <c r="B604" s="1" t="s">
        <v>1759</v>
      </c>
      <c r="C604" s="1" t="s">
        <v>1760</v>
      </c>
      <c r="D604" s="1">
        <v>2012.0</v>
      </c>
      <c r="E604" s="1" t="s">
        <v>14</v>
      </c>
      <c r="F604" s="1" t="s">
        <v>15</v>
      </c>
      <c r="G604" s="1" t="s">
        <v>1761</v>
      </c>
      <c r="H604" s="1" t="s">
        <v>1762</v>
      </c>
      <c r="I604" s="1">
        <v>1.0</v>
      </c>
      <c r="K604" s="4" t="s">
        <v>9332</v>
      </c>
    </row>
    <row r="605" ht="15.75" customHeight="1">
      <c r="A605" s="1" t="s">
        <v>1763</v>
      </c>
      <c r="B605" s="1" t="s">
        <v>1764</v>
      </c>
      <c r="C605" s="1" t="s">
        <v>1452</v>
      </c>
      <c r="D605" s="1">
        <v>2010.0</v>
      </c>
      <c r="E605" s="1" t="s">
        <v>14</v>
      </c>
      <c r="F605" s="1" t="s">
        <v>21</v>
      </c>
      <c r="G605" s="1" t="s">
        <v>1765</v>
      </c>
      <c r="H605" s="1" t="s">
        <v>1766</v>
      </c>
      <c r="I605" s="1">
        <v>0.0</v>
      </c>
      <c r="K605" s="4" t="s">
        <v>9332</v>
      </c>
    </row>
    <row r="606" ht="15.75" customHeight="1">
      <c r="A606" s="1" t="s">
        <v>1771</v>
      </c>
      <c r="B606" s="1" t="s">
        <v>1772</v>
      </c>
      <c r="C606" s="1" t="s">
        <v>1773</v>
      </c>
      <c r="D606" s="1">
        <v>2011.0</v>
      </c>
      <c r="E606" s="1" t="s">
        <v>14</v>
      </c>
      <c r="F606" s="1" t="s">
        <v>15</v>
      </c>
      <c r="G606" s="1" t="s">
        <v>1774</v>
      </c>
      <c r="H606" s="1" t="s">
        <v>1775</v>
      </c>
      <c r="I606" s="1">
        <v>0.0</v>
      </c>
      <c r="K606" s="4" t="s">
        <v>9332</v>
      </c>
    </row>
    <row r="607" ht="15.75" customHeight="1">
      <c r="A607" s="1" t="s">
        <v>1776</v>
      </c>
      <c r="B607" s="1" t="s">
        <v>1777</v>
      </c>
      <c r="C607" s="1" t="s">
        <v>1778</v>
      </c>
      <c r="D607" s="1">
        <v>2011.0</v>
      </c>
      <c r="E607" s="1" t="s">
        <v>14</v>
      </c>
      <c r="F607" s="1" t="s">
        <v>15</v>
      </c>
      <c r="H607" s="1" t="s">
        <v>1779</v>
      </c>
      <c r="I607" s="1">
        <v>1.0</v>
      </c>
      <c r="K607" s="4" t="s">
        <v>9332</v>
      </c>
    </row>
    <row r="608" ht="15.75" customHeight="1">
      <c r="A608" s="1" t="s">
        <v>1780</v>
      </c>
      <c r="B608" s="1" t="s">
        <v>1781</v>
      </c>
      <c r="C608" s="1" t="s">
        <v>63</v>
      </c>
      <c r="D608" s="1">
        <v>2012.0</v>
      </c>
      <c r="E608" s="1" t="s">
        <v>14</v>
      </c>
      <c r="F608" s="1" t="s">
        <v>15</v>
      </c>
      <c r="G608" s="1" t="s">
        <v>1782</v>
      </c>
      <c r="H608" s="1" t="s">
        <v>1783</v>
      </c>
      <c r="I608" s="1">
        <v>4.0</v>
      </c>
      <c r="K608" s="4" t="s">
        <v>9332</v>
      </c>
    </row>
    <row r="609" ht="15.75" customHeight="1">
      <c r="A609" s="1" t="s">
        <v>1784</v>
      </c>
      <c r="B609" s="1" t="s">
        <v>1785</v>
      </c>
      <c r="C609" s="1" t="s">
        <v>1786</v>
      </c>
      <c r="D609" s="1">
        <v>2008.0</v>
      </c>
      <c r="E609" s="1" t="s">
        <v>14</v>
      </c>
      <c r="F609" s="1" t="s">
        <v>21</v>
      </c>
      <c r="G609" s="1" t="s">
        <v>1787</v>
      </c>
      <c r="H609" s="1" t="s">
        <v>1788</v>
      </c>
      <c r="I609" s="1">
        <v>143.0</v>
      </c>
      <c r="K609" s="4" t="s">
        <v>9332</v>
      </c>
    </row>
    <row r="610" ht="15.75" customHeight="1">
      <c r="A610" s="1" t="s">
        <v>1793</v>
      </c>
      <c r="B610" s="1" t="s">
        <v>1794</v>
      </c>
      <c r="C610" s="1" t="s">
        <v>334</v>
      </c>
      <c r="D610" s="1">
        <v>2003.0</v>
      </c>
      <c r="E610" s="1" t="s">
        <v>14</v>
      </c>
      <c r="F610" s="1" t="s">
        <v>21</v>
      </c>
      <c r="G610" s="1" t="s">
        <v>1795</v>
      </c>
      <c r="H610" s="1" t="s">
        <v>1796</v>
      </c>
      <c r="I610" s="1">
        <v>60.0</v>
      </c>
      <c r="K610" s="4" t="s">
        <v>9332</v>
      </c>
    </row>
    <row r="611" ht="15.75" customHeight="1">
      <c r="A611" s="1" t="s">
        <v>1802</v>
      </c>
      <c r="B611" s="1" t="s">
        <v>1803</v>
      </c>
      <c r="C611" s="1" t="s">
        <v>1337</v>
      </c>
      <c r="D611" s="1">
        <v>2011.0</v>
      </c>
      <c r="E611" s="1" t="s">
        <v>14</v>
      </c>
      <c r="F611" s="1" t="s">
        <v>21</v>
      </c>
      <c r="G611" s="1" t="s">
        <v>1804</v>
      </c>
      <c r="H611" s="1" t="s">
        <v>1805</v>
      </c>
      <c r="I611" s="1">
        <v>71.0</v>
      </c>
      <c r="K611" s="4" t="s">
        <v>9332</v>
      </c>
    </row>
    <row r="612" ht="15.75" customHeight="1">
      <c r="A612" s="1" t="s">
        <v>1806</v>
      </c>
      <c r="B612" s="1" t="s">
        <v>1807</v>
      </c>
      <c r="C612" s="1" t="s">
        <v>1808</v>
      </c>
      <c r="D612" s="1">
        <v>2000.0</v>
      </c>
      <c r="E612" s="1" t="s">
        <v>14</v>
      </c>
      <c r="F612" s="1" t="s">
        <v>21</v>
      </c>
      <c r="G612" s="1" t="s">
        <v>1809</v>
      </c>
      <c r="H612" s="1" t="s">
        <v>1810</v>
      </c>
      <c r="I612" s="1">
        <v>20.0</v>
      </c>
      <c r="K612" s="4" t="s">
        <v>9332</v>
      </c>
    </row>
    <row r="613" ht="15.75" customHeight="1">
      <c r="A613" s="1" t="s">
        <v>1815</v>
      </c>
      <c r="B613" s="1" t="s">
        <v>1816</v>
      </c>
      <c r="C613" s="1" t="s">
        <v>1084</v>
      </c>
      <c r="D613" s="1">
        <v>2001.0</v>
      </c>
      <c r="E613" s="1" t="s">
        <v>14</v>
      </c>
      <c r="F613" s="1" t="s">
        <v>15</v>
      </c>
      <c r="H613" s="1" t="s">
        <v>1817</v>
      </c>
      <c r="I613" s="1">
        <v>34.0</v>
      </c>
      <c r="K613" s="4" t="s">
        <v>9332</v>
      </c>
    </row>
    <row r="614" ht="15.75" customHeight="1">
      <c r="A614" s="1" t="s">
        <v>1823</v>
      </c>
      <c r="B614" s="1" t="s">
        <v>1824</v>
      </c>
      <c r="C614" s="1" t="s">
        <v>1466</v>
      </c>
      <c r="D614" s="1">
        <v>2005.0</v>
      </c>
      <c r="E614" s="1" t="s">
        <v>14</v>
      </c>
      <c r="F614" s="1" t="s">
        <v>21</v>
      </c>
      <c r="G614" s="1" t="s">
        <v>1825</v>
      </c>
      <c r="H614" s="1" t="s">
        <v>1826</v>
      </c>
      <c r="I614" s="1">
        <v>27.0</v>
      </c>
      <c r="K614" s="4" t="s">
        <v>9332</v>
      </c>
    </row>
    <row r="615" ht="15.75" customHeight="1">
      <c r="A615" s="1" t="s">
        <v>1832</v>
      </c>
      <c r="B615" s="1" t="s">
        <v>1833</v>
      </c>
      <c r="C615" s="1" t="s">
        <v>1834</v>
      </c>
      <c r="D615" s="1">
        <v>2007.0</v>
      </c>
      <c r="E615" s="1" t="s">
        <v>14</v>
      </c>
      <c r="F615" s="1" t="s">
        <v>15</v>
      </c>
      <c r="H615" s="1" t="s">
        <v>1835</v>
      </c>
      <c r="I615" s="1">
        <v>0.0</v>
      </c>
      <c r="K615" s="4" t="s">
        <v>9332</v>
      </c>
    </row>
    <row r="616" ht="15.75" customHeight="1">
      <c r="A616" s="1" t="s">
        <v>1840</v>
      </c>
      <c r="B616" s="1" t="s">
        <v>1841</v>
      </c>
      <c r="C616" s="1" t="s">
        <v>63</v>
      </c>
      <c r="D616" s="1">
        <v>2011.0</v>
      </c>
      <c r="E616" s="1" t="s">
        <v>14</v>
      </c>
      <c r="F616" s="1" t="s">
        <v>15</v>
      </c>
      <c r="G616" s="1" t="s">
        <v>1842</v>
      </c>
      <c r="H616" s="1" t="s">
        <v>1843</v>
      </c>
      <c r="I616" s="1">
        <v>1.0</v>
      </c>
      <c r="K616" s="4" t="s">
        <v>9332</v>
      </c>
    </row>
    <row r="617" ht="15.75" customHeight="1">
      <c r="A617" s="1" t="s">
        <v>1844</v>
      </c>
      <c r="B617" s="1" t="s">
        <v>1845</v>
      </c>
      <c r="C617" s="1" t="s">
        <v>1846</v>
      </c>
      <c r="D617" s="1">
        <v>1998.0</v>
      </c>
      <c r="E617" s="1" t="s">
        <v>14</v>
      </c>
      <c r="F617" s="1" t="s">
        <v>21</v>
      </c>
      <c r="G617" s="1" t="s">
        <v>1847</v>
      </c>
      <c r="H617" s="1" t="s">
        <v>1848</v>
      </c>
      <c r="I617" s="1">
        <v>48.0</v>
      </c>
      <c r="K617" s="4" t="s">
        <v>9332</v>
      </c>
    </row>
    <row r="618" ht="15.75" customHeight="1">
      <c r="A618" s="1" t="s">
        <v>1849</v>
      </c>
      <c r="B618" s="1" t="s">
        <v>1850</v>
      </c>
      <c r="C618" s="1" t="s">
        <v>1851</v>
      </c>
      <c r="D618" s="1">
        <v>1989.0</v>
      </c>
      <c r="E618" s="1" t="s">
        <v>14</v>
      </c>
      <c r="F618" s="1" t="s">
        <v>21</v>
      </c>
      <c r="G618" s="1" t="s">
        <v>1852</v>
      </c>
      <c r="H618" s="1" t="s">
        <v>1853</v>
      </c>
      <c r="I618" s="1">
        <v>8.0</v>
      </c>
      <c r="K618" s="4" t="s">
        <v>9332</v>
      </c>
    </row>
    <row r="619" ht="15.75" customHeight="1">
      <c r="A619" s="1" t="s">
        <v>1858</v>
      </c>
      <c r="B619" s="1" t="s">
        <v>1859</v>
      </c>
      <c r="C619" s="1" t="s">
        <v>1860</v>
      </c>
      <c r="D619" s="1">
        <v>1988.0</v>
      </c>
      <c r="E619" s="1" t="s">
        <v>14</v>
      </c>
      <c r="F619" s="1" t="s">
        <v>21</v>
      </c>
      <c r="G619" s="1" t="s">
        <v>1861</v>
      </c>
      <c r="H619" s="1" t="s">
        <v>1862</v>
      </c>
      <c r="I619" s="1">
        <v>4.0</v>
      </c>
      <c r="K619" s="4" t="s">
        <v>9332</v>
      </c>
    </row>
    <row r="620" ht="15.75" customHeight="1">
      <c r="A620" s="1" t="s">
        <v>1863</v>
      </c>
      <c r="B620" s="1" t="s">
        <v>1864</v>
      </c>
      <c r="C620" s="1" t="s">
        <v>1865</v>
      </c>
      <c r="D620" s="1">
        <v>1998.0</v>
      </c>
      <c r="E620" s="1" t="s">
        <v>14</v>
      </c>
      <c r="F620" s="1" t="s">
        <v>21</v>
      </c>
      <c r="G620" s="1" t="s">
        <v>1866</v>
      </c>
      <c r="H620" s="1" t="s">
        <v>1867</v>
      </c>
      <c r="I620" s="1">
        <v>13.0</v>
      </c>
      <c r="K620" s="4" t="s">
        <v>9332</v>
      </c>
    </row>
    <row r="621" ht="15.75" customHeight="1">
      <c r="A621" s="1" t="s">
        <v>1868</v>
      </c>
      <c r="B621" s="1" t="s">
        <v>1869</v>
      </c>
      <c r="C621" s="1" t="s">
        <v>1870</v>
      </c>
      <c r="D621" s="1">
        <v>1997.0</v>
      </c>
      <c r="E621" s="1" t="s">
        <v>14</v>
      </c>
      <c r="F621" s="1" t="s">
        <v>21</v>
      </c>
      <c r="H621" s="1" t="s">
        <v>1871</v>
      </c>
      <c r="I621" s="1">
        <v>0.0</v>
      </c>
      <c r="K621" s="4" t="s">
        <v>9332</v>
      </c>
    </row>
    <row r="622" ht="15.75" customHeight="1">
      <c r="A622" s="1" t="s">
        <v>1872</v>
      </c>
      <c r="B622" s="1" t="s">
        <v>1873</v>
      </c>
      <c r="C622" s="1" t="s">
        <v>1874</v>
      </c>
      <c r="D622" s="1">
        <v>1995.0</v>
      </c>
      <c r="E622" s="1" t="s">
        <v>14</v>
      </c>
      <c r="F622" s="1" t="s">
        <v>15</v>
      </c>
      <c r="G622" s="1" t="s">
        <v>1875</v>
      </c>
      <c r="H622" s="1" t="s">
        <v>1876</v>
      </c>
      <c r="I622" s="1">
        <v>1.0</v>
      </c>
      <c r="K622" s="4" t="s">
        <v>9332</v>
      </c>
    </row>
    <row r="623" ht="15.75" customHeight="1">
      <c r="A623" s="1" t="s">
        <v>1886</v>
      </c>
      <c r="B623" s="1" t="s">
        <v>1887</v>
      </c>
      <c r="C623" s="1" t="s">
        <v>1694</v>
      </c>
      <c r="D623" s="1">
        <v>1994.0</v>
      </c>
      <c r="E623" s="1" t="s">
        <v>14</v>
      </c>
      <c r="F623" s="1" t="s">
        <v>15</v>
      </c>
      <c r="H623" s="1" t="s">
        <v>1888</v>
      </c>
      <c r="I623" s="1">
        <v>20.0</v>
      </c>
      <c r="K623" s="4" t="s">
        <v>9332</v>
      </c>
    </row>
    <row r="624" ht="15.75" customHeight="1">
      <c r="A624" s="1" t="s">
        <v>1893</v>
      </c>
      <c r="B624" s="1" t="s">
        <v>1894</v>
      </c>
      <c r="C624" s="1" t="s">
        <v>1895</v>
      </c>
      <c r="D624" s="1">
        <v>1996.0</v>
      </c>
      <c r="E624" s="1" t="s">
        <v>14</v>
      </c>
      <c r="F624" s="1" t="s">
        <v>15</v>
      </c>
      <c r="H624" s="1" t="s">
        <v>1896</v>
      </c>
      <c r="I624" s="1">
        <v>3.0</v>
      </c>
      <c r="K624" s="4" t="s">
        <v>9332</v>
      </c>
    </row>
    <row r="625" ht="15.75" customHeight="1">
      <c r="A625" s="1" t="s">
        <v>1897</v>
      </c>
      <c r="B625" s="1" t="s">
        <v>1898</v>
      </c>
      <c r="C625" s="1" t="s">
        <v>63</v>
      </c>
      <c r="D625" s="1">
        <v>1998.0</v>
      </c>
      <c r="E625" s="1" t="s">
        <v>14</v>
      </c>
      <c r="F625" s="1" t="s">
        <v>15</v>
      </c>
      <c r="H625" s="1" t="s">
        <v>1899</v>
      </c>
      <c r="I625" s="1">
        <v>7.0</v>
      </c>
      <c r="K625" s="4" t="s">
        <v>9332</v>
      </c>
    </row>
    <row r="626" ht="15.75" customHeight="1">
      <c r="A626" s="1" t="s">
        <v>1904</v>
      </c>
      <c r="B626" s="1" t="s">
        <v>1905</v>
      </c>
      <c r="C626" s="1" t="s">
        <v>1084</v>
      </c>
      <c r="D626" s="1">
        <v>1998.0</v>
      </c>
      <c r="E626" s="1" t="s">
        <v>14</v>
      </c>
      <c r="F626" s="1" t="s">
        <v>15</v>
      </c>
      <c r="G626" s="1" t="s">
        <v>1906</v>
      </c>
      <c r="H626" s="1" t="s">
        <v>1907</v>
      </c>
      <c r="I626" s="1">
        <v>4.0</v>
      </c>
      <c r="K626" s="4" t="s">
        <v>9332</v>
      </c>
    </row>
    <row r="627" ht="15.75" customHeight="1">
      <c r="A627" s="1" t="s">
        <v>1908</v>
      </c>
      <c r="B627" s="1" t="s">
        <v>1909</v>
      </c>
      <c r="C627" s="1" t="s">
        <v>1910</v>
      </c>
      <c r="D627" s="1">
        <v>1996.0</v>
      </c>
      <c r="E627" s="1" t="s">
        <v>14</v>
      </c>
      <c r="F627" s="1" t="s">
        <v>15</v>
      </c>
      <c r="H627" s="1" t="s">
        <v>1911</v>
      </c>
      <c r="I627" s="1">
        <v>0.0</v>
      </c>
      <c r="K627" s="4" t="s">
        <v>9332</v>
      </c>
    </row>
    <row r="628" ht="15.75" customHeight="1">
      <c r="A628" s="1" t="s">
        <v>1912</v>
      </c>
      <c r="B628" s="1" t="s">
        <v>1913</v>
      </c>
      <c r="C628" s="1" t="s">
        <v>1624</v>
      </c>
      <c r="D628" s="1">
        <v>1991.0</v>
      </c>
      <c r="E628" s="1" t="s">
        <v>14</v>
      </c>
      <c r="F628" s="1" t="s">
        <v>15</v>
      </c>
      <c r="G628" s="1" t="s">
        <v>1914</v>
      </c>
      <c r="H628" s="1" t="s">
        <v>1915</v>
      </c>
      <c r="I628" s="1">
        <v>3.0</v>
      </c>
      <c r="K628" s="4" t="s">
        <v>9332</v>
      </c>
    </row>
    <row r="629" ht="15.75" customHeight="1">
      <c r="A629" s="1" t="s">
        <v>1916</v>
      </c>
      <c r="B629" s="1" t="s">
        <v>1917</v>
      </c>
      <c r="C629" s="1" t="s">
        <v>1918</v>
      </c>
      <c r="D629" s="1">
        <v>1994.0</v>
      </c>
      <c r="E629" s="1" t="s">
        <v>14</v>
      </c>
      <c r="F629" s="1" t="s">
        <v>15</v>
      </c>
      <c r="H629" s="1" t="s">
        <v>1919</v>
      </c>
      <c r="I629" s="1">
        <v>12.0</v>
      </c>
      <c r="K629" s="4" t="s">
        <v>9332</v>
      </c>
    </row>
    <row r="630" ht="15.75" customHeight="1">
      <c r="A630" s="1" t="s">
        <v>1924</v>
      </c>
      <c r="B630" s="1" t="s">
        <v>1925</v>
      </c>
      <c r="C630" s="1" t="s">
        <v>153</v>
      </c>
      <c r="D630" s="1">
        <v>1995.0</v>
      </c>
      <c r="E630" s="1" t="s">
        <v>14</v>
      </c>
      <c r="F630" s="1" t="s">
        <v>15</v>
      </c>
      <c r="G630" s="1" t="s">
        <v>1926</v>
      </c>
      <c r="H630" s="1" t="s">
        <v>1927</v>
      </c>
      <c r="I630" s="1">
        <v>1.0</v>
      </c>
      <c r="K630" s="4" t="s">
        <v>9332</v>
      </c>
    </row>
    <row r="631" ht="15.75" customHeight="1">
      <c r="A631" s="1" t="s">
        <v>1933</v>
      </c>
      <c r="B631" s="1" t="s">
        <v>1934</v>
      </c>
      <c r="C631" s="1" t="s">
        <v>1935</v>
      </c>
      <c r="D631" s="1">
        <v>1985.0</v>
      </c>
      <c r="E631" s="1" t="s">
        <v>14</v>
      </c>
      <c r="F631" s="1" t="s">
        <v>15</v>
      </c>
      <c r="H631" s="1" t="s">
        <v>1936</v>
      </c>
      <c r="I631" s="1">
        <v>1.0</v>
      </c>
      <c r="K631" s="4" t="s">
        <v>9332</v>
      </c>
    </row>
    <row r="632" ht="15.75" customHeight="1">
      <c r="A632" s="1" t="s">
        <v>1941</v>
      </c>
      <c r="B632" s="1" t="s">
        <v>1942</v>
      </c>
      <c r="C632" s="1" t="s">
        <v>1694</v>
      </c>
      <c r="D632" s="1">
        <v>2000.0</v>
      </c>
      <c r="E632" s="1" t="s">
        <v>14</v>
      </c>
      <c r="F632" s="1" t="s">
        <v>15</v>
      </c>
      <c r="H632" s="1" t="s">
        <v>1943</v>
      </c>
      <c r="I632" s="1">
        <v>1.0</v>
      </c>
      <c r="K632" s="4" t="s">
        <v>9332</v>
      </c>
    </row>
    <row r="633" ht="15.75" customHeight="1">
      <c r="A633" s="1" t="s">
        <v>1944</v>
      </c>
      <c r="B633" s="1" t="s">
        <v>1945</v>
      </c>
      <c r="C633" s="1" t="s">
        <v>1838</v>
      </c>
      <c r="D633" s="1">
        <v>1997.0</v>
      </c>
      <c r="E633" s="1" t="s">
        <v>14</v>
      </c>
      <c r="F633" s="1" t="s">
        <v>15</v>
      </c>
      <c r="H633" s="1" t="s">
        <v>1946</v>
      </c>
      <c r="I633" s="1">
        <v>1.0</v>
      </c>
      <c r="K633" s="4" t="s">
        <v>9332</v>
      </c>
    </row>
    <row r="634" ht="15.75" customHeight="1">
      <c r="A634" s="1" t="s">
        <v>1947</v>
      </c>
      <c r="B634" s="1" t="s">
        <v>1948</v>
      </c>
      <c r="C634" s="1" t="s">
        <v>1949</v>
      </c>
      <c r="D634" s="1">
        <v>1993.0</v>
      </c>
      <c r="E634" s="1" t="s">
        <v>14</v>
      </c>
      <c r="F634" s="1" t="s">
        <v>15</v>
      </c>
      <c r="H634" s="1" t="s">
        <v>1950</v>
      </c>
      <c r="I634" s="1">
        <v>7.0</v>
      </c>
      <c r="K634" s="4" t="s">
        <v>9332</v>
      </c>
    </row>
    <row r="635" ht="15.75" customHeight="1">
      <c r="A635" s="1" t="s">
        <v>1951</v>
      </c>
      <c r="B635" s="1" t="s">
        <v>1952</v>
      </c>
      <c r="C635" s="1" t="s">
        <v>1953</v>
      </c>
      <c r="D635" s="1">
        <v>1995.0</v>
      </c>
      <c r="E635" s="1" t="s">
        <v>14</v>
      </c>
      <c r="F635" s="1" t="s">
        <v>15</v>
      </c>
      <c r="G635" s="1" t="s">
        <v>1954</v>
      </c>
      <c r="H635" s="1" t="s">
        <v>1955</v>
      </c>
      <c r="I635" s="1">
        <v>0.0</v>
      </c>
      <c r="K635" s="4" t="s">
        <v>9332</v>
      </c>
    </row>
    <row r="636" ht="15.75" customHeight="1">
      <c r="A636" s="1" t="s">
        <v>1956</v>
      </c>
      <c r="B636" s="1" t="s">
        <v>1957</v>
      </c>
      <c r="C636" s="1" t="s">
        <v>1958</v>
      </c>
      <c r="D636" s="1">
        <v>1987.0</v>
      </c>
      <c r="E636" s="1" t="s">
        <v>14</v>
      </c>
      <c r="F636" s="1" t="s">
        <v>15</v>
      </c>
      <c r="H636" s="1" t="s">
        <v>1959</v>
      </c>
      <c r="I636" s="1">
        <v>2.0</v>
      </c>
      <c r="K636" s="4" t="s">
        <v>9332</v>
      </c>
    </row>
    <row r="637" ht="15.75" customHeight="1">
      <c r="A637" s="1" t="s">
        <v>1960</v>
      </c>
      <c r="B637" s="1" t="s">
        <v>1961</v>
      </c>
      <c r="C637" s="1" t="s">
        <v>1962</v>
      </c>
      <c r="D637" s="1">
        <v>1992.0</v>
      </c>
      <c r="E637" s="1" t="s">
        <v>14</v>
      </c>
      <c r="F637" s="1" t="s">
        <v>15</v>
      </c>
      <c r="G637" s="1" t="s">
        <v>1963</v>
      </c>
      <c r="H637" s="1" t="s">
        <v>1964</v>
      </c>
      <c r="I637" s="1">
        <v>1.0</v>
      </c>
      <c r="K637" s="4" t="s">
        <v>9332</v>
      </c>
    </row>
    <row r="638" ht="15.75" customHeight="1">
      <c r="A638" s="1" t="s">
        <v>3453</v>
      </c>
      <c r="B638" s="1" t="s">
        <v>3454</v>
      </c>
      <c r="C638" s="1" t="s">
        <v>3455</v>
      </c>
      <c r="D638" s="1">
        <v>2022.0</v>
      </c>
      <c r="E638" s="1" t="s">
        <v>3404</v>
      </c>
      <c r="F638" s="1" t="s">
        <v>3405</v>
      </c>
      <c r="G638" s="1" t="s">
        <v>389</v>
      </c>
      <c r="H638" s="1" t="s">
        <v>3456</v>
      </c>
      <c r="I638" s="1" t="s">
        <v>3403</v>
      </c>
      <c r="K638" s="4" t="s">
        <v>9332</v>
      </c>
    </row>
    <row r="639" ht="15.0" customHeight="1">
      <c r="A639" s="1" t="s">
        <v>3471</v>
      </c>
      <c r="B639" s="1" t="s">
        <v>3472</v>
      </c>
      <c r="C639" s="1" t="s">
        <v>3473</v>
      </c>
      <c r="D639" s="1">
        <v>2017.0</v>
      </c>
      <c r="E639" s="1" t="s">
        <v>3404</v>
      </c>
      <c r="F639" s="1" t="s">
        <v>3405</v>
      </c>
      <c r="G639" s="1" t="s">
        <v>1290</v>
      </c>
      <c r="H639" s="1" t="s">
        <v>3474</v>
      </c>
      <c r="I639" s="1" t="s">
        <v>3403</v>
      </c>
      <c r="K639" s="4" t="s">
        <v>9332</v>
      </c>
    </row>
    <row r="640" ht="15.75" customHeight="1">
      <c r="A640" s="1" t="s">
        <v>3485</v>
      </c>
      <c r="B640" s="1" t="s">
        <v>3486</v>
      </c>
      <c r="C640" s="1" t="s">
        <v>3487</v>
      </c>
      <c r="D640" s="1">
        <v>2012.0</v>
      </c>
      <c r="E640" s="1" t="s">
        <v>3404</v>
      </c>
      <c r="F640" s="1" t="s">
        <v>3405</v>
      </c>
      <c r="G640" s="1" t="s">
        <v>3488</v>
      </c>
      <c r="H640" s="1" t="s">
        <v>3489</v>
      </c>
      <c r="I640" s="1" t="s">
        <v>3403</v>
      </c>
      <c r="J640" s="1"/>
      <c r="K640" s="4" t="s">
        <v>9332</v>
      </c>
      <c r="L640" s="1"/>
      <c r="M640" s="1"/>
      <c r="N640" s="1"/>
      <c r="O640" s="1"/>
      <c r="P640" s="1"/>
      <c r="Q640" s="1"/>
      <c r="R640" s="1"/>
      <c r="S640" s="1"/>
      <c r="T640" s="1"/>
      <c r="U640" s="1"/>
      <c r="V640" s="1"/>
      <c r="W640" s="1"/>
      <c r="X640" s="1"/>
      <c r="Y640" s="1"/>
      <c r="Z640" s="1"/>
    </row>
    <row r="641" ht="15.75" customHeight="1">
      <c r="A641" s="1" t="s">
        <v>3502</v>
      </c>
      <c r="B641" s="1" t="s">
        <v>3503</v>
      </c>
      <c r="C641" s="1" t="s">
        <v>3504</v>
      </c>
      <c r="D641" s="1">
        <v>2020.0</v>
      </c>
      <c r="E641" s="1" t="s">
        <v>3404</v>
      </c>
      <c r="F641" s="1" t="s">
        <v>3416</v>
      </c>
      <c r="G641" s="1" t="s">
        <v>3505</v>
      </c>
      <c r="H641" s="1" t="s">
        <v>3506</v>
      </c>
      <c r="I641" s="1" t="s">
        <v>3403</v>
      </c>
      <c r="J641" s="1"/>
      <c r="K641" s="4" t="s">
        <v>9332</v>
      </c>
      <c r="L641" s="1"/>
      <c r="M641" s="1"/>
      <c r="N641" s="1"/>
      <c r="O641" s="1"/>
    </row>
    <row r="642" ht="15.75" customHeight="1">
      <c r="A642" s="1" t="s">
        <v>3518</v>
      </c>
      <c r="B642" s="1" t="s">
        <v>3519</v>
      </c>
      <c r="C642" s="1" t="s">
        <v>3520</v>
      </c>
      <c r="D642" s="1">
        <v>1987.0</v>
      </c>
      <c r="E642" s="1" t="s">
        <v>3521</v>
      </c>
      <c r="F642" s="1" t="s">
        <v>3405</v>
      </c>
      <c r="G642" s="1"/>
      <c r="H642" s="1"/>
      <c r="I642" s="1" t="s">
        <v>3403</v>
      </c>
      <c r="J642" s="1"/>
      <c r="K642" s="4" t="s">
        <v>9332</v>
      </c>
      <c r="L642" s="1"/>
      <c r="M642" s="1"/>
      <c r="N642" s="1"/>
      <c r="O642" s="1"/>
    </row>
    <row r="643" ht="15.75" customHeight="1">
      <c r="A643" s="1" t="s">
        <v>3533</v>
      </c>
      <c r="B643" s="1" t="s">
        <v>3534</v>
      </c>
      <c r="C643" s="1" t="s">
        <v>3535</v>
      </c>
      <c r="D643" s="1">
        <v>2020.0</v>
      </c>
      <c r="E643" s="1" t="s">
        <v>3404</v>
      </c>
      <c r="F643" s="1" t="s">
        <v>3405</v>
      </c>
      <c r="G643" s="1" t="s">
        <v>3536</v>
      </c>
      <c r="H643" s="1" t="s">
        <v>3537</v>
      </c>
      <c r="I643" s="1" t="s">
        <v>3403</v>
      </c>
      <c r="J643" s="1"/>
      <c r="K643" s="4" t="s">
        <v>9332</v>
      </c>
      <c r="L643" s="1"/>
      <c r="M643" s="1"/>
      <c r="N643" s="1"/>
      <c r="O643" s="1"/>
    </row>
    <row r="644" ht="15.75" customHeight="1">
      <c r="A644" s="1" t="s">
        <v>3555</v>
      </c>
      <c r="B644" s="1" t="s">
        <v>3556</v>
      </c>
      <c r="C644" s="1" t="s">
        <v>3557</v>
      </c>
      <c r="D644" s="1">
        <v>2015.0</v>
      </c>
      <c r="E644" s="1" t="s">
        <v>3409</v>
      </c>
      <c r="F644" s="1" t="s">
        <v>3405</v>
      </c>
      <c r="G644" s="1"/>
      <c r="H644" s="1"/>
      <c r="I644" s="1" t="s">
        <v>3403</v>
      </c>
      <c r="J644" s="1"/>
      <c r="K644" s="4" t="s">
        <v>9332</v>
      </c>
      <c r="L644" s="1"/>
      <c r="M644" s="1"/>
      <c r="N644" s="1"/>
      <c r="O644" s="1"/>
    </row>
    <row r="645" ht="15.75" customHeight="1">
      <c r="A645" s="2" t="s">
        <v>3959</v>
      </c>
      <c r="B645" s="2" t="s">
        <v>3958</v>
      </c>
      <c r="C645" s="2" t="s">
        <v>3960</v>
      </c>
      <c r="D645" s="2">
        <v>1996.0</v>
      </c>
      <c r="E645" s="1" t="s">
        <v>9333</v>
      </c>
      <c r="F645" s="2" t="s">
        <v>3664</v>
      </c>
      <c r="G645" s="2" t="s">
        <v>3635</v>
      </c>
      <c r="H645" s="2" t="s">
        <v>3635</v>
      </c>
      <c r="I645" s="2">
        <v>0.0</v>
      </c>
      <c r="J645" s="1"/>
      <c r="K645" s="4" t="s">
        <v>9332</v>
      </c>
      <c r="L645" s="1"/>
      <c r="M645" s="4"/>
      <c r="N645" s="1"/>
      <c r="O645" s="1"/>
    </row>
    <row r="646" ht="15.75" customHeight="1">
      <c r="A646" s="2" t="s">
        <v>3976</v>
      </c>
      <c r="B646" s="2" t="s">
        <v>3974</v>
      </c>
      <c r="C646" s="2" t="s">
        <v>3977</v>
      </c>
      <c r="D646" s="2">
        <v>2012.0</v>
      </c>
      <c r="E646" s="1" t="s">
        <v>9333</v>
      </c>
      <c r="F646" s="2" t="s">
        <v>3633</v>
      </c>
      <c r="G646" s="2" t="s">
        <v>3991</v>
      </c>
      <c r="H646" s="3" t="str">
        <f>HYPERLINK("http://dx.doi.org/10.1108/01443581211222635","http://dx.doi.org/10.1108/01443581211222635")</f>
        <v>http://dx.doi.org/10.1108/01443581211222635</v>
      </c>
      <c r="I646" s="2">
        <v>86.0</v>
      </c>
      <c r="K646" s="4" t="s">
        <v>9332</v>
      </c>
      <c r="M646" s="4"/>
      <c r="N646" s="1"/>
      <c r="O646" s="1"/>
    </row>
    <row r="647" ht="15.75" customHeight="1">
      <c r="A647" s="2" t="s">
        <v>4033</v>
      </c>
      <c r="B647" s="2" t="s">
        <v>4031</v>
      </c>
      <c r="C647" s="2" t="s">
        <v>4034</v>
      </c>
      <c r="D647" s="2">
        <v>2009.0</v>
      </c>
      <c r="E647" s="1" t="s">
        <v>9333</v>
      </c>
      <c r="F647" s="2" t="s">
        <v>3633</v>
      </c>
      <c r="G647" s="2" t="s">
        <v>4055</v>
      </c>
      <c r="H647" s="3" t="str">
        <f>HYPERLINK("http://dx.doi.org/10.1093/aje/kwn359","http://dx.doi.org/10.1093/aje/kwn359")</f>
        <v>http://dx.doi.org/10.1093/aje/kwn359</v>
      </c>
      <c r="I647" s="2">
        <v>881.0</v>
      </c>
      <c r="K647" s="4" t="s">
        <v>9332</v>
      </c>
      <c r="M647" s="4"/>
      <c r="N647" s="1"/>
      <c r="O647" s="1"/>
    </row>
    <row r="648" ht="15.75" customHeight="1">
      <c r="A648" s="2" t="s">
        <v>4093</v>
      </c>
      <c r="B648" s="2" t="s">
        <v>4091</v>
      </c>
      <c r="C648" s="2" t="s">
        <v>4094</v>
      </c>
      <c r="D648" s="2">
        <v>2024.0</v>
      </c>
      <c r="E648" s="1" t="s">
        <v>9333</v>
      </c>
      <c r="F648" s="2" t="s">
        <v>3633</v>
      </c>
      <c r="G648" s="2" t="s">
        <v>4111</v>
      </c>
      <c r="H648" s="3" t="str">
        <f>HYPERLINK("http://dx.doi.org/10.3389/fncom.2024.1393025","http://dx.doi.org/10.3389/fncom.2024.1393025")</f>
        <v>http://dx.doi.org/10.3389/fncom.2024.1393025</v>
      </c>
      <c r="I648" s="2">
        <v>0.0</v>
      </c>
      <c r="K648" s="4" t="s">
        <v>9332</v>
      </c>
      <c r="M648" s="4"/>
      <c r="N648" s="1"/>
      <c r="O648" s="1"/>
    </row>
    <row r="649" ht="15.75" customHeight="1">
      <c r="A649" s="2" t="s">
        <v>4205</v>
      </c>
      <c r="B649" s="2" t="s">
        <v>4203</v>
      </c>
      <c r="C649" s="2" t="s">
        <v>4206</v>
      </c>
      <c r="D649" s="2">
        <v>2022.0</v>
      </c>
      <c r="E649" s="1" t="s">
        <v>9333</v>
      </c>
      <c r="F649" s="2" t="s">
        <v>3633</v>
      </c>
      <c r="G649" s="2" t="s">
        <v>4221</v>
      </c>
      <c r="H649" s="3" t="str">
        <f>HYPERLINK("http://dx.doi.org/10.1111/aas.14142","http://dx.doi.org/10.1111/aas.14142")</f>
        <v>http://dx.doi.org/10.1111/aas.14142</v>
      </c>
      <c r="I649" s="2">
        <v>2.0</v>
      </c>
      <c r="K649" s="4" t="s">
        <v>9332</v>
      </c>
      <c r="M649" s="4"/>
      <c r="N649" s="1"/>
      <c r="O649" s="1"/>
    </row>
    <row r="650" ht="15.75" customHeight="1">
      <c r="A650" s="2" t="s">
        <v>4229</v>
      </c>
      <c r="B650" s="2" t="s">
        <v>4227</v>
      </c>
      <c r="C650" s="2" t="s">
        <v>4230</v>
      </c>
      <c r="D650" s="2">
        <v>2023.0</v>
      </c>
      <c r="E650" s="1" t="s">
        <v>9333</v>
      </c>
      <c r="F650" s="2" t="s">
        <v>3633</v>
      </c>
      <c r="G650" s="2" t="s">
        <v>4247</v>
      </c>
      <c r="H650" s="3" t="str">
        <f>HYPERLINK("http://dx.doi.org/10.3389/fcvm.2023.1247122","http://dx.doi.org/10.3389/fcvm.2023.1247122")</f>
        <v>http://dx.doi.org/10.3389/fcvm.2023.1247122</v>
      </c>
      <c r="I650" s="2">
        <v>2.0</v>
      </c>
      <c r="K650" s="4" t="s">
        <v>9332</v>
      </c>
      <c r="M650" s="4"/>
      <c r="N650" s="1"/>
      <c r="O650" s="1"/>
    </row>
    <row r="651" ht="15.75" customHeight="1">
      <c r="A651" s="2" t="s">
        <v>4300</v>
      </c>
      <c r="B651" s="2" t="s">
        <v>4298</v>
      </c>
      <c r="C651" s="2" t="s">
        <v>4301</v>
      </c>
      <c r="D651" s="2">
        <v>2023.0</v>
      </c>
      <c r="E651" s="1" t="s">
        <v>9333</v>
      </c>
      <c r="F651" s="2" t="s">
        <v>3633</v>
      </c>
      <c r="G651" s="2" t="s">
        <v>4318</v>
      </c>
      <c r="H651" s="3" t="str">
        <f>HYPERLINK("http://dx.doi.org/10.1038/s41598-023-41063-y","http://dx.doi.org/10.1038/s41598-023-41063-y")</f>
        <v>http://dx.doi.org/10.1038/s41598-023-41063-y</v>
      </c>
      <c r="I651" s="2">
        <v>0.0</v>
      </c>
      <c r="K651" s="4" t="s">
        <v>9332</v>
      </c>
      <c r="M651" s="4"/>
    </row>
    <row r="652" ht="15.75" customHeight="1">
      <c r="A652" s="2" t="s">
        <v>4361</v>
      </c>
      <c r="B652" s="2" t="s">
        <v>4360</v>
      </c>
      <c r="C652" s="2" t="s">
        <v>4362</v>
      </c>
      <c r="D652" s="2">
        <v>2006.0</v>
      </c>
      <c r="E652" s="1" t="s">
        <v>9333</v>
      </c>
      <c r="F652" s="2" t="s">
        <v>3633</v>
      </c>
      <c r="G652" s="2" t="s">
        <v>4376</v>
      </c>
      <c r="H652" s="3" t="str">
        <f>HYPERLINK("http://dx.doi.org/10.1007/s00180-006-0257-8","http://dx.doi.org/10.1007/s00180-006-0257-8")</f>
        <v>http://dx.doi.org/10.1007/s00180-006-0257-8</v>
      </c>
      <c r="I652" s="2">
        <v>0.0</v>
      </c>
      <c r="K652" s="4" t="s">
        <v>9332</v>
      </c>
      <c r="M652" s="4"/>
    </row>
    <row r="653" ht="15.75" customHeight="1">
      <c r="A653" s="2" t="s">
        <v>4385</v>
      </c>
      <c r="B653" s="2" t="s">
        <v>4382</v>
      </c>
      <c r="C653" s="2" t="s">
        <v>4386</v>
      </c>
      <c r="D653" s="2">
        <v>2015.0</v>
      </c>
      <c r="E653" s="1" t="s">
        <v>9333</v>
      </c>
      <c r="F653" s="2" t="s">
        <v>3633</v>
      </c>
      <c r="G653" s="2" t="s">
        <v>4403</v>
      </c>
      <c r="H653" s="3" t="str">
        <f>HYPERLINK("http://dx.doi.org/10.1093/jamia/ocv059","http://dx.doi.org/10.1093/jamia/ocv059")</f>
        <v>http://dx.doi.org/10.1093/jamia/ocv059</v>
      </c>
      <c r="I653" s="2">
        <v>26.0</v>
      </c>
      <c r="K653" s="4" t="s">
        <v>9332</v>
      </c>
      <c r="M653" s="4"/>
    </row>
    <row r="654" ht="15.75" customHeight="1">
      <c r="A654" s="2" t="s">
        <v>4480</v>
      </c>
      <c r="B654" s="2" t="s">
        <v>4478</v>
      </c>
      <c r="C654" s="2" t="s">
        <v>4481</v>
      </c>
      <c r="D654" s="2">
        <v>2021.0</v>
      </c>
      <c r="E654" s="1" t="s">
        <v>9333</v>
      </c>
      <c r="F654" s="2" t="s">
        <v>3633</v>
      </c>
      <c r="G654" s="2" t="s">
        <v>4501</v>
      </c>
      <c r="H654" s="3" t="str">
        <f>HYPERLINK("http://dx.doi.org/10.1080/01621459.2021.1920957","http://dx.doi.org/10.1080/01621459.2021.1920957")</f>
        <v>http://dx.doi.org/10.1080/01621459.2021.1920957</v>
      </c>
      <c r="I654" s="2">
        <v>50.0</v>
      </c>
      <c r="K654" s="4" t="s">
        <v>9332</v>
      </c>
      <c r="M654" s="4"/>
    </row>
    <row r="655" ht="15.75" customHeight="1">
      <c r="A655" s="2" t="s">
        <v>4634</v>
      </c>
      <c r="B655" s="2" t="s">
        <v>4632</v>
      </c>
      <c r="C655" s="2" t="s">
        <v>4635</v>
      </c>
      <c r="D655" s="2">
        <v>2024.0</v>
      </c>
      <c r="E655" s="1" t="s">
        <v>9333</v>
      </c>
      <c r="F655" s="2" t="s">
        <v>3633</v>
      </c>
      <c r="G655" s="2" t="s">
        <v>4651</v>
      </c>
      <c r="H655" s="3" t="str">
        <f>HYPERLINK("http://dx.doi.org/10.3390/app14093662","http://dx.doi.org/10.3390/app14093662")</f>
        <v>http://dx.doi.org/10.3390/app14093662</v>
      </c>
      <c r="I655" s="2">
        <v>0.0</v>
      </c>
      <c r="K655" s="4" t="s">
        <v>9332</v>
      </c>
      <c r="M655" s="4"/>
    </row>
    <row r="656" ht="15.75" customHeight="1">
      <c r="A656" s="2" t="s">
        <v>4658</v>
      </c>
      <c r="B656" s="2" t="s">
        <v>4656</v>
      </c>
      <c r="C656" s="2" t="s">
        <v>4659</v>
      </c>
      <c r="D656" s="2">
        <v>2018.0</v>
      </c>
      <c r="E656" s="1" t="s">
        <v>9333</v>
      </c>
      <c r="F656" s="2" t="s">
        <v>3633</v>
      </c>
      <c r="G656" s="2" t="s">
        <v>4674</v>
      </c>
      <c r="H656" s="3" t="str">
        <f>HYPERLINK("http://dx.doi.org/10.1177/1179597218756896","http://dx.doi.org/10.1177/1179597218756896")</f>
        <v>http://dx.doi.org/10.1177/1179597218756896</v>
      </c>
      <c r="I656" s="2">
        <v>1.0</v>
      </c>
      <c r="K656" s="4" t="s">
        <v>9332</v>
      </c>
      <c r="M656" s="4"/>
    </row>
    <row r="657" ht="15.75" customHeight="1">
      <c r="A657" s="2" t="s">
        <v>4726</v>
      </c>
      <c r="B657" s="2" t="s">
        <v>4724</v>
      </c>
      <c r="C657" s="2" t="s">
        <v>4727</v>
      </c>
      <c r="D657" s="2">
        <v>2018.0</v>
      </c>
      <c r="E657" s="1" t="s">
        <v>9333</v>
      </c>
      <c r="F657" s="2" t="s">
        <v>3633</v>
      </c>
      <c r="G657" s="2" t="s">
        <v>625</v>
      </c>
      <c r="H657" s="3" t="str">
        <f>HYPERLINK("http://dx.doi.org/10.1186/s12911-018-0667-x","http://dx.doi.org/10.1186/s12911-018-0667-x")</f>
        <v>http://dx.doi.org/10.1186/s12911-018-0667-x</v>
      </c>
      <c r="I657" s="2">
        <v>6.0</v>
      </c>
      <c r="K657" s="4" t="s">
        <v>9332</v>
      </c>
      <c r="M657" s="4"/>
    </row>
    <row r="658" ht="15.75" customHeight="1">
      <c r="A658" s="2" t="s">
        <v>4776</v>
      </c>
      <c r="B658" s="2" t="s">
        <v>4774</v>
      </c>
      <c r="C658" s="2" t="s">
        <v>4777</v>
      </c>
      <c r="D658" s="2">
        <v>2023.0</v>
      </c>
      <c r="E658" s="1" t="s">
        <v>9333</v>
      </c>
      <c r="F658" s="2" t="s">
        <v>3633</v>
      </c>
      <c r="G658" s="2" t="s">
        <v>4789</v>
      </c>
      <c r="H658" s="3" t="str">
        <f>HYPERLINK("http://dx.doi.org/10.1016/j.infsof.2023.107198","http://dx.doi.org/10.1016/j.infsof.2023.107198")</f>
        <v>http://dx.doi.org/10.1016/j.infsof.2023.107198</v>
      </c>
      <c r="I658" s="2">
        <v>2.0</v>
      </c>
      <c r="K658" s="4" t="s">
        <v>9332</v>
      </c>
      <c r="M658" s="4"/>
    </row>
    <row r="659" ht="15.75" customHeight="1">
      <c r="A659" s="2" t="s">
        <v>4900</v>
      </c>
      <c r="B659" s="2" t="s">
        <v>4898</v>
      </c>
      <c r="C659" s="2" t="s">
        <v>4901</v>
      </c>
      <c r="D659" s="2">
        <v>2023.0</v>
      </c>
      <c r="E659" s="1" t="s">
        <v>9333</v>
      </c>
      <c r="F659" s="2" t="s">
        <v>3633</v>
      </c>
      <c r="G659" s="2" t="s">
        <v>4916</v>
      </c>
      <c r="H659" s="3" t="str">
        <f>HYPERLINK("http://dx.doi.org/10.1186/s12874-023-02068-3","http://dx.doi.org/10.1186/s12874-023-02068-3")</f>
        <v>http://dx.doi.org/10.1186/s12874-023-02068-3</v>
      </c>
      <c r="I659" s="2">
        <v>0.0</v>
      </c>
      <c r="K659" s="4" t="s">
        <v>9332</v>
      </c>
      <c r="M659" s="4"/>
    </row>
    <row r="660" ht="15.75" customHeight="1">
      <c r="A660" s="2" t="s">
        <v>4922</v>
      </c>
      <c r="B660" s="2" t="s">
        <v>4920</v>
      </c>
      <c r="C660" s="2" t="s">
        <v>4923</v>
      </c>
      <c r="D660" s="2">
        <v>2023.0</v>
      </c>
      <c r="E660" s="1" t="s">
        <v>9333</v>
      </c>
      <c r="F660" s="2" t="s">
        <v>3633</v>
      </c>
      <c r="G660" s="2" t="s">
        <v>4943</v>
      </c>
      <c r="H660" s="3" t="str">
        <f>HYPERLINK("http://dx.doi.org/10.1161/CIRCOUTCOMES.122.009277","http://dx.doi.org/10.1161/CIRCOUTCOMES.122.009277")</f>
        <v>http://dx.doi.org/10.1161/CIRCOUTCOMES.122.009277</v>
      </c>
      <c r="I660" s="2">
        <v>0.0</v>
      </c>
      <c r="K660" s="4" t="s">
        <v>9332</v>
      </c>
      <c r="M660" s="4"/>
    </row>
    <row r="661" ht="15.75" customHeight="1">
      <c r="A661" s="2" t="s">
        <v>4990</v>
      </c>
      <c r="B661" s="2" t="s">
        <v>4988</v>
      </c>
      <c r="C661" s="2" t="s">
        <v>4991</v>
      </c>
      <c r="D661" s="2">
        <v>2023.0</v>
      </c>
      <c r="E661" s="1" t="s">
        <v>9333</v>
      </c>
      <c r="F661" s="2" t="s">
        <v>3633</v>
      </c>
      <c r="G661" s="2" t="s">
        <v>5006</v>
      </c>
      <c r="H661" s="3" t="str">
        <f>HYPERLINK("http://dx.doi.org/10.1080/03610918.2021.1960374","http://dx.doi.org/10.1080/03610918.2021.1960374")</f>
        <v>http://dx.doi.org/10.1080/03610918.2021.1960374</v>
      </c>
      <c r="I661" s="2">
        <v>2.0</v>
      </c>
      <c r="K661" s="4" t="s">
        <v>9332</v>
      </c>
      <c r="M661" s="4"/>
    </row>
    <row r="662" ht="15.75" customHeight="1">
      <c r="A662" s="2" t="s">
        <v>5033</v>
      </c>
      <c r="B662" s="2" t="s">
        <v>5031</v>
      </c>
      <c r="C662" s="2" t="s">
        <v>5034</v>
      </c>
      <c r="D662" s="2">
        <v>2022.0</v>
      </c>
      <c r="E662" s="1" t="s">
        <v>9333</v>
      </c>
      <c r="F662" s="2" t="s">
        <v>3633</v>
      </c>
      <c r="G662" s="2" t="s">
        <v>5052</v>
      </c>
      <c r="H662" s="3" t="str">
        <f>HYPERLINK("http://dx.doi.org/10.1111/biom.13782","http://dx.doi.org/10.1111/biom.13782")</f>
        <v>http://dx.doi.org/10.1111/biom.13782</v>
      </c>
      <c r="I662" s="2">
        <v>2.0</v>
      </c>
      <c r="K662" s="4" t="s">
        <v>9332</v>
      </c>
      <c r="M662" s="4"/>
    </row>
    <row r="663" ht="15.75" customHeight="1">
      <c r="A663" s="2" t="s">
        <v>5100</v>
      </c>
      <c r="B663" s="2" t="s">
        <v>5098</v>
      </c>
      <c r="C663" s="2" t="s">
        <v>5101</v>
      </c>
      <c r="D663" s="2">
        <v>2021.0</v>
      </c>
      <c r="E663" s="1" t="s">
        <v>9333</v>
      </c>
      <c r="F663" s="2" t="s">
        <v>3633</v>
      </c>
      <c r="G663" s="2" t="s">
        <v>5118</v>
      </c>
      <c r="H663" s="3" t="str">
        <f>HYPERLINK("http://dx.doi.org/10.1039/d0mo00140f","http://dx.doi.org/10.1039/d0mo00140f")</f>
        <v>http://dx.doi.org/10.1039/d0mo00140f</v>
      </c>
      <c r="I663" s="2">
        <v>2.0</v>
      </c>
      <c r="K663" s="4" t="s">
        <v>9332</v>
      </c>
      <c r="M663" s="4"/>
    </row>
    <row r="664" ht="15.75" customHeight="1">
      <c r="A664" s="2" t="s">
        <v>5125</v>
      </c>
      <c r="B664" s="2" t="s">
        <v>5123</v>
      </c>
      <c r="C664" s="2" t="s">
        <v>5126</v>
      </c>
      <c r="D664" s="2">
        <v>2021.0</v>
      </c>
      <c r="E664" s="1" t="s">
        <v>9333</v>
      </c>
      <c r="F664" s="2" t="s">
        <v>3633</v>
      </c>
      <c r="G664" s="2" t="s">
        <v>5144</v>
      </c>
      <c r="H664" s="3" t="str">
        <f>HYPERLINK("http://dx.doi.org/10.1002/bimj.202000040","http://dx.doi.org/10.1002/bimj.202000040")</f>
        <v>http://dx.doi.org/10.1002/bimj.202000040</v>
      </c>
      <c r="I664" s="2">
        <v>4.0</v>
      </c>
      <c r="K664" s="4" t="s">
        <v>9332</v>
      </c>
      <c r="M664" s="4"/>
    </row>
    <row r="665" ht="15.75" customHeight="1">
      <c r="A665" s="2" t="s">
        <v>5354</v>
      </c>
      <c r="B665" s="2" t="s">
        <v>5352</v>
      </c>
      <c r="C665" s="2" t="s">
        <v>4777</v>
      </c>
      <c r="D665" s="2">
        <v>2016.0</v>
      </c>
      <c r="E665" s="1" t="s">
        <v>9333</v>
      </c>
      <c r="F665" s="2" t="s">
        <v>3633</v>
      </c>
      <c r="G665" s="2" t="s">
        <v>5368</v>
      </c>
      <c r="H665" s="3" t="str">
        <f>HYPERLINK("http://dx.doi.org/10.1016/j.infsof.2016.09.002","http://dx.doi.org/10.1016/j.infsof.2016.09.002")</f>
        <v>http://dx.doi.org/10.1016/j.infsof.2016.09.002</v>
      </c>
      <c r="I665" s="2">
        <v>81.0</v>
      </c>
      <c r="K665" s="4" t="s">
        <v>9332</v>
      </c>
      <c r="M665" s="4"/>
    </row>
    <row r="666" ht="15.75" customHeight="1">
      <c r="A666" s="2" t="s">
        <v>5373</v>
      </c>
      <c r="B666" s="2" t="s">
        <v>5371</v>
      </c>
      <c r="C666" s="2" t="s">
        <v>5374</v>
      </c>
      <c r="D666" s="2">
        <v>2020.0</v>
      </c>
      <c r="E666" s="1" t="s">
        <v>9333</v>
      </c>
      <c r="F666" s="2" t="s">
        <v>3633</v>
      </c>
      <c r="G666" s="2" t="s">
        <v>5389</v>
      </c>
      <c r="H666" s="3" t="str">
        <f>HYPERLINK("http://dx.doi.org/10.2174/1574886315666200224101011","http://dx.doi.org/10.2174/1574886315666200224101011")</f>
        <v>http://dx.doi.org/10.2174/1574886315666200224101011</v>
      </c>
      <c r="I666" s="2">
        <v>0.0</v>
      </c>
      <c r="K666" s="4" t="s">
        <v>9332</v>
      </c>
      <c r="M666" s="4"/>
    </row>
    <row r="667" ht="15.75" customHeight="1">
      <c r="A667" s="2" t="s">
        <v>5442</v>
      </c>
      <c r="B667" s="2" t="s">
        <v>5439</v>
      </c>
      <c r="C667" s="2" t="s">
        <v>5443</v>
      </c>
      <c r="D667" s="2">
        <v>2020.0</v>
      </c>
      <c r="E667" s="1" t="s">
        <v>9333</v>
      </c>
      <c r="F667" s="2" t="s">
        <v>5438</v>
      </c>
      <c r="G667" s="2" t="s">
        <v>5464</v>
      </c>
      <c r="H667" s="3" t="str">
        <f>HYPERLINK("http://dx.doi.org/10.1146/annurev-statistics-031219-041110","http://dx.doi.org/10.1146/annurev-statistics-031219-041110")</f>
        <v>http://dx.doi.org/10.1146/annurev-statistics-031219-041110</v>
      </c>
      <c r="I667" s="2">
        <v>92.0</v>
      </c>
      <c r="K667" s="4" t="s">
        <v>9332</v>
      </c>
      <c r="M667" s="4"/>
    </row>
    <row r="668" ht="15.75" customHeight="1">
      <c r="A668" s="2" t="s">
        <v>5492</v>
      </c>
      <c r="B668" s="2" t="s">
        <v>5491</v>
      </c>
      <c r="C668" s="2" t="s">
        <v>5493</v>
      </c>
      <c r="D668" s="2">
        <v>2004.0</v>
      </c>
      <c r="E668" s="1" t="s">
        <v>9333</v>
      </c>
      <c r="F668" s="2" t="s">
        <v>3633</v>
      </c>
      <c r="G668" s="2" t="s">
        <v>5504</v>
      </c>
      <c r="H668" s="3" t="str">
        <f>HYPERLINK("http://dx.doi.org/10.13182/NT04-A3528","http://dx.doi.org/10.13182/NT04-A3528")</f>
        <v>http://dx.doi.org/10.13182/NT04-A3528</v>
      </c>
      <c r="I668" s="2">
        <v>1.0</v>
      </c>
      <c r="K668" s="4" t="s">
        <v>9332</v>
      </c>
      <c r="M668" s="4"/>
    </row>
    <row r="669" ht="15.75" customHeight="1">
      <c r="A669" s="2" t="s">
        <v>5613</v>
      </c>
      <c r="B669" s="2" t="s">
        <v>5611</v>
      </c>
      <c r="C669" s="2" t="s">
        <v>5614</v>
      </c>
      <c r="D669" s="2">
        <v>2021.0</v>
      </c>
      <c r="E669" s="1" t="s">
        <v>9333</v>
      </c>
      <c r="F669" s="2" t="s">
        <v>3633</v>
      </c>
      <c r="G669" s="2" t="s">
        <v>5631</v>
      </c>
      <c r="H669" s="3" t="str">
        <f>HYPERLINK("http://dx.doi.org/10.1080/10618600.2020.1831930","http://dx.doi.org/10.1080/10618600.2020.1831930")</f>
        <v>http://dx.doi.org/10.1080/10618600.2020.1831930</v>
      </c>
      <c r="I669" s="2">
        <v>37.0</v>
      </c>
      <c r="K669" s="4" t="s">
        <v>9332</v>
      </c>
      <c r="M669" s="4"/>
    </row>
    <row r="670" ht="15.75" customHeight="1">
      <c r="A670" s="2" t="s">
        <v>5638</v>
      </c>
      <c r="B670" s="2" t="s">
        <v>5635</v>
      </c>
      <c r="C670" s="2" t="s">
        <v>5639</v>
      </c>
      <c r="D670" s="2">
        <v>2011.0</v>
      </c>
      <c r="E670" s="1" t="s">
        <v>9333</v>
      </c>
      <c r="F670" s="2" t="s">
        <v>3664</v>
      </c>
      <c r="G670" s="2" t="s">
        <v>3635</v>
      </c>
      <c r="H670" s="2" t="s">
        <v>3635</v>
      </c>
      <c r="I670" s="2">
        <v>0.0</v>
      </c>
      <c r="K670" s="4" t="s">
        <v>9332</v>
      </c>
      <c r="M670" s="4"/>
    </row>
    <row r="671" ht="15.75" customHeight="1">
      <c r="A671" s="2" t="s">
        <v>5662</v>
      </c>
      <c r="B671" s="2" t="s">
        <v>5660</v>
      </c>
      <c r="C671" s="2" t="s">
        <v>5663</v>
      </c>
      <c r="D671" s="2">
        <v>2017.0</v>
      </c>
      <c r="E671" s="1" t="s">
        <v>9333</v>
      </c>
      <c r="F671" s="2" t="s">
        <v>3633</v>
      </c>
      <c r="G671" s="2" t="s">
        <v>3635</v>
      </c>
      <c r="H671" s="2" t="s">
        <v>3635</v>
      </c>
      <c r="I671" s="2">
        <v>156.0</v>
      </c>
      <c r="K671" s="4" t="s">
        <v>9332</v>
      </c>
      <c r="M671" s="4"/>
    </row>
    <row r="672" ht="15.75" customHeight="1">
      <c r="A672" s="2" t="s">
        <v>5706</v>
      </c>
      <c r="B672" s="2" t="s">
        <v>5704</v>
      </c>
      <c r="C672" s="2" t="s">
        <v>5707</v>
      </c>
      <c r="D672" s="2">
        <v>2023.0</v>
      </c>
      <c r="E672" s="1" t="s">
        <v>9333</v>
      </c>
      <c r="F672" s="2" t="s">
        <v>3633</v>
      </c>
      <c r="G672" s="2" t="s">
        <v>5723</v>
      </c>
      <c r="H672" s="3" t="str">
        <f>HYPERLINK("http://dx.doi.org/10.1111/ajps.12685","http://dx.doi.org/10.1111/ajps.12685")</f>
        <v>http://dx.doi.org/10.1111/ajps.12685</v>
      </c>
      <c r="I672" s="2">
        <v>95.0</v>
      </c>
      <c r="K672" s="4" t="s">
        <v>9332</v>
      </c>
      <c r="M672" s="4"/>
    </row>
    <row r="673" ht="15.75" customHeight="1">
      <c r="A673" s="2" t="s">
        <v>5773</v>
      </c>
      <c r="B673" s="2" t="s">
        <v>5771</v>
      </c>
      <c r="C673" s="2" t="s">
        <v>5774</v>
      </c>
      <c r="D673" s="2">
        <v>2021.0</v>
      </c>
      <c r="E673" s="1" t="s">
        <v>9333</v>
      </c>
      <c r="F673" s="2" t="s">
        <v>3633</v>
      </c>
      <c r="G673" s="2" t="s">
        <v>5789</v>
      </c>
      <c r="H673" s="3" t="str">
        <f>HYPERLINK("http://dx.doi.org/10.2478/manment-2019-0060","http://dx.doi.org/10.2478/manment-2019-0060")</f>
        <v>http://dx.doi.org/10.2478/manment-2019-0060</v>
      </c>
      <c r="I673" s="2">
        <v>0.0</v>
      </c>
      <c r="K673" s="4" t="s">
        <v>9332</v>
      </c>
      <c r="M673" s="4"/>
    </row>
    <row r="674" ht="15.75" customHeight="1">
      <c r="A674" s="2" t="s">
        <v>5830</v>
      </c>
      <c r="B674" s="2" t="s">
        <v>5828</v>
      </c>
      <c r="C674" s="2" t="s">
        <v>5831</v>
      </c>
      <c r="D674" s="2">
        <v>2014.0</v>
      </c>
      <c r="E674" s="1" t="s">
        <v>9333</v>
      </c>
      <c r="F674" s="2" t="s">
        <v>3633</v>
      </c>
      <c r="G674" s="2" t="s">
        <v>5846</v>
      </c>
      <c r="H674" s="3" t="str">
        <f>HYPERLINK("http://dx.doi.org/10.1016/j.ijmst.2014.01.010","http://dx.doi.org/10.1016/j.ijmst.2014.01.010")</f>
        <v>http://dx.doi.org/10.1016/j.ijmst.2014.01.010</v>
      </c>
      <c r="I674" s="2">
        <v>20.0</v>
      </c>
      <c r="K674" s="4" t="s">
        <v>9332</v>
      </c>
      <c r="M674" s="4"/>
    </row>
    <row r="675" ht="15.75" customHeight="1">
      <c r="A675" s="2" t="s">
        <v>5852</v>
      </c>
      <c r="B675" s="2" t="s">
        <v>5850</v>
      </c>
      <c r="C675" s="2" t="s">
        <v>5853</v>
      </c>
      <c r="D675" s="2">
        <v>2023.0</v>
      </c>
      <c r="E675" s="1" t="s">
        <v>9333</v>
      </c>
      <c r="F675" s="2" t="s">
        <v>3633</v>
      </c>
      <c r="G675" s="2" t="s">
        <v>5869</v>
      </c>
      <c r="H675" s="3" t="str">
        <f>HYPERLINK("http://dx.doi.org/10.1017/pan.2021.36","http://dx.doi.org/10.1017/pan.2021.36")</f>
        <v>http://dx.doi.org/10.1017/pan.2021.36</v>
      </c>
      <c r="I675" s="2">
        <v>3.0</v>
      </c>
      <c r="K675" s="4" t="s">
        <v>9332</v>
      </c>
      <c r="M675" s="4"/>
    </row>
    <row r="676" ht="15.75" customHeight="1">
      <c r="A676" s="2" t="s">
        <v>5898</v>
      </c>
      <c r="B676" s="2" t="s">
        <v>5896</v>
      </c>
      <c r="C676" s="2" t="s">
        <v>5899</v>
      </c>
      <c r="D676" s="2">
        <v>2017.0</v>
      </c>
      <c r="E676" s="1" t="s">
        <v>9333</v>
      </c>
      <c r="F676" s="2" t="s">
        <v>3633</v>
      </c>
      <c r="G676" s="2" t="s">
        <v>5914</v>
      </c>
      <c r="H676" s="3" t="str">
        <f>HYPERLINK("http://dx.doi.org/10.1080/00949655.2016.1203433","http://dx.doi.org/10.1080/00949655.2016.1203433")</f>
        <v>http://dx.doi.org/10.1080/00949655.2016.1203433</v>
      </c>
      <c r="I676" s="2">
        <v>11.0</v>
      </c>
      <c r="K676" s="4" t="s">
        <v>9332</v>
      </c>
      <c r="M676" s="4"/>
    </row>
    <row r="677" ht="15.75" customHeight="1">
      <c r="A677" s="2" t="s">
        <v>5920</v>
      </c>
      <c r="B677" s="2" t="s">
        <v>5918</v>
      </c>
      <c r="C677" s="2" t="s">
        <v>5921</v>
      </c>
      <c r="D677" s="2">
        <v>2021.0</v>
      </c>
      <c r="E677" s="1" t="s">
        <v>9333</v>
      </c>
      <c r="F677" s="2" t="s">
        <v>3633</v>
      </c>
      <c r="G677" s="2" t="s">
        <v>5939</v>
      </c>
      <c r="H677" s="3" t="str">
        <f>HYPERLINK("http://dx.doi.org/10.2147/PPA.S301670","http://dx.doi.org/10.2147/PPA.S301670")</f>
        <v>http://dx.doi.org/10.2147/PPA.S301670</v>
      </c>
      <c r="I677" s="2">
        <v>0.0</v>
      </c>
      <c r="K677" s="4" t="s">
        <v>9332</v>
      </c>
      <c r="M677" s="4"/>
    </row>
    <row r="678" ht="15.75" customHeight="1">
      <c r="A678" s="2" t="s">
        <v>6092</v>
      </c>
      <c r="B678" s="2" t="s">
        <v>6089</v>
      </c>
      <c r="C678" s="2" t="s">
        <v>6093</v>
      </c>
      <c r="D678" s="2">
        <v>2010.0</v>
      </c>
      <c r="E678" s="1" t="s">
        <v>9333</v>
      </c>
      <c r="F678" s="2" t="s">
        <v>3633</v>
      </c>
      <c r="G678" s="2" t="s">
        <v>6110</v>
      </c>
      <c r="H678" s="3" t="str">
        <f>HYPERLINK("http://dx.doi.org/10.1177/1740774510373494","http://dx.doi.org/10.1177/1740774510373494")</f>
        <v>http://dx.doi.org/10.1177/1740774510373494</v>
      </c>
      <c r="I678" s="2">
        <v>47.0</v>
      </c>
      <c r="K678" s="4" t="s">
        <v>9332</v>
      </c>
      <c r="M678" s="4"/>
    </row>
    <row r="679" ht="15.75" customHeight="1">
      <c r="A679" s="2" t="s">
        <v>6142</v>
      </c>
      <c r="B679" s="2" t="s">
        <v>6140</v>
      </c>
      <c r="C679" s="2" t="s">
        <v>6143</v>
      </c>
      <c r="D679" s="2">
        <v>2005.0</v>
      </c>
      <c r="E679" s="1" t="s">
        <v>9333</v>
      </c>
      <c r="F679" s="2" t="s">
        <v>3664</v>
      </c>
      <c r="G679" s="2" t="s">
        <v>3635</v>
      </c>
      <c r="H679" s="2" t="s">
        <v>3635</v>
      </c>
      <c r="I679" s="2">
        <v>0.0</v>
      </c>
      <c r="K679" s="4" t="s">
        <v>9332</v>
      </c>
      <c r="M679" s="4"/>
    </row>
    <row r="680" ht="15.75" customHeight="1">
      <c r="A680" s="2" t="s">
        <v>6165</v>
      </c>
      <c r="B680" s="2" t="s">
        <v>6162</v>
      </c>
      <c r="C680" s="2" t="s">
        <v>6166</v>
      </c>
      <c r="D680" s="2">
        <v>2022.0</v>
      </c>
      <c r="E680" s="1" t="s">
        <v>9333</v>
      </c>
      <c r="F680" s="2" t="s">
        <v>3664</v>
      </c>
      <c r="G680" s="2" t="s">
        <v>6183</v>
      </c>
      <c r="H680" s="3" t="str">
        <f>HYPERLINK("http://dx.doi.org/10.1007/978-3-030-94399-8_10","http://dx.doi.org/10.1007/978-3-030-94399-8_10")</f>
        <v>http://dx.doi.org/10.1007/978-3-030-94399-8_10</v>
      </c>
      <c r="I680" s="2">
        <v>0.0</v>
      </c>
      <c r="K680" s="4" t="s">
        <v>9332</v>
      </c>
      <c r="M680" s="4"/>
    </row>
    <row r="681" ht="15.75" customHeight="1">
      <c r="A681" s="2" t="s">
        <v>6212</v>
      </c>
      <c r="B681" s="2" t="s">
        <v>6210</v>
      </c>
      <c r="C681" s="2" t="s">
        <v>6213</v>
      </c>
      <c r="D681" s="2">
        <v>2023.0</v>
      </c>
      <c r="E681" s="1" t="s">
        <v>9333</v>
      </c>
      <c r="F681" s="2" t="s">
        <v>3633</v>
      </c>
      <c r="G681" s="2" t="s">
        <v>6226</v>
      </c>
      <c r="H681" s="3" t="str">
        <f>HYPERLINK("http://dx.doi.org/10.3390/nu15235009","http://dx.doi.org/10.3390/nu15235009")</f>
        <v>http://dx.doi.org/10.3390/nu15235009</v>
      </c>
      <c r="I681" s="2">
        <v>0.0</v>
      </c>
      <c r="K681" s="4" t="s">
        <v>9332</v>
      </c>
      <c r="M681" s="4"/>
    </row>
    <row r="682" ht="15.75" customHeight="1">
      <c r="A682" s="2" t="s">
        <v>6233</v>
      </c>
      <c r="B682" s="2" t="s">
        <v>6230</v>
      </c>
      <c r="C682" s="2" t="s">
        <v>6234</v>
      </c>
      <c r="D682" s="2">
        <v>2009.0</v>
      </c>
      <c r="E682" s="1" t="s">
        <v>9333</v>
      </c>
      <c r="F682" s="2" t="s">
        <v>3664</v>
      </c>
      <c r="G682" s="2" t="s">
        <v>3635</v>
      </c>
      <c r="H682" s="2" t="s">
        <v>3635</v>
      </c>
      <c r="I682" s="2">
        <v>0.0</v>
      </c>
      <c r="K682" s="4" t="s">
        <v>9332</v>
      </c>
      <c r="M682" s="4"/>
    </row>
    <row r="683" ht="15.75" customHeight="1">
      <c r="A683" s="2" t="s">
        <v>6273</v>
      </c>
      <c r="B683" s="2" t="s">
        <v>6270</v>
      </c>
      <c r="C683" s="2" t="s">
        <v>6274</v>
      </c>
      <c r="D683" s="2">
        <v>2018.0</v>
      </c>
      <c r="E683" s="1" t="s">
        <v>9333</v>
      </c>
      <c r="F683" s="2" t="s">
        <v>3664</v>
      </c>
      <c r="G683" s="2" t="s">
        <v>3635</v>
      </c>
      <c r="H683" s="2" t="s">
        <v>3635</v>
      </c>
      <c r="I683" s="2">
        <v>0.0</v>
      </c>
      <c r="K683" s="4" t="s">
        <v>9332</v>
      </c>
      <c r="M683" s="4"/>
    </row>
    <row r="684" ht="15.75" customHeight="1">
      <c r="A684" s="2" t="s">
        <v>6300</v>
      </c>
      <c r="B684" s="2" t="s">
        <v>6298</v>
      </c>
      <c r="C684" s="2" t="s">
        <v>6301</v>
      </c>
      <c r="D684" s="2">
        <v>2020.0</v>
      </c>
      <c r="E684" s="1" t="s">
        <v>9333</v>
      </c>
      <c r="F684" s="2" t="s">
        <v>3633</v>
      </c>
      <c r="G684" s="2" t="s">
        <v>6314</v>
      </c>
      <c r="H684" s="3" t="str">
        <f>HYPERLINK("http://dx.doi.org/10.3389/fpsyg.2020.01054","http://dx.doi.org/10.3389/fpsyg.2020.01054")</f>
        <v>http://dx.doi.org/10.3389/fpsyg.2020.01054</v>
      </c>
      <c r="I684" s="2">
        <v>2.0</v>
      </c>
      <c r="K684" s="4" t="s">
        <v>9332</v>
      </c>
      <c r="M684" s="4"/>
    </row>
    <row r="685" ht="15.75" customHeight="1">
      <c r="A685" s="2" t="s">
        <v>6373</v>
      </c>
      <c r="B685" s="2" t="s">
        <v>6371</v>
      </c>
      <c r="C685" s="2" t="s">
        <v>5034</v>
      </c>
      <c r="D685" s="2">
        <v>2023.0</v>
      </c>
      <c r="E685" s="1" t="s">
        <v>9333</v>
      </c>
      <c r="F685" s="2" t="s">
        <v>3633</v>
      </c>
      <c r="G685" s="2" t="s">
        <v>6386</v>
      </c>
      <c r="H685" s="3" t="str">
        <f>HYPERLINK("http://dx.doi.org/10.1111/biom.13889","http://dx.doi.org/10.1111/biom.13889")</f>
        <v>http://dx.doi.org/10.1111/biom.13889</v>
      </c>
      <c r="I685" s="2">
        <v>0.0</v>
      </c>
      <c r="K685" s="4" t="s">
        <v>9332</v>
      </c>
      <c r="M685" s="4"/>
    </row>
    <row r="686" ht="15.75" customHeight="1">
      <c r="A686" s="2" t="s">
        <v>6454</v>
      </c>
      <c r="B686" s="2" t="s">
        <v>6452</v>
      </c>
      <c r="C686" s="2" t="s">
        <v>6455</v>
      </c>
      <c r="D686" s="2">
        <v>2020.0</v>
      </c>
      <c r="E686" s="1" t="s">
        <v>9333</v>
      </c>
      <c r="F686" s="2" t="s">
        <v>3633</v>
      </c>
      <c r="G686" s="2" t="s">
        <v>6472</v>
      </c>
      <c r="H686" s="3" t="str">
        <f>HYPERLINK("http://dx.doi.org/10.1007/s11356-020-09263-5","http://dx.doi.org/10.1007/s11356-020-09263-5")</f>
        <v>http://dx.doi.org/10.1007/s11356-020-09263-5</v>
      </c>
      <c r="I686" s="2">
        <v>13.0</v>
      </c>
      <c r="K686" s="4" t="s">
        <v>9332</v>
      </c>
      <c r="M686" s="4"/>
    </row>
    <row r="687" ht="15.75" customHeight="1">
      <c r="A687" s="2" t="s">
        <v>6480</v>
      </c>
      <c r="B687" s="2" t="s">
        <v>6478</v>
      </c>
      <c r="C687" s="2" t="s">
        <v>6481</v>
      </c>
      <c r="D687" s="2">
        <v>2023.0</v>
      </c>
      <c r="E687" s="1" t="s">
        <v>9333</v>
      </c>
      <c r="F687" s="2" t="s">
        <v>3633</v>
      </c>
      <c r="G687" s="2" t="s">
        <v>6498</v>
      </c>
      <c r="H687" s="3" t="str">
        <f>HYPERLINK("http://dx.doi.org/10.1002/pst.2258","http://dx.doi.org/10.1002/pst.2258")</f>
        <v>http://dx.doi.org/10.1002/pst.2258</v>
      </c>
      <c r="I687" s="2">
        <v>0.0</v>
      </c>
      <c r="K687" s="4" t="s">
        <v>9332</v>
      </c>
      <c r="M687" s="4"/>
    </row>
    <row r="688" ht="15.75" customHeight="1">
      <c r="A688" s="2" t="s">
        <v>6527</v>
      </c>
      <c r="B688" s="2" t="s">
        <v>6525</v>
      </c>
      <c r="C688" s="2" t="s">
        <v>6528</v>
      </c>
      <c r="D688" s="2">
        <v>2020.0</v>
      </c>
      <c r="E688" s="1" t="s">
        <v>9333</v>
      </c>
      <c r="F688" s="2" t="s">
        <v>3633</v>
      </c>
      <c r="G688" s="2" t="s">
        <v>6543</v>
      </c>
      <c r="H688" s="3" t="str">
        <f>HYPERLINK("http://dx.doi.org/10.1108/SAJBS-07-2019-0135","http://dx.doi.org/10.1108/SAJBS-07-2019-0135")</f>
        <v>http://dx.doi.org/10.1108/SAJBS-07-2019-0135</v>
      </c>
      <c r="I688" s="2">
        <v>8.0</v>
      </c>
      <c r="K688" s="4" t="s">
        <v>9332</v>
      </c>
      <c r="M688" s="4"/>
    </row>
    <row r="689" ht="15.75" customHeight="1">
      <c r="A689" s="2" t="s">
        <v>6550</v>
      </c>
      <c r="B689" s="2" t="s">
        <v>6548</v>
      </c>
      <c r="C689" s="2" t="s">
        <v>6551</v>
      </c>
      <c r="D689" s="2">
        <v>2024.0</v>
      </c>
      <c r="E689" s="1" t="s">
        <v>9333</v>
      </c>
      <c r="F689" s="2" t="s">
        <v>3633</v>
      </c>
      <c r="G689" s="2" t="s">
        <v>6567</v>
      </c>
      <c r="H689" s="3" t="str">
        <f>HYPERLINK("http://dx.doi.org/10.1093/tas/txae022","http://dx.doi.org/10.1093/tas/txae022")</f>
        <v>http://dx.doi.org/10.1093/tas/txae022</v>
      </c>
      <c r="I689" s="2">
        <v>0.0</v>
      </c>
      <c r="K689" s="4" t="s">
        <v>9332</v>
      </c>
      <c r="M689" s="4"/>
    </row>
    <row r="690" ht="15.75" customHeight="1">
      <c r="A690" s="2" t="s">
        <v>6610</v>
      </c>
      <c r="B690" s="2" t="s">
        <v>6608</v>
      </c>
      <c r="C690" s="2" t="s">
        <v>4301</v>
      </c>
      <c r="D690" s="2">
        <v>2023.0</v>
      </c>
      <c r="E690" s="1" t="s">
        <v>9333</v>
      </c>
      <c r="F690" s="2" t="s">
        <v>3633</v>
      </c>
      <c r="G690" s="2" t="s">
        <v>6620</v>
      </c>
      <c r="H690" s="3" t="str">
        <f>HYPERLINK("http://dx.doi.org/10.1038/s41598-023-39934-5","http://dx.doi.org/10.1038/s41598-023-39934-5")</f>
        <v>http://dx.doi.org/10.1038/s41598-023-39934-5</v>
      </c>
      <c r="I690" s="2">
        <v>2.0</v>
      </c>
      <c r="K690" s="4" t="s">
        <v>9332</v>
      </c>
      <c r="M690" s="4"/>
    </row>
    <row r="691" ht="15.75" customHeight="1">
      <c r="A691" s="2" t="s">
        <v>6624</v>
      </c>
      <c r="B691" s="2" t="s">
        <v>6623</v>
      </c>
      <c r="C691" s="2" t="s">
        <v>3902</v>
      </c>
      <c r="D691" s="2">
        <v>2001.0</v>
      </c>
      <c r="E691" s="1" t="s">
        <v>9333</v>
      </c>
      <c r="F691" s="2" t="s">
        <v>3633</v>
      </c>
      <c r="G691" s="2" t="s">
        <v>6631</v>
      </c>
      <c r="H691" s="3" t="str">
        <f>HYPERLINK("http://dx.doi.org/10.1093/bioinformatics/17.6.495","http://dx.doi.org/10.1093/bioinformatics/17.6.495")</f>
        <v>http://dx.doi.org/10.1093/bioinformatics/17.6.495</v>
      </c>
      <c r="I691" s="2">
        <v>397.0</v>
      </c>
      <c r="K691" s="4" t="s">
        <v>9332</v>
      </c>
      <c r="M691" s="4"/>
    </row>
    <row r="692">
      <c r="A692" s="2" t="s">
        <v>6636</v>
      </c>
      <c r="B692" s="2" t="s">
        <v>6634</v>
      </c>
      <c r="C692" s="2" t="s">
        <v>6637</v>
      </c>
      <c r="D692" s="2">
        <v>2015.0</v>
      </c>
      <c r="E692" s="1" t="s">
        <v>9333</v>
      </c>
      <c r="F692" s="2" t="s">
        <v>3633</v>
      </c>
      <c r="G692" s="2" t="s">
        <v>6653</v>
      </c>
      <c r="H692" s="3" t="str">
        <f>HYPERLINK("http://dx.doi.org/10.7717/peerj.824","http://dx.doi.org/10.7717/peerj.824")</f>
        <v>http://dx.doi.org/10.7717/peerj.824</v>
      </c>
      <c r="I692" s="2">
        <v>11.0</v>
      </c>
      <c r="K692" s="4" t="s">
        <v>9332</v>
      </c>
      <c r="M692" s="4"/>
    </row>
    <row r="693">
      <c r="A693" s="2" t="s">
        <v>6659</v>
      </c>
      <c r="B693" s="2" t="s">
        <v>6657</v>
      </c>
      <c r="C693" s="2" t="s">
        <v>4481</v>
      </c>
      <c r="D693" s="2">
        <v>2015.0</v>
      </c>
      <c r="E693" s="1" t="s">
        <v>9333</v>
      </c>
      <c r="F693" s="2" t="s">
        <v>3633</v>
      </c>
      <c r="G693" s="2" t="s">
        <v>6671</v>
      </c>
      <c r="H693" s="3" t="str">
        <f>HYPERLINK("http://dx.doi.org/10.1080/01621459.2014.956872","http://dx.doi.org/10.1080/01621459.2014.956872")</f>
        <v>http://dx.doi.org/10.1080/01621459.2014.956872</v>
      </c>
      <c r="I693" s="2">
        <v>59.0</v>
      </c>
      <c r="K693" s="4" t="s">
        <v>9332</v>
      </c>
      <c r="M693" s="4"/>
    </row>
    <row r="694">
      <c r="A694" s="2" t="s">
        <v>6697</v>
      </c>
      <c r="B694" s="2" t="s">
        <v>6657</v>
      </c>
      <c r="C694" s="2" t="s">
        <v>6698</v>
      </c>
      <c r="D694" s="2">
        <v>2014.0</v>
      </c>
      <c r="E694" s="1" t="s">
        <v>9333</v>
      </c>
      <c r="F694" s="2" t="s">
        <v>3633</v>
      </c>
      <c r="G694" s="2" t="s">
        <v>6710</v>
      </c>
      <c r="H694" s="3" t="str">
        <f>HYPERLINK("http://dx.doi.org/10.1111/rssb.12027","http://dx.doi.org/10.1111/rssb.12027")</f>
        <v>http://dx.doi.org/10.1111/rssb.12027</v>
      </c>
      <c r="I694" s="2">
        <v>819.0</v>
      </c>
      <c r="K694" s="4" t="s">
        <v>9332</v>
      </c>
      <c r="M694" s="4"/>
    </row>
    <row r="695">
      <c r="A695" s="2" t="s">
        <v>6715</v>
      </c>
      <c r="B695" s="2" t="s">
        <v>6713</v>
      </c>
      <c r="C695" s="2" t="s">
        <v>6716</v>
      </c>
      <c r="D695" s="2">
        <v>2009.0</v>
      </c>
      <c r="E695" s="1" t="s">
        <v>9333</v>
      </c>
      <c r="F695" s="2" t="s">
        <v>3633</v>
      </c>
      <c r="G695" s="2" t="s">
        <v>6730</v>
      </c>
      <c r="H695" s="3" t="str">
        <f>HYPERLINK("http://dx.doi.org/10.1016/j.transproceed.2009.01.058","http://dx.doi.org/10.1016/j.transproceed.2009.01.058")</f>
        <v>http://dx.doi.org/10.1016/j.transproceed.2009.01.058</v>
      </c>
      <c r="I695" s="2">
        <v>1.0</v>
      </c>
      <c r="K695" s="4" t="s">
        <v>9332</v>
      </c>
      <c r="M695" s="4"/>
    </row>
    <row r="696">
      <c r="A696" s="2" t="s">
        <v>6736</v>
      </c>
      <c r="B696" s="2" t="s">
        <v>6734</v>
      </c>
      <c r="C696" s="2" t="s">
        <v>6737</v>
      </c>
      <c r="D696" s="2">
        <v>2024.0</v>
      </c>
      <c r="E696" s="1" t="s">
        <v>9333</v>
      </c>
      <c r="F696" s="2" t="s">
        <v>3633</v>
      </c>
      <c r="G696" s="2" t="s">
        <v>6753</v>
      </c>
      <c r="H696" s="3" t="str">
        <f>HYPERLINK("http://dx.doi.org/10.1002/gepi.22544","http://dx.doi.org/10.1002/gepi.22544")</f>
        <v>http://dx.doi.org/10.1002/gepi.22544</v>
      </c>
      <c r="I696" s="2">
        <v>0.0</v>
      </c>
      <c r="K696" s="4" t="s">
        <v>9332</v>
      </c>
      <c r="M696" s="4"/>
    </row>
    <row r="697">
      <c r="A697" s="2" t="s">
        <v>6803</v>
      </c>
      <c r="B697" s="2" t="s">
        <v>6802</v>
      </c>
      <c r="C697" s="2" t="s">
        <v>6804</v>
      </c>
      <c r="D697" s="2">
        <v>2003.0</v>
      </c>
      <c r="E697" s="1" t="s">
        <v>9333</v>
      </c>
      <c r="F697" s="2" t="s">
        <v>3633</v>
      </c>
      <c r="G697" s="2" t="s">
        <v>6816</v>
      </c>
      <c r="H697" s="3" t="str">
        <f>HYPERLINK("http://dx.doi.org/10.1002/tea.10115","http://dx.doi.org/10.1002/tea.10115")</f>
        <v>http://dx.doi.org/10.1002/tea.10115</v>
      </c>
      <c r="I697" s="2">
        <v>167.0</v>
      </c>
      <c r="K697" s="4" t="s">
        <v>9332</v>
      </c>
      <c r="M697" s="4"/>
    </row>
    <row r="698">
      <c r="A698" s="2" t="s">
        <v>6821</v>
      </c>
      <c r="B698" s="2" t="s">
        <v>6819</v>
      </c>
      <c r="C698" s="2" t="s">
        <v>6822</v>
      </c>
      <c r="D698" s="2">
        <v>2017.0</v>
      </c>
      <c r="E698" s="1" t="s">
        <v>9333</v>
      </c>
      <c r="F698" s="2" t="s">
        <v>3633</v>
      </c>
      <c r="G698" s="2" t="s">
        <v>6837</v>
      </c>
      <c r="H698" s="3" t="str">
        <f>HYPERLINK("http://dx.doi.org/10.1002/mgg3.262","http://dx.doi.org/10.1002/mgg3.262")</f>
        <v>http://dx.doi.org/10.1002/mgg3.262</v>
      </c>
      <c r="I698" s="2">
        <v>47.0</v>
      </c>
      <c r="K698" s="4" t="s">
        <v>9332</v>
      </c>
      <c r="M698" s="4"/>
    </row>
    <row r="699">
      <c r="A699" s="2" t="s">
        <v>6883</v>
      </c>
      <c r="B699" s="2" t="s">
        <v>6881</v>
      </c>
      <c r="C699" s="2" t="s">
        <v>6884</v>
      </c>
      <c r="D699" s="2">
        <v>2023.0</v>
      </c>
      <c r="E699" s="1" t="s">
        <v>9333</v>
      </c>
      <c r="F699" s="2" t="s">
        <v>3633</v>
      </c>
      <c r="G699" s="2" t="s">
        <v>6902</v>
      </c>
      <c r="H699" s="3" t="str">
        <f>HYPERLINK("http://dx.doi.org/10.1016/j.annepidem.2023.06.004","http://dx.doi.org/10.1016/j.annepidem.2023.06.004")</f>
        <v>http://dx.doi.org/10.1016/j.annepidem.2023.06.004</v>
      </c>
      <c r="I699" s="2">
        <v>1.0</v>
      </c>
      <c r="K699" s="4" t="s">
        <v>9332</v>
      </c>
      <c r="M699" s="4"/>
    </row>
    <row r="700">
      <c r="A700" s="2" t="s">
        <v>6909</v>
      </c>
      <c r="B700" s="2" t="s">
        <v>6907</v>
      </c>
      <c r="C700" s="2" t="s">
        <v>6910</v>
      </c>
      <c r="D700" s="2">
        <v>2016.0</v>
      </c>
      <c r="E700" s="1" t="s">
        <v>9333</v>
      </c>
      <c r="F700" s="2" t="s">
        <v>3633</v>
      </c>
      <c r="G700" s="2" t="s">
        <v>3635</v>
      </c>
      <c r="H700" s="2" t="s">
        <v>3635</v>
      </c>
      <c r="I700" s="2">
        <v>5.0</v>
      </c>
      <c r="K700" s="4" t="s">
        <v>9332</v>
      </c>
      <c r="M700" s="4"/>
    </row>
    <row r="701">
      <c r="A701" s="2" t="s">
        <v>6947</v>
      </c>
      <c r="B701" s="2" t="s">
        <v>6945</v>
      </c>
      <c r="C701" s="2" t="s">
        <v>6948</v>
      </c>
      <c r="D701" s="2">
        <v>2021.0</v>
      </c>
      <c r="E701" s="1" t="s">
        <v>9333</v>
      </c>
      <c r="F701" s="2" t="s">
        <v>3633</v>
      </c>
      <c r="G701" s="2" t="s">
        <v>6964</v>
      </c>
      <c r="H701" s="3" t="str">
        <f>HYPERLINK("http://dx.doi.org/10.1186/s13063-021-05301-w","http://dx.doi.org/10.1186/s13063-021-05301-w")</f>
        <v>http://dx.doi.org/10.1186/s13063-021-05301-w</v>
      </c>
      <c r="I701" s="2">
        <v>18.0</v>
      </c>
      <c r="K701" s="4" t="s">
        <v>9332</v>
      </c>
      <c r="M701" s="4"/>
    </row>
    <row r="702">
      <c r="A702" s="2" t="s">
        <v>6970</v>
      </c>
      <c r="B702" s="2" t="s">
        <v>6967</v>
      </c>
      <c r="C702" s="2" t="s">
        <v>6971</v>
      </c>
      <c r="D702" s="2">
        <v>2009.0</v>
      </c>
      <c r="E702" s="1" t="s">
        <v>9333</v>
      </c>
      <c r="F702" s="2" t="s">
        <v>3664</v>
      </c>
      <c r="G702" s="2" t="s">
        <v>3635</v>
      </c>
      <c r="H702" s="2" t="s">
        <v>3635</v>
      </c>
      <c r="I702" s="2">
        <v>3.0</v>
      </c>
      <c r="K702" s="4" t="s">
        <v>9332</v>
      </c>
      <c r="M702" s="4"/>
    </row>
    <row r="703">
      <c r="A703" s="2" t="s">
        <v>6995</v>
      </c>
      <c r="B703" s="2" t="s">
        <v>6993</v>
      </c>
      <c r="C703" s="2" t="s">
        <v>6996</v>
      </c>
      <c r="D703" s="2">
        <v>2019.0</v>
      </c>
      <c r="E703" s="1" t="s">
        <v>9333</v>
      </c>
      <c r="F703" s="2" t="s">
        <v>3633</v>
      </c>
      <c r="G703" s="2" t="s">
        <v>7013</v>
      </c>
      <c r="H703" s="3" t="str">
        <f>HYPERLINK("http://dx.doi.org/10.1177/0962280217747309","http://dx.doi.org/10.1177/0962280217747309")</f>
        <v>http://dx.doi.org/10.1177/0962280217747309</v>
      </c>
      <c r="I703" s="2">
        <v>4.0</v>
      </c>
      <c r="K703" s="4" t="s">
        <v>9332</v>
      </c>
      <c r="M703" s="4"/>
    </row>
    <row r="704">
      <c r="A704" s="2" t="s">
        <v>7038</v>
      </c>
      <c r="B704" s="2" t="s">
        <v>7036</v>
      </c>
      <c r="C704" s="2" t="s">
        <v>7039</v>
      </c>
      <c r="D704" s="2">
        <v>2020.0</v>
      </c>
      <c r="E704" s="1" t="s">
        <v>9333</v>
      </c>
      <c r="F704" s="2" t="s">
        <v>3633</v>
      </c>
      <c r="G704" s="2" t="s">
        <v>7056</v>
      </c>
      <c r="H704" s="3" t="str">
        <f>HYPERLINK("http://dx.doi.org/10.1287/mnsc.2019.3537","http://dx.doi.org/10.1287/mnsc.2019.3537")</f>
        <v>http://dx.doi.org/10.1287/mnsc.2019.3537</v>
      </c>
      <c r="I704" s="2">
        <v>6.0</v>
      </c>
      <c r="K704" s="4" t="s">
        <v>9332</v>
      </c>
      <c r="M704" s="4"/>
    </row>
    <row r="705">
      <c r="A705" s="2" t="s">
        <v>7062</v>
      </c>
      <c r="B705" s="2" t="s">
        <v>7060</v>
      </c>
      <c r="C705" s="2" t="s">
        <v>7063</v>
      </c>
      <c r="D705" s="2">
        <v>2021.0</v>
      </c>
      <c r="E705" s="1" t="s">
        <v>9333</v>
      </c>
      <c r="F705" s="2" t="s">
        <v>3633</v>
      </c>
      <c r="G705" s="2" t="s">
        <v>7078</v>
      </c>
      <c r="H705" s="3" t="str">
        <f>HYPERLINK("http://dx.doi.org/10.26603/001c.29858","http://dx.doi.org/10.26603/001c.29858")</f>
        <v>http://dx.doi.org/10.26603/001c.29858</v>
      </c>
      <c r="I705" s="2">
        <v>2.0</v>
      </c>
      <c r="K705" s="4" t="s">
        <v>9332</v>
      </c>
      <c r="M705" s="4"/>
    </row>
    <row r="706">
      <c r="A706" s="2" t="s">
        <v>7127</v>
      </c>
      <c r="B706" s="2" t="s">
        <v>7125</v>
      </c>
      <c r="C706" s="2" t="s">
        <v>7128</v>
      </c>
      <c r="D706" s="2">
        <v>2023.0</v>
      </c>
      <c r="E706" s="1" t="s">
        <v>9333</v>
      </c>
      <c r="F706" s="2" t="s">
        <v>3633</v>
      </c>
      <c r="G706" s="2" t="s">
        <v>7140</v>
      </c>
      <c r="H706" s="3" t="str">
        <f>HYPERLINK("http://dx.doi.org/10.7759/cureus.49911","http://dx.doi.org/10.7759/cureus.49911")</f>
        <v>http://dx.doi.org/10.7759/cureus.49911</v>
      </c>
      <c r="I706" s="2">
        <v>0.0</v>
      </c>
      <c r="K706" s="4" t="s">
        <v>9332</v>
      </c>
      <c r="M706" s="4"/>
    </row>
    <row r="707">
      <c r="A707" s="2" t="s">
        <v>7145</v>
      </c>
      <c r="B707" s="2" t="s">
        <v>7143</v>
      </c>
      <c r="C707" s="2" t="s">
        <v>7146</v>
      </c>
      <c r="D707" s="2">
        <v>2021.0</v>
      </c>
      <c r="E707" s="1" t="s">
        <v>9333</v>
      </c>
      <c r="F707" s="2" t="s">
        <v>3633</v>
      </c>
      <c r="G707" s="2" t="s">
        <v>7159</v>
      </c>
      <c r="H707" s="3" t="str">
        <f>HYPERLINK("http://dx.doi.org/10.3389/fphar.2021.731757","http://dx.doi.org/10.3389/fphar.2021.731757")</f>
        <v>http://dx.doi.org/10.3389/fphar.2021.731757</v>
      </c>
      <c r="I707" s="2">
        <v>18.0</v>
      </c>
      <c r="K707" s="4" t="s">
        <v>9332</v>
      </c>
      <c r="M707" s="4"/>
    </row>
    <row r="708">
      <c r="A708" s="2" t="s">
        <v>7165</v>
      </c>
      <c r="B708" s="2" t="s">
        <v>7162</v>
      </c>
      <c r="C708" s="2" t="s">
        <v>7166</v>
      </c>
      <c r="D708" s="2">
        <v>2015.0</v>
      </c>
      <c r="E708" s="1" t="s">
        <v>9333</v>
      </c>
      <c r="F708" s="2" t="s">
        <v>3664</v>
      </c>
      <c r="G708" s="2" t="s">
        <v>7181</v>
      </c>
      <c r="H708" s="3" t="str">
        <f>HYPERLINK("http://dx.doi.org/10.1016/S2212-5671(15)00647-4","http://dx.doi.org/10.1016/S2212-5671(15)00647-4")</f>
        <v>http://dx.doi.org/10.1016/S2212-5671(15)00647-4</v>
      </c>
      <c r="I708" s="2">
        <v>10.0</v>
      </c>
      <c r="K708" s="4" t="s">
        <v>9332</v>
      </c>
      <c r="M708" s="4"/>
    </row>
    <row r="709">
      <c r="A709" s="2" t="s">
        <v>7199</v>
      </c>
      <c r="B709" s="2" t="s">
        <v>7197</v>
      </c>
      <c r="C709" s="2" t="s">
        <v>7200</v>
      </c>
      <c r="D709" s="2">
        <v>2012.0</v>
      </c>
      <c r="E709" s="1" t="s">
        <v>9333</v>
      </c>
      <c r="F709" s="2" t="s">
        <v>3633</v>
      </c>
      <c r="G709" s="2" t="s">
        <v>7213</v>
      </c>
      <c r="H709" s="3" t="str">
        <f>HYPERLINK("http://dx.doi.org/10.1108/14635771211224527","http://dx.doi.org/10.1108/14635771211224527")</f>
        <v>http://dx.doi.org/10.1108/14635771211224527</v>
      </c>
      <c r="I709" s="2">
        <v>23.0</v>
      </c>
      <c r="K709" s="4" t="s">
        <v>9332</v>
      </c>
      <c r="M709" s="4"/>
    </row>
    <row r="710">
      <c r="A710" s="2" t="s">
        <v>7238</v>
      </c>
      <c r="B710" s="2" t="s">
        <v>7236</v>
      </c>
      <c r="C710" s="2" t="s">
        <v>7039</v>
      </c>
      <c r="D710" s="2">
        <v>2012.0</v>
      </c>
      <c r="E710" s="1" t="s">
        <v>9333</v>
      </c>
      <c r="F710" s="2" t="s">
        <v>3633</v>
      </c>
      <c r="G710" s="2" t="s">
        <v>7251</v>
      </c>
      <c r="H710" s="3" t="str">
        <f>HYPERLINK("http://dx.doi.org/10.1287/mnsc.1110.1460","http://dx.doi.org/10.1287/mnsc.1110.1460")</f>
        <v>http://dx.doi.org/10.1287/mnsc.1110.1460</v>
      </c>
      <c r="I710" s="2">
        <v>179.0</v>
      </c>
      <c r="K710" s="4" t="s">
        <v>9332</v>
      </c>
      <c r="M710" s="4"/>
    </row>
    <row r="711">
      <c r="A711" s="2" t="s">
        <v>7289</v>
      </c>
      <c r="B711" s="2" t="s">
        <v>7286</v>
      </c>
      <c r="C711" s="2" t="s">
        <v>7290</v>
      </c>
      <c r="D711" s="2">
        <v>2018.0</v>
      </c>
      <c r="E711" s="1" t="s">
        <v>9333</v>
      </c>
      <c r="F711" s="2" t="s">
        <v>3664</v>
      </c>
      <c r="G711" s="2" t="s">
        <v>3635</v>
      </c>
      <c r="H711" s="2" t="s">
        <v>3635</v>
      </c>
      <c r="I711" s="2">
        <v>0.0</v>
      </c>
      <c r="K711" s="4" t="s">
        <v>9332</v>
      </c>
      <c r="M711" s="4"/>
    </row>
    <row r="712">
      <c r="A712" s="2" t="s">
        <v>7348</v>
      </c>
      <c r="B712" s="2" t="s">
        <v>7346</v>
      </c>
      <c r="C712" s="2" t="s">
        <v>7349</v>
      </c>
      <c r="D712" s="2">
        <v>2016.0</v>
      </c>
      <c r="E712" s="1" t="s">
        <v>9333</v>
      </c>
      <c r="F712" s="2" t="s">
        <v>3633</v>
      </c>
      <c r="G712" s="2" t="s">
        <v>7364</v>
      </c>
      <c r="H712" s="3" t="str">
        <f>HYPERLINK("http://dx.doi.org/10.1118/1.4942384","http://dx.doi.org/10.1118/1.4942384")</f>
        <v>http://dx.doi.org/10.1118/1.4942384</v>
      </c>
      <c r="I712" s="2">
        <v>43.0</v>
      </c>
      <c r="K712" s="4" t="s">
        <v>9332</v>
      </c>
      <c r="M712" s="4"/>
    </row>
    <row r="713">
      <c r="A713" s="2" t="s">
        <v>7369</v>
      </c>
      <c r="B713" s="2" t="s">
        <v>7368</v>
      </c>
      <c r="C713" s="2" t="s">
        <v>7370</v>
      </c>
      <c r="D713" s="2">
        <v>1996.0</v>
      </c>
      <c r="E713" s="1" t="s">
        <v>9333</v>
      </c>
      <c r="F713" s="2" t="s">
        <v>3633</v>
      </c>
      <c r="G713" s="2" t="s">
        <v>7382</v>
      </c>
      <c r="H713" s="3" t="str">
        <f>HYPERLINK("http://dx.doi.org/10.1016/0169-8141(95)00060-7","http://dx.doi.org/10.1016/0169-8141(95)00060-7")</f>
        <v>http://dx.doi.org/10.1016/0169-8141(95)00060-7</v>
      </c>
      <c r="I713" s="2">
        <v>3.0</v>
      </c>
      <c r="K713" s="4" t="s">
        <v>9332</v>
      </c>
      <c r="M713" s="4"/>
    </row>
    <row r="714">
      <c r="A714" s="2" t="s">
        <v>7467</v>
      </c>
      <c r="B714" s="2" t="s">
        <v>7465</v>
      </c>
      <c r="C714" s="2" t="s">
        <v>7468</v>
      </c>
      <c r="D714" s="2">
        <v>2021.0</v>
      </c>
      <c r="E714" s="1" t="s">
        <v>9333</v>
      </c>
      <c r="F714" s="2" t="s">
        <v>3633</v>
      </c>
      <c r="G714" s="2" t="s">
        <v>3635</v>
      </c>
      <c r="H714" s="2" t="s">
        <v>3635</v>
      </c>
      <c r="I714" s="2">
        <v>0.0</v>
      </c>
      <c r="K714" s="4" t="s">
        <v>9332</v>
      </c>
      <c r="M714" s="4"/>
    </row>
    <row r="715">
      <c r="A715" s="2" t="s">
        <v>7487</v>
      </c>
      <c r="B715" s="2" t="s">
        <v>7485</v>
      </c>
      <c r="C715" s="2" t="s">
        <v>7488</v>
      </c>
      <c r="D715" s="2">
        <v>2014.0</v>
      </c>
      <c r="E715" s="1" t="s">
        <v>9333</v>
      </c>
      <c r="F715" s="2" t="s">
        <v>3633</v>
      </c>
      <c r="G715" s="2" t="s">
        <v>7503</v>
      </c>
      <c r="H715" s="3" t="str">
        <f>HYPERLINK("http://dx.doi.org/10.1186/s13073-014-0109-z","http://dx.doi.org/10.1186/s13073-014-0109-z")</f>
        <v>http://dx.doi.org/10.1186/s13073-014-0109-z</v>
      </c>
      <c r="I715" s="2">
        <v>99.0</v>
      </c>
      <c r="K715" s="4" t="s">
        <v>9332</v>
      </c>
      <c r="M715" s="4"/>
    </row>
    <row r="716">
      <c r="A716" s="2" t="s">
        <v>7525</v>
      </c>
      <c r="B716" s="2" t="s">
        <v>7523</v>
      </c>
      <c r="C716" s="2" t="s">
        <v>7526</v>
      </c>
      <c r="D716" s="2">
        <v>2020.0</v>
      </c>
      <c r="E716" s="1" t="s">
        <v>9333</v>
      </c>
      <c r="F716" s="2" t="s">
        <v>3633</v>
      </c>
      <c r="G716" s="2" t="s">
        <v>7543</v>
      </c>
      <c r="H716" s="3" t="str">
        <f>HYPERLINK("http://dx.doi.org/10.9770/jesi.2020.8.2(67)","http://dx.doi.org/10.9770/jesi.2020.8.2(67)")</f>
        <v>http://dx.doi.org/10.9770/jesi.2020.8.2(67)</v>
      </c>
      <c r="I716" s="2">
        <v>0.0</v>
      </c>
      <c r="K716" s="4" t="s">
        <v>9332</v>
      </c>
      <c r="M716" s="4"/>
    </row>
    <row r="717">
      <c r="A717" s="2" t="s">
        <v>7548</v>
      </c>
      <c r="B717" s="2" t="s">
        <v>7546</v>
      </c>
      <c r="C717" s="2" t="s">
        <v>7549</v>
      </c>
      <c r="D717" s="2">
        <v>2012.0</v>
      </c>
      <c r="E717" s="1" t="s">
        <v>9333</v>
      </c>
      <c r="F717" s="2" t="s">
        <v>3633</v>
      </c>
      <c r="G717" s="2" t="s">
        <v>7564</v>
      </c>
      <c r="H717" s="3" t="str">
        <f>HYPERLINK("http://dx.doi.org/10.6036/4339","http://dx.doi.org/10.6036/4339")</f>
        <v>http://dx.doi.org/10.6036/4339</v>
      </c>
      <c r="I717" s="2">
        <v>0.0</v>
      </c>
      <c r="K717" s="4" t="s">
        <v>9332</v>
      </c>
      <c r="M717" s="4"/>
    </row>
    <row r="718">
      <c r="A718" s="2" t="s">
        <v>7589</v>
      </c>
      <c r="B718" s="2" t="s">
        <v>7587</v>
      </c>
      <c r="C718" s="2" t="s">
        <v>7590</v>
      </c>
      <c r="D718" s="2">
        <v>2017.0</v>
      </c>
      <c r="E718" s="1" t="s">
        <v>9333</v>
      </c>
      <c r="F718" s="2" t="s">
        <v>3633</v>
      </c>
      <c r="G718" s="2" t="s">
        <v>7610</v>
      </c>
      <c r="H718" s="3" t="str">
        <f>HYPERLINK("http://dx.doi.org/10.1021/acs.jproteome.6b00645","http://dx.doi.org/10.1021/acs.jproteome.6b00645")</f>
        <v>http://dx.doi.org/10.1021/acs.jproteome.6b00645</v>
      </c>
      <c r="I718" s="2">
        <v>88.0</v>
      </c>
      <c r="K718" s="4" t="s">
        <v>9332</v>
      </c>
      <c r="M718" s="4"/>
    </row>
    <row r="719">
      <c r="A719" s="2" t="s">
        <v>7699</v>
      </c>
      <c r="B719" s="2" t="s">
        <v>7697</v>
      </c>
      <c r="C719" s="2" t="s">
        <v>7700</v>
      </c>
      <c r="D719" s="2">
        <v>2012.0</v>
      </c>
      <c r="E719" s="1" t="s">
        <v>9333</v>
      </c>
      <c r="F719" s="2" t="s">
        <v>3633</v>
      </c>
      <c r="G719" s="2" t="s">
        <v>7713</v>
      </c>
      <c r="H719" s="3" t="str">
        <f>HYPERLINK("http://dx.doi.org/10.1016/j.solener.2012.07.007","http://dx.doi.org/10.1016/j.solener.2012.07.007")</f>
        <v>http://dx.doi.org/10.1016/j.solener.2012.07.007</v>
      </c>
      <c r="I719" s="2">
        <v>7.0</v>
      </c>
      <c r="K719" s="4" t="s">
        <v>9332</v>
      </c>
      <c r="M719" s="4"/>
    </row>
    <row r="720">
      <c r="A720" s="2" t="s">
        <v>7719</v>
      </c>
      <c r="B720" s="2" t="s">
        <v>7717</v>
      </c>
      <c r="C720" s="2" t="s">
        <v>7720</v>
      </c>
      <c r="D720" s="2">
        <v>2020.0</v>
      </c>
      <c r="E720" s="1" t="s">
        <v>9333</v>
      </c>
      <c r="F720" s="2" t="s">
        <v>3633</v>
      </c>
      <c r="G720" s="2" t="s">
        <v>7736</v>
      </c>
      <c r="H720" s="3" t="str">
        <f>HYPERLINK("http://dx.doi.org/10.13106/jafeb.2020.vol7.no11.1021","http://dx.doi.org/10.13106/jafeb.2020.vol7.no11.1021")</f>
        <v>http://dx.doi.org/10.13106/jafeb.2020.vol7.no11.1021</v>
      </c>
      <c r="I720" s="2">
        <v>5.0</v>
      </c>
      <c r="K720" s="4" t="s">
        <v>9332</v>
      </c>
      <c r="M720" s="4"/>
    </row>
    <row r="721">
      <c r="A721" s="2" t="s">
        <v>7784</v>
      </c>
      <c r="B721" s="2" t="s">
        <v>7782</v>
      </c>
      <c r="C721" s="2" t="s">
        <v>7785</v>
      </c>
      <c r="D721" s="2">
        <v>2019.0</v>
      </c>
      <c r="E721" s="1" t="s">
        <v>9333</v>
      </c>
      <c r="F721" s="2" t="s">
        <v>3633</v>
      </c>
      <c r="G721" s="2" t="s">
        <v>7801</v>
      </c>
      <c r="H721" s="3" t="str">
        <f>HYPERLINK("http://dx.doi.org/10.14198/jhse.2019.14.Proc5.54","http://dx.doi.org/10.14198/jhse.2019.14.Proc5.54")</f>
        <v>http://dx.doi.org/10.14198/jhse.2019.14.Proc5.54</v>
      </c>
      <c r="I721" s="2">
        <v>1.0</v>
      </c>
      <c r="K721" s="4" t="s">
        <v>9332</v>
      </c>
      <c r="M721" s="4"/>
    </row>
    <row r="722">
      <c r="A722" s="2" t="s">
        <v>7806</v>
      </c>
      <c r="B722" s="2" t="s">
        <v>7804</v>
      </c>
      <c r="C722" s="2" t="s">
        <v>7807</v>
      </c>
      <c r="D722" s="2">
        <v>2018.0</v>
      </c>
      <c r="E722" s="1" t="s">
        <v>9333</v>
      </c>
      <c r="F722" s="2" t="s">
        <v>3664</v>
      </c>
      <c r="G722" s="2" t="s">
        <v>491</v>
      </c>
      <c r="H722" s="3" t="str">
        <f>HYPERLINK("http://dx.doi.org/10.1145/3173574.3173856","http://dx.doi.org/10.1145/3173574.3173856")</f>
        <v>http://dx.doi.org/10.1145/3173574.3173856</v>
      </c>
      <c r="I722" s="2">
        <v>107.0</v>
      </c>
      <c r="K722" s="4" t="s">
        <v>9332</v>
      </c>
      <c r="M722" s="4"/>
    </row>
    <row r="723">
      <c r="A723" s="2" t="s">
        <v>7848</v>
      </c>
      <c r="B723" s="2" t="s">
        <v>7846</v>
      </c>
      <c r="C723" s="2" t="s">
        <v>7849</v>
      </c>
      <c r="D723" s="2">
        <v>2023.0</v>
      </c>
      <c r="E723" s="1" t="s">
        <v>9333</v>
      </c>
      <c r="F723" s="2" t="s">
        <v>3633</v>
      </c>
      <c r="G723" s="2" t="s">
        <v>7861</v>
      </c>
      <c r="H723" s="3" t="str">
        <f>HYPERLINK("http://dx.doi.org/10.2147/JHL.S426602","http://dx.doi.org/10.2147/JHL.S426602")</f>
        <v>http://dx.doi.org/10.2147/JHL.S426602</v>
      </c>
      <c r="I723" s="2">
        <v>0.0</v>
      </c>
      <c r="K723" s="4" t="s">
        <v>9332</v>
      </c>
      <c r="M723" s="4"/>
    </row>
    <row r="724">
      <c r="A724" s="2" t="s">
        <v>7933</v>
      </c>
      <c r="B724" s="2" t="s">
        <v>7931</v>
      </c>
      <c r="C724" s="2" t="s">
        <v>7934</v>
      </c>
      <c r="D724" s="2">
        <v>2012.0</v>
      </c>
      <c r="E724" s="1" t="s">
        <v>9333</v>
      </c>
      <c r="F724" s="2" t="s">
        <v>3633</v>
      </c>
      <c r="G724" s="2" t="s">
        <v>7947</v>
      </c>
      <c r="H724" s="3" t="str">
        <f>HYPERLINK("http://dx.doi.org/10.1108/09696471211201461","http://dx.doi.org/10.1108/09696471211201461")</f>
        <v>http://dx.doi.org/10.1108/09696471211201461</v>
      </c>
      <c r="I724" s="2">
        <v>88.0</v>
      </c>
      <c r="K724" s="4" t="s">
        <v>9332</v>
      </c>
      <c r="M724" s="4"/>
    </row>
    <row r="725">
      <c r="A725" s="2" t="s">
        <v>7975</v>
      </c>
      <c r="B725" s="2" t="s">
        <v>7973</v>
      </c>
      <c r="C725" s="2" t="s">
        <v>7976</v>
      </c>
      <c r="D725" s="2">
        <v>2023.0</v>
      </c>
      <c r="E725" s="1" t="s">
        <v>9333</v>
      </c>
      <c r="F725" s="2" t="s">
        <v>3633</v>
      </c>
      <c r="G725" s="2" t="s">
        <v>7990</v>
      </c>
      <c r="H725" s="3" t="str">
        <f>HYPERLINK("http://dx.doi.org/10.1007/s40497-023-00348-2","http://dx.doi.org/10.1007/s40497-023-00348-2")</f>
        <v>http://dx.doi.org/10.1007/s40497-023-00348-2</v>
      </c>
      <c r="I725" s="2">
        <v>0.0</v>
      </c>
      <c r="K725" s="4" t="s">
        <v>9332</v>
      </c>
      <c r="M725" s="4"/>
    </row>
    <row r="726">
      <c r="A726" s="2" t="s">
        <v>8049</v>
      </c>
      <c r="B726" s="2" t="s">
        <v>8047</v>
      </c>
      <c r="C726" s="2" t="s">
        <v>8050</v>
      </c>
      <c r="D726" s="2">
        <v>2021.0</v>
      </c>
      <c r="E726" s="1" t="s">
        <v>9333</v>
      </c>
      <c r="F726" s="2" t="s">
        <v>3633</v>
      </c>
      <c r="G726" s="2" t="s">
        <v>8065</v>
      </c>
      <c r="H726" s="3" t="str">
        <f>HYPERLINK("http://dx.doi.org/10.1186/s13705-021-00315-3","http://dx.doi.org/10.1186/s13705-021-00315-3")</f>
        <v>http://dx.doi.org/10.1186/s13705-021-00315-3</v>
      </c>
      <c r="I726" s="2">
        <v>10.0</v>
      </c>
      <c r="K726" s="4" t="s">
        <v>9332</v>
      </c>
      <c r="M726" s="4"/>
    </row>
    <row r="727">
      <c r="A727" s="2" t="s">
        <v>8149</v>
      </c>
      <c r="B727" s="2" t="s">
        <v>8148</v>
      </c>
      <c r="C727" s="2" t="s">
        <v>8150</v>
      </c>
      <c r="D727" s="2">
        <v>2005.0</v>
      </c>
      <c r="E727" s="1" t="s">
        <v>9333</v>
      </c>
      <c r="F727" s="2" t="s">
        <v>3633</v>
      </c>
      <c r="G727" s="2" t="s">
        <v>8165</v>
      </c>
      <c r="H727" s="3" t="str">
        <f>HYPERLINK("http://dx.doi.org/10.2516/ogst:2005047","http://dx.doi.org/10.2516/ogst:2005047")</f>
        <v>http://dx.doi.org/10.2516/ogst:2005047</v>
      </c>
      <c r="I727" s="2">
        <v>6.0</v>
      </c>
      <c r="K727" s="4" t="s">
        <v>9332</v>
      </c>
      <c r="M727" s="4"/>
    </row>
    <row r="728">
      <c r="A728" s="2" t="s">
        <v>8211</v>
      </c>
      <c r="B728" s="2" t="s">
        <v>8209</v>
      </c>
      <c r="C728" s="2" t="s">
        <v>8212</v>
      </c>
      <c r="D728" s="2">
        <v>2023.0</v>
      </c>
      <c r="E728" s="1" t="s">
        <v>9333</v>
      </c>
      <c r="F728" s="2" t="s">
        <v>3633</v>
      </c>
      <c r="G728" s="2" t="s">
        <v>8225</v>
      </c>
      <c r="H728" s="3" t="str">
        <f>HYPERLINK("http://dx.doi.org/10.1002/cpp.2776","http://dx.doi.org/10.1002/cpp.2776")</f>
        <v>http://dx.doi.org/10.1002/cpp.2776</v>
      </c>
      <c r="I728" s="2">
        <v>4.0</v>
      </c>
      <c r="K728" s="4" t="s">
        <v>9332</v>
      </c>
      <c r="M728" s="4"/>
    </row>
    <row r="729">
      <c r="A729" s="2" t="s">
        <v>8251</v>
      </c>
      <c r="B729" s="2" t="s">
        <v>8248</v>
      </c>
      <c r="C729" s="2" t="s">
        <v>8252</v>
      </c>
      <c r="D729" s="2">
        <v>2012.0</v>
      </c>
      <c r="E729" s="1" t="s">
        <v>9333</v>
      </c>
      <c r="F729" s="2" t="s">
        <v>7409</v>
      </c>
      <c r="G729" s="2" t="s">
        <v>8263</v>
      </c>
      <c r="H729" s="3" t="str">
        <f>HYPERLINK("http://dx.doi.org/10.4018/978-1-4666-0309-7.ch012","http://dx.doi.org/10.4018/978-1-4666-0309-7.ch012")</f>
        <v>http://dx.doi.org/10.4018/978-1-4666-0309-7.ch012</v>
      </c>
      <c r="I729" s="2">
        <v>0.0</v>
      </c>
      <c r="K729" s="4" t="s">
        <v>9332</v>
      </c>
      <c r="M729" s="4"/>
    </row>
    <row r="730">
      <c r="A730" s="2" t="s">
        <v>8273</v>
      </c>
      <c r="B730" s="2" t="s">
        <v>8270</v>
      </c>
      <c r="C730" s="2" t="s">
        <v>8274</v>
      </c>
      <c r="D730" s="2">
        <v>2016.0</v>
      </c>
      <c r="E730" s="1" t="s">
        <v>9333</v>
      </c>
      <c r="F730" s="2" t="s">
        <v>3664</v>
      </c>
      <c r="G730" s="2" t="s">
        <v>8287</v>
      </c>
      <c r="H730" s="3" t="str">
        <f>HYPERLINK("http://dx.doi.org/10.1016/j.profoo.2016.02.054","http://dx.doi.org/10.1016/j.profoo.2016.02.054")</f>
        <v>http://dx.doi.org/10.1016/j.profoo.2016.02.054</v>
      </c>
      <c r="I730" s="2">
        <v>1.0</v>
      </c>
      <c r="K730" s="4" t="s">
        <v>9332</v>
      </c>
      <c r="M730" s="4"/>
    </row>
    <row r="731">
      <c r="A731" s="2" t="s">
        <v>8294</v>
      </c>
      <c r="B731" s="2" t="s">
        <v>8292</v>
      </c>
      <c r="C731" s="2" t="s">
        <v>8295</v>
      </c>
      <c r="D731" s="2">
        <v>2015.0</v>
      </c>
      <c r="E731" s="1" t="s">
        <v>9333</v>
      </c>
      <c r="F731" s="2" t="s">
        <v>3633</v>
      </c>
      <c r="G731" s="2" t="s">
        <v>8309</v>
      </c>
      <c r="H731" s="3" t="str">
        <f>HYPERLINK("http://dx.doi.org/10.1108/JMD-05-2014-0041","http://dx.doi.org/10.1108/JMD-05-2014-0041")</f>
        <v>http://dx.doi.org/10.1108/JMD-05-2014-0041</v>
      </c>
      <c r="I731" s="2">
        <v>5.0</v>
      </c>
      <c r="K731" s="4" t="s">
        <v>9332</v>
      </c>
      <c r="M731" s="4"/>
    </row>
    <row r="732">
      <c r="A732" s="2" t="s">
        <v>8314</v>
      </c>
      <c r="B732" s="2" t="s">
        <v>8312</v>
      </c>
      <c r="C732" s="2" t="s">
        <v>8315</v>
      </c>
      <c r="D732" s="2">
        <v>2021.0</v>
      </c>
      <c r="E732" s="1" t="s">
        <v>9333</v>
      </c>
      <c r="F732" s="2" t="s">
        <v>3633</v>
      </c>
      <c r="G732" s="2" t="s">
        <v>874</v>
      </c>
      <c r="H732" s="3" t="str">
        <f>HYPERLINK("http://dx.doi.org/10.1108/K-10-2019-0712","http://dx.doi.org/10.1108/K-10-2019-0712")</f>
        <v>http://dx.doi.org/10.1108/K-10-2019-0712</v>
      </c>
      <c r="I732" s="2">
        <v>5.0</v>
      </c>
      <c r="K732" s="4" t="s">
        <v>9332</v>
      </c>
      <c r="M732" s="4"/>
    </row>
    <row r="733">
      <c r="A733" s="2" t="s">
        <v>8335</v>
      </c>
      <c r="B733" s="2" t="s">
        <v>8333</v>
      </c>
      <c r="C733" s="2" t="s">
        <v>8336</v>
      </c>
      <c r="D733" s="2">
        <v>2013.0</v>
      </c>
      <c r="E733" s="1" t="s">
        <v>9333</v>
      </c>
      <c r="F733" s="2" t="s">
        <v>3633</v>
      </c>
      <c r="G733" s="2" t="s">
        <v>8350</v>
      </c>
      <c r="H733" s="3" t="str">
        <f>HYPERLINK("http://dx.doi.org/10.1007/s00228-013-1531-7","http://dx.doi.org/10.1007/s00228-013-1531-7")</f>
        <v>http://dx.doi.org/10.1007/s00228-013-1531-7</v>
      </c>
      <c r="I733" s="2">
        <v>33.0</v>
      </c>
      <c r="K733" s="4" t="s">
        <v>9332</v>
      </c>
      <c r="M733" s="4"/>
    </row>
    <row r="734">
      <c r="A734" s="2" t="s">
        <v>8376</v>
      </c>
      <c r="B734" s="2" t="s">
        <v>8374</v>
      </c>
      <c r="C734" s="2" t="s">
        <v>8377</v>
      </c>
      <c r="D734" s="2">
        <v>2023.0</v>
      </c>
      <c r="E734" s="1" t="s">
        <v>9333</v>
      </c>
      <c r="F734" s="2" t="s">
        <v>3633</v>
      </c>
      <c r="G734" s="2" t="s">
        <v>8390</v>
      </c>
      <c r="H734" s="3" t="str">
        <f>HYPERLINK("http://dx.doi.org/10.3389/fpsyt.2023.1102946","http://dx.doi.org/10.3389/fpsyt.2023.1102946")</f>
        <v>http://dx.doi.org/10.3389/fpsyt.2023.1102946</v>
      </c>
      <c r="I734" s="2">
        <v>1.0</v>
      </c>
      <c r="K734" s="4" t="s">
        <v>9332</v>
      </c>
      <c r="M734" s="4"/>
    </row>
    <row r="735">
      <c r="A735" s="2" t="s">
        <v>8394</v>
      </c>
      <c r="B735" s="2" t="s">
        <v>7865</v>
      </c>
      <c r="C735" s="2" t="s">
        <v>8395</v>
      </c>
      <c r="D735" s="2">
        <v>2011.0</v>
      </c>
      <c r="E735" s="1" t="s">
        <v>9333</v>
      </c>
      <c r="F735" s="2" t="s">
        <v>3633</v>
      </c>
      <c r="G735" s="2" t="s">
        <v>1579</v>
      </c>
      <c r="H735" s="3" t="str">
        <f>HYPERLINK("http://dx.doi.org/10.1016/j.simpat.2010.06.013","http://dx.doi.org/10.1016/j.simpat.2010.06.013")</f>
        <v>http://dx.doi.org/10.1016/j.simpat.2010.06.013</v>
      </c>
      <c r="I735" s="2">
        <v>12.0</v>
      </c>
      <c r="K735" s="4" t="s">
        <v>9332</v>
      </c>
      <c r="M735" s="4"/>
    </row>
    <row r="736">
      <c r="A736" s="2" t="s">
        <v>8431</v>
      </c>
      <c r="B736" s="2" t="s">
        <v>8429</v>
      </c>
      <c r="C736" s="2" t="s">
        <v>8432</v>
      </c>
      <c r="D736" s="2">
        <v>2019.0</v>
      </c>
      <c r="E736" s="1" t="s">
        <v>9333</v>
      </c>
      <c r="F736" s="2" t="s">
        <v>3633</v>
      </c>
      <c r="G736" s="2" t="s">
        <v>8447</v>
      </c>
      <c r="H736" s="3" t="str">
        <f>HYPERLINK("http://dx.doi.org/10.1108/IJEM-02-2018-0072","http://dx.doi.org/10.1108/IJEM-02-2018-0072")</f>
        <v>http://dx.doi.org/10.1108/IJEM-02-2018-0072</v>
      </c>
      <c r="I736" s="2">
        <v>39.0</v>
      </c>
      <c r="K736" s="4" t="s">
        <v>9332</v>
      </c>
      <c r="M736" s="4"/>
    </row>
    <row r="737">
      <c r="A737" s="2" t="s">
        <v>8452</v>
      </c>
      <c r="B737" s="2" t="s">
        <v>8450</v>
      </c>
      <c r="C737" s="2" t="s">
        <v>8453</v>
      </c>
      <c r="D737" s="2">
        <v>2024.0</v>
      </c>
      <c r="E737" s="1" t="s">
        <v>9333</v>
      </c>
      <c r="F737" s="2" t="s">
        <v>3633</v>
      </c>
      <c r="G737" s="2" t="s">
        <v>8468</v>
      </c>
      <c r="H737" s="3" t="str">
        <f>HYPERLINK("http://dx.doi.org/10.1371/journal.pone.0295982","http://dx.doi.org/10.1371/journal.pone.0295982")</f>
        <v>http://dx.doi.org/10.1371/journal.pone.0295982</v>
      </c>
      <c r="I737" s="2">
        <v>0.0</v>
      </c>
      <c r="K737" s="4" t="s">
        <v>9332</v>
      </c>
      <c r="M737" s="4"/>
    </row>
    <row r="738">
      <c r="A738" s="2" t="s">
        <v>8473</v>
      </c>
      <c r="B738" s="2" t="s">
        <v>8471</v>
      </c>
      <c r="C738" s="2" t="s">
        <v>5921</v>
      </c>
      <c r="D738" s="2">
        <v>2018.0</v>
      </c>
      <c r="E738" s="1" t="s">
        <v>9333</v>
      </c>
      <c r="F738" s="2" t="s">
        <v>3633</v>
      </c>
      <c r="G738" s="2" t="s">
        <v>8483</v>
      </c>
      <c r="H738" s="3" t="str">
        <f>HYPERLINK("http://dx.doi.org/10.2147/PPA.S159621","http://dx.doi.org/10.2147/PPA.S159621")</f>
        <v>http://dx.doi.org/10.2147/PPA.S159621</v>
      </c>
      <c r="I738" s="2">
        <v>11.0</v>
      </c>
      <c r="K738" s="4" t="s">
        <v>9332</v>
      </c>
      <c r="M738" s="4"/>
    </row>
    <row r="739">
      <c r="A739" s="2" t="s">
        <v>8488</v>
      </c>
      <c r="B739" s="2" t="s">
        <v>8486</v>
      </c>
      <c r="C739" s="2" t="s">
        <v>8489</v>
      </c>
      <c r="D739" s="2">
        <v>2014.0</v>
      </c>
      <c r="E739" s="1" t="s">
        <v>9333</v>
      </c>
      <c r="F739" s="2" t="s">
        <v>3633</v>
      </c>
      <c r="G739" s="2" t="s">
        <v>8505</v>
      </c>
      <c r="H739" s="3" t="str">
        <f>HYPERLINK("http://dx.doi.org/10.2196/medinform.2913","http://dx.doi.org/10.2196/medinform.2913")</f>
        <v>http://dx.doi.org/10.2196/medinform.2913</v>
      </c>
      <c r="I739" s="2">
        <v>93.0</v>
      </c>
      <c r="K739" s="4" t="s">
        <v>9332</v>
      </c>
      <c r="M739" s="4"/>
    </row>
    <row r="740">
      <c r="A740" s="2" t="s">
        <v>8510</v>
      </c>
      <c r="B740" s="2" t="s">
        <v>8508</v>
      </c>
      <c r="C740" s="2" t="s">
        <v>7039</v>
      </c>
      <c r="D740" s="2">
        <v>2012.0</v>
      </c>
      <c r="E740" s="1" t="s">
        <v>9333</v>
      </c>
      <c r="F740" s="2" t="s">
        <v>3633</v>
      </c>
      <c r="G740" s="2" t="s">
        <v>8521</v>
      </c>
      <c r="H740" s="3" t="str">
        <f>HYPERLINK("http://dx.doi.org/10.1287/mnsc.1110.1445","http://dx.doi.org/10.1287/mnsc.1110.1445")</f>
        <v>http://dx.doi.org/10.1287/mnsc.1110.1445</v>
      </c>
      <c r="I740" s="2">
        <v>44.0</v>
      </c>
      <c r="K740" s="4" t="s">
        <v>9332</v>
      </c>
      <c r="M740" s="4"/>
    </row>
    <row r="741">
      <c r="A741" s="2" t="s">
        <v>8526</v>
      </c>
      <c r="B741" s="2" t="s">
        <v>8524</v>
      </c>
      <c r="C741" s="2" t="s">
        <v>8527</v>
      </c>
      <c r="D741" s="2">
        <v>2021.0</v>
      </c>
      <c r="E741" s="1" t="s">
        <v>9333</v>
      </c>
      <c r="F741" s="2" t="s">
        <v>3633</v>
      </c>
      <c r="G741" s="2" t="s">
        <v>8541</v>
      </c>
      <c r="H741" s="3" t="str">
        <f>HYPERLINK("http://dx.doi.org/10.1016/j.jretconser.2021.102656","http://dx.doi.org/10.1016/j.jretconser.2021.102656")</f>
        <v>http://dx.doi.org/10.1016/j.jretconser.2021.102656</v>
      </c>
      <c r="I741" s="2">
        <v>8.0</v>
      </c>
      <c r="K741" s="4" t="s">
        <v>9332</v>
      </c>
      <c r="M741" s="4"/>
    </row>
    <row r="742">
      <c r="A742" s="2" t="s">
        <v>8561</v>
      </c>
      <c r="B742" s="2" t="s">
        <v>8559</v>
      </c>
      <c r="C742" s="2" t="s">
        <v>8562</v>
      </c>
      <c r="D742" s="2">
        <v>2021.0</v>
      </c>
      <c r="E742" s="1" t="s">
        <v>9333</v>
      </c>
      <c r="F742" s="2" t="s">
        <v>3633</v>
      </c>
      <c r="G742" s="2" t="s">
        <v>8579</v>
      </c>
      <c r="H742" s="3" t="str">
        <f>HYPERLINK("http://dx.doi.org/10.29333/iji.2021.14130a","http://dx.doi.org/10.29333/iji.2021.14130a")</f>
        <v>http://dx.doi.org/10.29333/iji.2021.14130a</v>
      </c>
      <c r="I742" s="2">
        <v>3.0</v>
      </c>
      <c r="K742" s="4" t="s">
        <v>9332</v>
      </c>
      <c r="M742" s="4"/>
    </row>
    <row r="743">
      <c r="A743" s="2" t="s">
        <v>8584</v>
      </c>
      <c r="B743" s="2" t="s">
        <v>8582</v>
      </c>
      <c r="C743" s="2" t="s">
        <v>8585</v>
      </c>
      <c r="D743" s="2">
        <v>2019.0</v>
      </c>
      <c r="E743" s="1" t="s">
        <v>9333</v>
      </c>
      <c r="F743" s="2" t="s">
        <v>3633</v>
      </c>
      <c r="G743" s="2" t="s">
        <v>8602</v>
      </c>
      <c r="H743" s="3" t="str">
        <f>HYPERLINK("http://dx.doi.org/10.1097/MD.0000000000014355","http://dx.doi.org/10.1097/MD.0000000000014355")</f>
        <v>http://dx.doi.org/10.1097/MD.0000000000014355</v>
      </c>
      <c r="I743" s="2">
        <v>45.0</v>
      </c>
      <c r="K743" s="4" t="s">
        <v>9332</v>
      </c>
      <c r="M743" s="4"/>
    </row>
    <row r="744">
      <c r="A744" s="2" t="s">
        <v>8607</v>
      </c>
      <c r="B744" s="2" t="s">
        <v>8605</v>
      </c>
      <c r="C744" s="2" t="s">
        <v>8608</v>
      </c>
      <c r="D744" s="2">
        <v>2016.0</v>
      </c>
      <c r="E744" s="1" t="s">
        <v>9333</v>
      </c>
      <c r="F744" s="2" t="s">
        <v>3633</v>
      </c>
      <c r="G744" s="2" t="s">
        <v>8625</v>
      </c>
      <c r="H744" s="3" t="str">
        <f>HYPERLINK("http://dx.doi.org/10.3758/s13428-015-0611-2","http://dx.doi.org/10.3758/s13428-015-0611-2")</f>
        <v>http://dx.doi.org/10.3758/s13428-015-0611-2</v>
      </c>
      <c r="I744" s="2">
        <v>149.0</v>
      </c>
      <c r="K744" s="4" t="s">
        <v>9332</v>
      </c>
      <c r="M744" s="4"/>
    </row>
    <row r="745">
      <c r="A745" s="2" t="s">
        <v>8669</v>
      </c>
      <c r="B745" s="2" t="s">
        <v>8667</v>
      </c>
      <c r="C745" s="2" t="s">
        <v>8670</v>
      </c>
      <c r="D745" s="2">
        <v>2018.0</v>
      </c>
      <c r="E745" s="1" t="s">
        <v>9333</v>
      </c>
      <c r="F745" s="2" t="s">
        <v>3633</v>
      </c>
      <c r="G745" s="2" t="s">
        <v>8687</v>
      </c>
      <c r="H745" s="3" t="str">
        <f>HYPERLINK("http://dx.doi.org/10.1186/s13071-018-2877-6","http://dx.doi.org/10.1186/s13071-018-2877-6")</f>
        <v>http://dx.doi.org/10.1186/s13071-018-2877-6</v>
      </c>
      <c r="I745" s="2">
        <v>16.0</v>
      </c>
      <c r="K745" s="4" t="s">
        <v>9332</v>
      </c>
      <c r="M745" s="4"/>
    </row>
    <row r="746">
      <c r="A746" s="2" t="s">
        <v>8693</v>
      </c>
      <c r="B746" s="2" t="s">
        <v>8691</v>
      </c>
      <c r="C746" s="2" t="s">
        <v>8694</v>
      </c>
      <c r="D746" s="2">
        <v>2023.0</v>
      </c>
      <c r="E746" s="1" t="s">
        <v>9333</v>
      </c>
      <c r="F746" s="2" t="s">
        <v>3633</v>
      </c>
      <c r="G746" s="2" t="s">
        <v>8708</v>
      </c>
      <c r="H746" s="3" t="str">
        <f>HYPERLINK("http://dx.doi.org/10.1016/j.resourpol.2022.103197","http://dx.doi.org/10.1016/j.resourpol.2022.103197")</f>
        <v>http://dx.doi.org/10.1016/j.resourpol.2022.103197</v>
      </c>
      <c r="I746" s="2">
        <v>12.0</v>
      </c>
      <c r="K746" s="4" t="s">
        <v>9332</v>
      </c>
      <c r="M746" s="4"/>
    </row>
    <row r="747">
      <c r="A747" s="2" t="s">
        <v>8715</v>
      </c>
      <c r="B747" s="2" t="s">
        <v>8713</v>
      </c>
      <c r="C747" s="2" t="s">
        <v>8336</v>
      </c>
      <c r="D747" s="2">
        <v>2022.0</v>
      </c>
      <c r="E747" s="1" t="s">
        <v>9333</v>
      </c>
      <c r="F747" s="2" t="s">
        <v>3633</v>
      </c>
      <c r="G747" s="2" t="s">
        <v>8727</v>
      </c>
      <c r="H747" s="3" t="str">
        <f>HYPERLINK("http://dx.doi.org/10.1007/s00228-021-03212-y","http://dx.doi.org/10.1007/s00228-021-03212-y")</f>
        <v>http://dx.doi.org/10.1007/s00228-021-03212-y</v>
      </c>
      <c r="I747" s="2">
        <v>14.0</v>
      </c>
      <c r="K747" s="4" t="s">
        <v>9332</v>
      </c>
      <c r="M747" s="4"/>
    </row>
    <row r="748">
      <c r="A748" s="2" t="s">
        <v>8732</v>
      </c>
      <c r="B748" s="2" t="s">
        <v>8730</v>
      </c>
      <c r="C748" s="2" t="s">
        <v>6948</v>
      </c>
      <c r="D748" s="2">
        <v>2023.0</v>
      </c>
      <c r="E748" s="1" t="s">
        <v>9333</v>
      </c>
      <c r="F748" s="2" t="s">
        <v>3633</v>
      </c>
      <c r="G748" s="2" t="s">
        <v>8744</v>
      </c>
      <c r="H748" s="3" t="str">
        <f>HYPERLINK("http://dx.doi.org/10.1186/s13063-023-07596-3","http://dx.doi.org/10.1186/s13063-023-07596-3")</f>
        <v>http://dx.doi.org/10.1186/s13063-023-07596-3</v>
      </c>
      <c r="I748" s="2">
        <v>4.0</v>
      </c>
      <c r="K748" s="4" t="s">
        <v>9332</v>
      </c>
      <c r="M748" s="4"/>
    </row>
    <row r="749">
      <c r="A749" s="2" t="s">
        <v>8747</v>
      </c>
      <c r="B749" s="2" t="s">
        <v>7286</v>
      </c>
      <c r="C749" s="2" t="s">
        <v>8748</v>
      </c>
      <c r="D749" s="2">
        <v>2020.0</v>
      </c>
      <c r="E749" s="1" t="s">
        <v>9333</v>
      </c>
      <c r="F749" s="2" t="s">
        <v>3633</v>
      </c>
      <c r="G749" s="2" t="s">
        <v>8765</v>
      </c>
      <c r="H749" s="3" t="str">
        <f>HYPERLINK("http://dx.doi.org/10.15240/tul/001/2020-3-009","http://dx.doi.org/10.15240/tul/001/2020-3-009")</f>
        <v>http://dx.doi.org/10.15240/tul/001/2020-3-009</v>
      </c>
      <c r="I749" s="2">
        <v>1.0</v>
      </c>
      <c r="K749" s="4" t="s">
        <v>9332</v>
      </c>
      <c r="M749" s="4"/>
    </row>
    <row r="750">
      <c r="A750" s="2" t="s">
        <v>8771</v>
      </c>
      <c r="B750" s="2" t="s">
        <v>8769</v>
      </c>
      <c r="C750" s="2" t="s">
        <v>8748</v>
      </c>
      <c r="D750" s="2">
        <v>2018.0</v>
      </c>
      <c r="E750" s="1" t="s">
        <v>9333</v>
      </c>
      <c r="F750" s="2" t="s">
        <v>3633</v>
      </c>
      <c r="G750" s="2" t="s">
        <v>8780</v>
      </c>
      <c r="H750" s="3" t="str">
        <f>HYPERLINK("http://dx.doi.org/10.15240/tul/001/2018-2-005","http://dx.doi.org/10.15240/tul/001/2018-2-005")</f>
        <v>http://dx.doi.org/10.15240/tul/001/2018-2-005</v>
      </c>
      <c r="I750" s="2">
        <v>8.0</v>
      </c>
      <c r="K750" s="4" t="s">
        <v>9332</v>
      </c>
      <c r="M750" s="4"/>
    </row>
    <row r="751">
      <c r="A751" s="2" t="s">
        <v>8785</v>
      </c>
      <c r="B751" s="2" t="s">
        <v>8783</v>
      </c>
      <c r="C751" s="2" t="s">
        <v>8786</v>
      </c>
      <c r="D751" s="2">
        <v>2019.0</v>
      </c>
      <c r="E751" s="1" t="s">
        <v>9333</v>
      </c>
      <c r="F751" s="2" t="s">
        <v>3633</v>
      </c>
      <c r="G751" s="2" t="s">
        <v>8800</v>
      </c>
      <c r="H751" s="3" t="str">
        <f>HYPERLINK("http://dx.doi.org/10.1108/MRR-05-2018-0202","http://dx.doi.org/10.1108/MRR-05-2018-0202")</f>
        <v>http://dx.doi.org/10.1108/MRR-05-2018-0202</v>
      </c>
      <c r="I751" s="2">
        <v>12.0</v>
      </c>
      <c r="K751" s="4" t="s">
        <v>9332</v>
      </c>
      <c r="M751" s="4"/>
    </row>
    <row r="752">
      <c r="A752" s="2" t="s">
        <v>8830</v>
      </c>
      <c r="B752" s="2" t="s">
        <v>8828</v>
      </c>
      <c r="C752" s="2" t="s">
        <v>8831</v>
      </c>
      <c r="D752" s="2">
        <v>2024.0</v>
      </c>
      <c r="E752" s="1" t="s">
        <v>9333</v>
      </c>
      <c r="F752" s="2" t="s">
        <v>3633</v>
      </c>
      <c r="G752" s="2" t="s">
        <v>8849</v>
      </c>
      <c r="H752" s="3" t="str">
        <f>HYPERLINK("http://dx.doi.org/10.1007/s41999-024-00999-8","http://dx.doi.org/10.1007/s41999-024-00999-8")</f>
        <v>http://dx.doi.org/10.1007/s41999-024-00999-8</v>
      </c>
      <c r="I752" s="2">
        <v>0.0</v>
      </c>
      <c r="K752" s="4" t="s">
        <v>9332</v>
      </c>
      <c r="M752" s="4"/>
    </row>
    <row r="753">
      <c r="A753" s="2" t="s">
        <v>8855</v>
      </c>
      <c r="B753" s="2" t="s">
        <v>8854</v>
      </c>
      <c r="C753" s="2" t="s">
        <v>8856</v>
      </c>
      <c r="D753" s="2">
        <v>2003.0</v>
      </c>
      <c r="E753" s="1" t="s">
        <v>9333</v>
      </c>
      <c r="F753" s="2" t="s">
        <v>3633</v>
      </c>
      <c r="G753" s="2" t="s">
        <v>8876</v>
      </c>
      <c r="H753" s="3" t="str">
        <f>HYPERLINK("http://dx.doi.org/10.1016/S0272-7714(03)00041-6","http://dx.doi.org/10.1016/S0272-7714(03)00041-6")</f>
        <v>http://dx.doi.org/10.1016/S0272-7714(03)00041-6</v>
      </c>
      <c r="I753" s="2">
        <v>16.0</v>
      </c>
      <c r="K753" s="4" t="s">
        <v>9332</v>
      </c>
      <c r="M753" s="4"/>
    </row>
    <row r="754">
      <c r="A754" s="2" t="s">
        <v>8882</v>
      </c>
      <c r="B754" s="2" t="s">
        <v>8880</v>
      </c>
      <c r="C754" s="2" t="s">
        <v>8883</v>
      </c>
      <c r="D754" s="2">
        <v>2022.0</v>
      </c>
      <c r="E754" s="1" t="s">
        <v>9333</v>
      </c>
      <c r="F754" s="2" t="s">
        <v>3633</v>
      </c>
      <c r="G754" s="2" t="s">
        <v>8899</v>
      </c>
      <c r="H754" s="3" t="str">
        <f>HYPERLINK("http://dx.doi.org/10.2166/wp.2022.200","http://dx.doi.org/10.2166/wp.2022.200")</f>
        <v>http://dx.doi.org/10.2166/wp.2022.200</v>
      </c>
      <c r="I754" s="2">
        <v>1.0</v>
      </c>
      <c r="K754" s="4" t="s">
        <v>9332</v>
      </c>
      <c r="M754" s="4"/>
    </row>
    <row r="755">
      <c r="A755" s="2" t="s">
        <v>8905</v>
      </c>
      <c r="B755" s="2" t="s">
        <v>8903</v>
      </c>
      <c r="C755" s="2" t="s">
        <v>8906</v>
      </c>
      <c r="D755" s="2">
        <v>2023.0</v>
      </c>
      <c r="E755" s="1" t="s">
        <v>9333</v>
      </c>
      <c r="F755" s="2" t="s">
        <v>3633</v>
      </c>
      <c r="G755" s="2" t="s">
        <v>8922</v>
      </c>
      <c r="H755" s="3" t="str">
        <f>HYPERLINK("http://dx.doi.org/10.7860/JCDR/2023/61854.18099","http://dx.doi.org/10.7860/JCDR/2023/61854.18099")</f>
        <v>http://dx.doi.org/10.7860/JCDR/2023/61854.18099</v>
      </c>
      <c r="I755" s="2">
        <v>0.0</v>
      </c>
      <c r="K755" s="4" t="s">
        <v>9332</v>
      </c>
      <c r="M755" s="4"/>
    </row>
    <row r="756">
      <c r="A756" s="2" t="s">
        <v>8927</v>
      </c>
      <c r="B756" s="2" t="s">
        <v>8925</v>
      </c>
      <c r="C756" s="2" t="s">
        <v>8928</v>
      </c>
      <c r="D756" s="2">
        <v>2018.0</v>
      </c>
      <c r="E756" s="1" t="s">
        <v>9333</v>
      </c>
      <c r="F756" s="2" t="s">
        <v>3633</v>
      </c>
      <c r="G756" s="2" t="s">
        <v>8941</v>
      </c>
      <c r="H756" s="3" t="str">
        <f>HYPERLINK("http://dx.doi.org/10.1002/phar.2170","http://dx.doi.org/10.1002/phar.2170")</f>
        <v>http://dx.doi.org/10.1002/phar.2170</v>
      </c>
      <c r="I756" s="2">
        <v>42.0</v>
      </c>
      <c r="K756" s="4" t="s">
        <v>9332</v>
      </c>
      <c r="M756" s="4"/>
    </row>
    <row r="757">
      <c r="A757" s="2" t="s">
        <v>8946</v>
      </c>
      <c r="B757" s="2" t="s">
        <v>8944</v>
      </c>
      <c r="C757" s="2" t="s">
        <v>6416</v>
      </c>
      <c r="D757" s="2">
        <v>2021.0</v>
      </c>
      <c r="E757" s="1" t="s">
        <v>9333</v>
      </c>
      <c r="F757" s="2" t="s">
        <v>3633</v>
      </c>
      <c r="G757" s="2" t="s">
        <v>394</v>
      </c>
      <c r="H757" s="3" t="str">
        <f>HYPERLINK("http://dx.doi.org/10.1007/s10664-021-09997-x","http://dx.doi.org/10.1007/s10664-021-09997-x")</f>
        <v>http://dx.doi.org/10.1007/s10664-021-09997-x</v>
      </c>
      <c r="I757" s="2">
        <v>14.0</v>
      </c>
      <c r="K757" s="4" t="s">
        <v>9332</v>
      </c>
      <c r="M757" s="4"/>
    </row>
    <row r="758">
      <c r="A758" s="2" t="s">
        <v>8962</v>
      </c>
      <c r="B758" s="2" t="s">
        <v>8960</v>
      </c>
      <c r="C758" s="2" t="s">
        <v>8963</v>
      </c>
      <c r="D758" s="2">
        <v>2016.0</v>
      </c>
      <c r="E758" s="1" t="s">
        <v>9333</v>
      </c>
      <c r="F758" s="2" t="s">
        <v>3633</v>
      </c>
      <c r="G758" s="2" t="s">
        <v>8975</v>
      </c>
      <c r="H758" s="3" t="str">
        <f>HYPERLINK("http://dx.doi.org/10.1177/2042098616647955","http://dx.doi.org/10.1177/2042098616647955")</f>
        <v>http://dx.doi.org/10.1177/2042098616647955</v>
      </c>
      <c r="I758" s="2">
        <v>3.0</v>
      </c>
      <c r="K758" s="4" t="s">
        <v>9332</v>
      </c>
      <c r="M758" s="4"/>
    </row>
    <row r="759">
      <c r="A759" s="2" t="s">
        <v>8981</v>
      </c>
      <c r="B759" s="2" t="s">
        <v>8978</v>
      </c>
      <c r="C759" s="2" t="s">
        <v>8982</v>
      </c>
      <c r="D759" s="2">
        <v>2015.0</v>
      </c>
      <c r="E759" s="1" t="s">
        <v>9333</v>
      </c>
      <c r="F759" s="2" t="s">
        <v>3664</v>
      </c>
      <c r="G759" s="2" t="s">
        <v>1173</v>
      </c>
      <c r="H759" s="3" t="str">
        <f>HYPERLINK("http://dx.doi.org/10.1007/978-3-319-09507-3_94","http://dx.doi.org/10.1007/978-3-319-09507-3_94")</f>
        <v>http://dx.doi.org/10.1007/978-3-319-09507-3_94</v>
      </c>
      <c r="I759" s="2">
        <v>0.0</v>
      </c>
      <c r="K759" s="4" t="s">
        <v>9332</v>
      </c>
      <c r="M759" s="4"/>
    </row>
    <row r="760">
      <c r="A760" s="2" t="s">
        <v>9003</v>
      </c>
      <c r="B760" s="2" t="s">
        <v>9001</v>
      </c>
      <c r="C760" s="2" t="s">
        <v>9004</v>
      </c>
      <c r="D760" s="2">
        <v>2020.0</v>
      </c>
      <c r="E760" s="1" t="s">
        <v>9333</v>
      </c>
      <c r="F760" s="2" t="s">
        <v>3633</v>
      </c>
      <c r="G760" s="2" t="s">
        <v>9019</v>
      </c>
      <c r="H760" s="3" t="str">
        <f>HYPERLINK("http://dx.doi.org/10.1371/journal.pgen.1009105","http://dx.doi.org/10.1371/journal.pgen.1009105")</f>
        <v>http://dx.doi.org/10.1371/journal.pgen.1009105</v>
      </c>
      <c r="I760" s="2">
        <v>14.0</v>
      </c>
      <c r="K760" s="4" t="s">
        <v>9332</v>
      </c>
      <c r="M760" s="4"/>
    </row>
    <row r="761">
      <c r="A761" s="2" t="s">
        <v>9064</v>
      </c>
      <c r="B761" s="2" t="s">
        <v>9062</v>
      </c>
      <c r="C761" s="2" t="s">
        <v>9065</v>
      </c>
      <c r="D761" s="2">
        <v>2023.0</v>
      </c>
      <c r="E761" s="1" t="s">
        <v>9333</v>
      </c>
      <c r="F761" s="2" t="s">
        <v>3633</v>
      </c>
      <c r="G761" s="2" t="s">
        <v>427</v>
      </c>
      <c r="H761" s="3" t="str">
        <f>HYPERLINK("http://dx.doi.org/10.3390/su151712776","http://dx.doi.org/10.3390/su151712776")</f>
        <v>http://dx.doi.org/10.3390/su151712776</v>
      </c>
      <c r="I761" s="2">
        <v>1.0</v>
      </c>
      <c r="K761" s="4" t="s">
        <v>9332</v>
      </c>
      <c r="M761" s="4"/>
    </row>
    <row r="762">
      <c r="A762" s="2" t="s">
        <v>9086</v>
      </c>
      <c r="B762" s="2" t="s">
        <v>9084</v>
      </c>
      <c r="C762" s="2" t="s">
        <v>7146</v>
      </c>
      <c r="D762" s="2">
        <v>2020.0</v>
      </c>
      <c r="E762" s="1" t="s">
        <v>9333</v>
      </c>
      <c r="F762" s="2" t="s">
        <v>3633</v>
      </c>
      <c r="G762" s="2" t="s">
        <v>9100</v>
      </c>
      <c r="H762" s="3" t="str">
        <f>HYPERLINK("http://dx.doi.org/10.3389/fphar.2020.00842","http://dx.doi.org/10.3389/fphar.2020.00842")</f>
        <v>http://dx.doi.org/10.3389/fphar.2020.00842</v>
      </c>
      <c r="I762" s="2">
        <v>121.0</v>
      </c>
      <c r="K762" s="4" t="s">
        <v>9332</v>
      </c>
      <c r="M762" s="4"/>
    </row>
    <row r="763">
      <c r="A763" s="2" t="s">
        <v>9105</v>
      </c>
      <c r="B763" s="2" t="s">
        <v>9103</v>
      </c>
      <c r="C763" s="2" t="s">
        <v>9106</v>
      </c>
      <c r="D763" s="2">
        <v>2022.0</v>
      </c>
      <c r="E763" s="1" t="s">
        <v>9333</v>
      </c>
      <c r="F763" s="2" t="s">
        <v>3633</v>
      </c>
      <c r="G763" s="2" t="s">
        <v>9121</v>
      </c>
      <c r="H763" s="3" t="str">
        <f>HYPERLINK("http://dx.doi.org/10.21272/mmi.2022.4-17","http://dx.doi.org/10.21272/mmi.2022.4-17")</f>
        <v>http://dx.doi.org/10.21272/mmi.2022.4-17</v>
      </c>
      <c r="I763" s="2">
        <v>2.0</v>
      </c>
      <c r="K763" s="4" t="s">
        <v>9332</v>
      </c>
      <c r="M763" s="4"/>
    </row>
    <row r="764">
      <c r="A764" s="2" t="s">
        <v>9146</v>
      </c>
      <c r="B764" s="2" t="s">
        <v>9144</v>
      </c>
      <c r="C764" s="2" t="s">
        <v>9147</v>
      </c>
      <c r="D764" s="2">
        <v>2019.0</v>
      </c>
      <c r="E764" s="1" t="s">
        <v>9333</v>
      </c>
      <c r="F764" s="2" t="s">
        <v>3633</v>
      </c>
      <c r="G764" s="2" t="s">
        <v>9161</v>
      </c>
      <c r="H764" s="3" t="str">
        <f>HYPERLINK("http://dx.doi.org/10.1186/s13643-019-1251-x","http://dx.doi.org/10.1186/s13643-019-1251-x")</f>
        <v>http://dx.doi.org/10.1186/s13643-019-1251-x</v>
      </c>
      <c r="I764" s="2">
        <v>2.0</v>
      </c>
      <c r="K764" s="4" t="s">
        <v>9332</v>
      </c>
      <c r="M764" s="4"/>
    </row>
    <row r="765">
      <c r="A765" s="2" t="s">
        <v>9166</v>
      </c>
      <c r="B765" s="2" t="s">
        <v>9164</v>
      </c>
      <c r="C765" s="2" t="s">
        <v>9167</v>
      </c>
      <c r="D765" s="2">
        <v>2023.0</v>
      </c>
      <c r="E765" s="1" t="s">
        <v>9333</v>
      </c>
      <c r="F765" s="2" t="s">
        <v>3633</v>
      </c>
      <c r="G765" s="2" t="s">
        <v>9182</v>
      </c>
      <c r="H765" s="3" t="str">
        <f>HYPERLINK("http://dx.doi.org/10.47974/JSMS-1135","http://dx.doi.org/10.47974/JSMS-1135")</f>
        <v>http://dx.doi.org/10.47974/JSMS-1135</v>
      </c>
      <c r="I765" s="2">
        <v>0.0</v>
      </c>
      <c r="K765" s="4" t="s">
        <v>9332</v>
      </c>
      <c r="M765" s="4"/>
    </row>
    <row r="766">
      <c r="A766" s="2" t="s">
        <v>9199</v>
      </c>
      <c r="B766" s="2" t="s">
        <v>9198</v>
      </c>
      <c r="C766" s="2" t="s">
        <v>9200</v>
      </c>
      <c r="D766" s="2">
        <v>2002.0</v>
      </c>
      <c r="E766" s="1" t="s">
        <v>9333</v>
      </c>
      <c r="F766" s="2" t="s">
        <v>3633</v>
      </c>
      <c r="G766" s="2" t="s">
        <v>3635</v>
      </c>
      <c r="H766" s="2" t="s">
        <v>3635</v>
      </c>
      <c r="I766" s="2">
        <v>10.0</v>
      </c>
      <c r="K766" s="4" t="s">
        <v>9332</v>
      </c>
      <c r="M766" s="4"/>
    </row>
    <row r="767">
      <c r="A767" s="2" t="s">
        <v>9223</v>
      </c>
      <c r="B767" s="2" t="s">
        <v>9221</v>
      </c>
      <c r="C767" s="2" t="s">
        <v>9224</v>
      </c>
      <c r="D767" s="2">
        <v>2023.0</v>
      </c>
      <c r="E767" s="1" t="s">
        <v>9333</v>
      </c>
      <c r="F767" s="2" t="s">
        <v>3633</v>
      </c>
      <c r="G767" s="2" t="s">
        <v>9241</v>
      </c>
      <c r="H767" s="3" t="str">
        <f>HYPERLINK("http://dx.doi.org/10.1108/APJML-01-2022-0050","http://dx.doi.org/10.1108/APJML-01-2022-0050")</f>
        <v>http://dx.doi.org/10.1108/APJML-01-2022-0050</v>
      </c>
      <c r="I767" s="2">
        <v>12.0</v>
      </c>
      <c r="K767" s="4" t="s">
        <v>9332</v>
      </c>
      <c r="M767" s="4"/>
    </row>
    <row r="768">
      <c r="A768" s="2" t="s">
        <v>9247</v>
      </c>
      <c r="B768" s="2" t="s">
        <v>9245</v>
      </c>
      <c r="C768" s="2" t="s">
        <v>9248</v>
      </c>
      <c r="D768" s="2">
        <v>2022.0</v>
      </c>
      <c r="E768" s="1" t="s">
        <v>9333</v>
      </c>
      <c r="F768" s="2" t="s">
        <v>3633</v>
      </c>
      <c r="G768" s="2" t="s">
        <v>9263</v>
      </c>
      <c r="H768" s="3" t="str">
        <f>HYPERLINK("http://dx.doi.org/10.1108/IJSE-10-2020-0688","http://dx.doi.org/10.1108/IJSE-10-2020-0688")</f>
        <v>http://dx.doi.org/10.1108/IJSE-10-2020-0688</v>
      </c>
      <c r="I768" s="2">
        <v>4.0</v>
      </c>
      <c r="K768" s="4" t="s">
        <v>9332</v>
      </c>
      <c r="M768" s="4"/>
    </row>
    <row r="769">
      <c r="A769" s="2" t="s">
        <v>9268</v>
      </c>
      <c r="B769" s="2" t="s">
        <v>9266</v>
      </c>
      <c r="C769" s="2" t="s">
        <v>9269</v>
      </c>
      <c r="D769" s="2">
        <v>2024.0</v>
      </c>
      <c r="E769" s="1" t="s">
        <v>9333</v>
      </c>
      <c r="F769" s="2" t="s">
        <v>3633</v>
      </c>
      <c r="G769" s="2" t="s">
        <v>9286</v>
      </c>
      <c r="H769" s="3" t="str">
        <f>HYPERLINK("http://dx.doi.org/10.1108/IJOA-10-2022-3476","http://dx.doi.org/10.1108/IJOA-10-2022-3476")</f>
        <v>http://dx.doi.org/10.1108/IJOA-10-2022-3476</v>
      </c>
      <c r="I769" s="2">
        <v>1.0</v>
      </c>
      <c r="K769" s="4" t="s">
        <v>9332</v>
      </c>
      <c r="M769" s="4"/>
    </row>
    <row r="770">
      <c r="A770" s="2" t="s">
        <v>9290</v>
      </c>
      <c r="B770" s="2" t="s">
        <v>9289</v>
      </c>
      <c r="C770" s="2" t="s">
        <v>9291</v>
      </c>
      <c r="D770" s="2">
        <v>2019.0</v>
      </c>
      <c r="E770" s="1" t="s">
        <v>9333</v>
      </c>
      <c r="F770" s="2" t="s">
        <v>3633</v>
      </c>
      <c r="G770" s="2" t="s">
        <v>9301</v>
      </c>
      <c r="H770" s="3" t="str">
        <f>HYPERLINK("http://dx.doi.org/10.1080/13814788.2019.1643166","http://dx.doi.org/10.1080/13814788.2019.1643166")</f>
        <v>http://dx.doi.org/10.1080/13814788.2019.1643166</v>
      </c>
      <c r="I770" s="2">
        <v>1.0</v>
      </c>
      <c r="K770" s="4" t="s">
        <v>9332</v>
      </c>
      <c r="M770" s="4"/>
    </row>
    <row r="771">
      <c r="A771" s="2" t="s">
        <v>9308</v>
      </c>
      <c r="B771" s="2" t="s">
        <v>9306</v>
      </c>
      <c r="C771" s="2" t="s">
        <v>9309</v>
      </c>
      <c r="D771" s="2">
        <v>2018.0</v>
      </c>
      <c r="E771" s="1" t="s">
        <v>9333</v>
      </c>
      <c r="F771" s="2" t="s">
        <v>3633</v>
      </c>
      <c r="G771" s="2" t="s">
        <v>9321</v>
      </c>
      <c r="H771" s="3" t="str">
        <f>HYPERLINK("http://dx.doi.org/10.1111/bioe.12474","http://dx.doi.org/10.1111/bioe.12474")</f>
        <v>http://dx.doi.org/10.1111/bioe.12474</v>
      </c>
      <c r="I771" s="2">
        <v>47.0</v>
      </c>
      <c r="K771" s="4" t="s">
        <v>9332</v>
      </c>
      <c r="M771" s="4"/>
    </row>
    <row r="778">
      <c r="K778" s="4"/>
      <c r="M778" s="4"/>
    </row>
    <row r="779">
      <c r="K779" s="4"/>
    </row>
    <row r="780">
      <c r="K780" s="4"/>
    </row>
    <row r="781">
      <c r="K781" s="4"/>
    </row>
    <row r="782">
      <c r="K782" s="4"/>
    </row>
    <row r="783">
      <c r="K783" s="4"/>
    </row>
    <row r="784">
      <c r="K784" s="4"/>
    </row>
    <row r="785">
      <c r="K785" s="4"/>
    </row>
    <row r="786">
      <c r="K786" s="4"/>
    </row>
    <row r="787">
      <c r="K787" s="4"/>
    </row>
    <row r="788">
      <c r="K788" s="4"/>
    </row>
    <row r="789">
      <c r="K789" s="4"/>
    </row>
    <row r="790">
      <c r="K790" s="4"/>
    </row>
    <row r="791">
      <c r="K791" s="4"/>
    </row>
    <row r="792">
      <c r="K792" s="4"/>
    </row>
    <row r="793">
      <c r="K793" s="4"/>
    </row>
    <row r="794">
      <c r="K794" s="4"/>
    </row>
    <row r="795">
      <c r="K795" s="4"/>
    </row>
    <row r="796">
      <c r="K796" s="4"/>
    </row>
    <row r="797">
      <c r="K797" s="4"/>
    </row>
    <row r="798">
      <c r="K798" s="4"/>
    </row>
    <row r="799">
      <c r="K799" s="4"/>
    </row>
    <row r="800">
      <c r="K800" s="4"/>
    </row>
    <row r="801">
      <c r="K801" s="4"/>
    </row>
    <row r="802">
      <c r="K802" s="4"/>
    </row>
    <row r="803">
      <c r="K803" s="4"/>
    </row>
    <row r="804">
      <c r="K804" s="4"/>
    </row>
    <row r="805">
      <c r="K805" s="4"/>
    </row>
    <row r="806">
      <c r="K806" s="4"/>
    </row>
    <row r="807">
      <c r="K807" s="4"/>
    </row>
    <row r="808">
      <c r="K808" s="4"/>
    </row>
    <row r="809">
      <c r="K809" s="4"/>
    </row>
    <row r="810">
      <c r="K810" s="4"/>
    </row>
    <row r="811">
      <c r="K811" s="4"/>
    </row>
    <row r="812">
      <c r="K812" s="4"/>
    </row>
    <row r="813">
      <c r="K813" s="4"/>
    </row>
    <row r="814">
      <c r="K814" s="4"/>
    </row>
    <row r="815">
      <c r="K815" s="4"/>
    </row>
    <row r="816">
      <c r="K816" s="4"/>
    </row>
    <row r="817">
      <c r="K817" s="4"/>
    </row>
    <row r="818">
      <c r="K818" s="4"/>
    </row>
    <row r="819">
      <c r="K819" s="4"/>
    </row>
    <row r="820">
      <c r="K820" s="4"/>
    </row>
    <row r="821">
      <c r="K821" s="4"/>
    </row>
    <row r="822">
      <c r="K822" s="4"/>
    </row>
    <row r="823">
      <c r="K823" s="4"/>
    </row>
    <row r="824">
      <c r="K824" s="4"/>
    </row>
    <row r="825">
      <c r="K825" s="4"/>
    </row>
    <row r="826">
      <c r="K826" s="4"/>
    </row>
    <row r="827">
      <c r="K827" s="4"/>
    </row>
    <row r="828">
      <c r="K828" s="4"/>
    </row>
    <row r="829">
      <c r="K829" s="4"/>
    </row>
    <row r="830">
      <c r="K830" s="4"/>
    </row>
    <row r="831">
      <c r="K831" s="4"/>
    </row>
    <row r="832">
      <c r="K832" s="4"/>
    </row>
    <row r="833">
      <c r="K833" s="4"/>
    </row>
    <row r="834">
      <c r="K834" s="4"/>
    </row>
    <row r="835">
      <c r="K835" s="4"/>
    </row>
    <row r="836">
      <c r="K836" s="4"/>
    </row>
    <row r="837">
      <c r="K837" s="4"/>
    </row>
    <row r="838">
      <c r="K838" s="4"/>
    </row>
    <row r="839">
      <c r="K839" s="4"/>
    </row>
    <row r="840">
      <c r="K840" s="4"/>
    </row>
    <row r="841">
      <c r="K841" s="4"/>
    </row>
    <row r="842">
      <c r="K842" s="4"/>
    </row>
    <row r="843">
      <c r="K843" s="4"/>
    </row>
    <row r="844">
      <c r="K844" s="4"/>
    </row>
    <row r="845">
      <c r="K845" s="4"/>
    </row>
    <row r="846">
      <c r="K846" s="4"/>
    </row>
    <row r="847">
      <c r="K847" s="4"/>
    </row>
    <row r="848">
      <c r="K848" s="4"/>
    </row>
    <row r="849">
      <c r="K849" s="4"/>
    </row>
    <row r="850">
      <c r="K850" s="4"/>
    </row>
    <row r="851">
      <c r="K851" s="4"/>
    </row>
    <row r="852">
      <c r="K852" s="4"/>
    </row>
  </sheetData>
  <autoFilter ref="$A$1:$A$852"/>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2.0" topLeftCell="A3" activePane="bottomLeft" state="frozen"/>
      <selection activeCell="B4" sqref="B4" pane="bottomLeft"/>
    </sheetView>
  </sheetViews>
  <sheetFormatPr customHeight="1" defaultColWidth="11.22" defaultRowHeight="15.0"/>
  <cols>
    <col customWidth="1" min="1" max="1" width="6.56"/>
    <col customWidth="1" min="2" max="2" width="2.56"/>
    <col customWidth="1" min="3" max="3" width="28.67"/>
    <col customWidth="1" min="4" max="4" width="13.78"/>
    <col customWidth="1" min="5" max="5" width="15.89"/>
    <col customWidth="1" min="6" max="6" width="7.11"/>
    <col customWidth="1" min="7" max="7" width="3.0"/>
    <col customWidth="1" min="8" max="8" width="3.22"/>
    <col customWidth="1" min="9" max="9" width="5.33"/>
    <col customWidth="1" min="10" max="10" width="2.67"/>
    <col customWidth="1" min="11" max="12" width="13.33"/>
    <col customWidth="1" min="13" max="13" width="14.67"/>
    <col customWidth="1" min="14" max="14" width="7.56"/>
    <col customWidth="1" min="15" max="15" width="6.56"/>
    <col customWidth="1" min="16" max="16" width="12.0"/>
    <col customWidth="1" min="17" max="17" width="8.56"/>
    <col customWidth="1" min="18" max="18" width="13.56"/>
    <col customWidth="1" min="19" max="19" width="6.56"/>
    <col customWidth="1" min="20" max="21" width="3.89"/>
    <col customWidth="1" min="22" max="22" width="7.56"/>
    <col customWidth="1" min="23" max="23" width="7.33"/>
    <col customWidth="1" min="24" max="24" width="28.67"/>
    <col customWidth="1" min="25" max="29" width="3.89"/>
  </cols>
  <sheetData>
    <row r="1" ht="15.75" customHeight="1">
      <c r="A1" s="12"/>
      <c r="B1" s="13"/>
      <c r="C1" s="14"/>
      <c r="D1" s="15"/>
      <c r="E1" s="15"/>
      <c r="F1" s="15"/>
      <c r="G1" s="16"/>
      <c r="H1" s="15"/>
      <c r="I1" s="15"/>
      <c r="J1" s="17"/>
      <c r="K1" s="18" t="s">
        <v>9334</v>
      </c>
      <c r="L1" s="19"/>
      <c r="M1" s="20"/>
      <c r="N1" s="21"/>
      <c r="O1" s="22" t="s">
        <v>9335</v>
      </c>
      <c r="P1" s="19"/>
      <c r="Q1" s="19"/>
      <c r="R1" s="19"/>
      <c r="S1" s="19"/>
      <c r="T1" s="23" t="s">
        <v>9336</v>
      </c>
      <c r="U1" s="19"/>
      <c r="V1" s="19"/>
      <c r="W1" s="19"/>
      <c r="X1" s="24"/>
      <c r="Y1" s="24"/>
      <c r="Z1" s="24"/>
      <c r="AA1" s="24"/>
      <c r="AB1" s="24"/>
      <c r="AC1" s="24"/>
    </row>
    <row r="2" ht="27.75" customHeight="1">
      <c r="A2" s="12" t="s">
        <v>9337</v>
      </c>
      <c r="B2" s="13" t="s">
        <v>9338</v>
      </c>
      <c r="C2" s="14" t="s">
        <v>0</v>
      </c>
      <c r="D2" s="15" t="s">
        <v>1</v>
      </c>
      <c r="E2" s="15" t="s">
        <v>3</v>
      </c>
      <c r="F2" s="15" t="s">
        <v>9339</v>
      </c>
      <c r="G2" s="16" t="s">
        <v>2</v>
      </c>
      <c r="H2" s="15" t="s">
        <v>7</v>
      </c>
      <c r="I2" s="15" t="s">
        <v>8</v>
      </c>
      <c r="J2" s="17" t="s">
        <v>9340</v>
      </c>
      <c r="K2" s="25" t="s">
        <v>9341</v>
      </c>
      <c r="L2" s="25"/>
      <c r="M2" s="26" t="s">
        <v>9342</v>
      </c>
      <c r="N2" s="26" t="s">
        <v>9343</v>
      </c>
      <c r="O2" s="27" t="s">
        <v>9341</v>
      </c>
      <c r="P2" s="28" t="s">
        <v>9344</v>
      </c>
      <c r="Q2" s="28" t="s">
        <v>9345</v>
      </c>
      <c r="R2" s="28" t="s">
        <v>9346</v>
      </c>
      <c r="S2" s="29" t="s">
        <v>9347</v>
      </c>
      <c r="T2" s="30" t="s">
        <v>9348</v>
      </c>
      <c r="U2" s="31" t="s">
        <v>9349</v>
      </c>
      <c r="V2" s="31" t="s">
        <v>9350</v>
      </c>
      <c r="W2" s="32" t="s">
        <v>9351</v>
      </c>
      <c r="X2" s="24"/>
      <c r="Y2" s="24"/>
      <c r="Z2" s="24"/>
      <c r="AA2" s="24"/>
      <c r="AB2" s="24"/>
      <c r="AC2" s="24"/>
    </row>
    <row r="3" ht="28.5" customHeight="1">
      <c r="A3" s="33" t="s">
        <v>9328</v>
      </c>
      <c r="B3" s="34">
        <v>1.0</v>
      </c>
      <c r="C3" s="35" t="s">
        <v>710</v>
      </c>
      <c r="D3" s="36" t="s">
        <v>711</v>
      </c>
      <c r="E3" s="36" t="s">
        <v>712</v>
      </c>
      <c r="F3" s="36" t="s">
        <v>9352</v>
      </c>
      <c r="G3" s="37">
        <v>2021.0</v>
      </c>
      <c r="H3" s="36" t="s">
        <v>9353</v>
      </c>
      <c r="I3" s="36" t="s">
        <v>9354</v>
      </c>
      <c r="J3" s="38" t="s">
        <v>9355</v>
      </c>
      <c r="K3" s="36" t="s">
        <v>9356</v>
      </c>
      <c r="L3" s="36" t="s">
        <v>9356</v>
      </c>
      <c r="M3" s="36" t="s">
        <v>9357</v>
      </c>
      <c r="N3" s="36" t="s">
        <v>9358</v>
      </c>
      <c r="O3" s="39" t="s">
        <v>9359</v>
      </c>
      <c r="P3" s="36" t="s">
        <v>9360</v>
      </c>
      <c r="Q3" s="36" t="s">
        <v>3403</v>
      </c>
      <c r="R3" s="36" t="s">
        <v>9361</v>
      </c>
      <c r="S3" s="38" t="s">
        <v>3403</v>
      </c>
      <c r="T3" s="36" t="s">
        <v>9362</v>
      </c>
      <c r="U3" s="36" t="s">
        <v>9355</v>
      </c>
      <c r="V3" s="36" t="s">
        <v>3403</v>
      </c>
      <c r="W3" s="38" t="s">
        <v>3403</v>
      </c>
      <c r="X3" s="24"/>
      <c r="Y3" s="24"/>
      <c r="Z3" s="24"/>
      <c r="AA3" s="24"/>
      <c r="AB3" s="24"/>
      <c r="AC3" s="24"/>
    </row>
    <row r="4" ht="28.5" customHeight="1">
      <c r="A4" s="36"/>
      <c r="B4" s="38">
        <v>2.0</v>
      </c>
      <c r="C4" s="40" t="s">
        <v>1417</v>
      </c>
      <c r="D4" s="36" t="s">
        <v>1418</v>
      </c>
      <c r="E4" s="36" t="s">
        <v>1419</v>
      </c>
      <c r="F4" s="36" t="s">
        <v>9363</v>
      </c>
      <c r="G4" s="37">
        <v>2012.0</v>
      </c>
      <c r="H4" s="36" t="s">
        <v>9353</v>
      </c>
      <c r="I4" s="36" t="s">
        <v>15</v>
      </c>
      <c r="J4" s="38" t="s">
        <v>9355</v>
      </c>
      <c r="K4" s="36" t="s">
        <v>9364</v>
      </c>
      <c r="L4" s="36" t="s">
        <v>9364</v>
      </c>
      <c r="M4" s="36" t="s">
        <v>9365</v>
      </c>
      <c r="N4" s="36" t="s">
        <v>9366</v>
      </c>
      <c r="O4" s="39" t="s">
        <v>9359</v>
      </c>
      <c r="P4" s="36" t="s">
        <v>9367</v>
      </c>
      <c r="Q4" s="36" t="s">
        <v>3403</v>
      </c>
      <c r="R4" s="36" t="s">
        <v>3403</v>
      </c>
      <c r="S4" s="41" t="s">
        <v>9368</v>
      </c>
      <c r="T4" s="36" t="s">
        <v>9362</v>
      </c>
      <c r="U4" s="36" t="s">
        <v>9355</v>
      </c>
      <c r="V4" s="36" t="s">
        <v>9369</v>
      </c>
      <c r="W4" s="38" t="s">
        <v>9369</v>
      </c>
      <c r="X4" s="24"/>
      <c r="Y4" s="24"/>
      <c r="Z4" s="24"/>
      <c r="AA4" s="24"/>
      <c r="AB4" s="24"/>
      <c r="AC4" s="24"/>
    </row>
    <row r="5" ht="28.5" customHeight="1">
      <c r="A5" s="36"/>
      <c r="B5" s="38">
        <v>3.0</v>
      </c>
      <c r="C5" s="40" t="s">
        <v>265</v>
      </c>
      <c r="D5" s="36" t="s">
        <v>266</v>
      </c>
      <c r="E5" s="36" t="s">
        <v>267</v>
      </c>
      <c r="F5" s="36"/>
      <c r="G5" s="37">
        <v>2023.0</v>
      </c>
      <c r="H5" s="36" t="s">
        <v>14</v>
      </c>
      <c r="I5" s="36" t="s">
        <v>3416</v>
      </c>
      <c r="J5" s="38" t="s">
        <v>9362</v>
      </c>
      <c r="K5" s="36" t="s">
        <v>9370</v>
      </c>
      <c r="L5" s="36" t="s">
        <v>9371</v>
      </c>
      <c r="M5" s="36" t="s">
        <v>9357</v>
      </c>
      <c r="N5" s="36" t="s">
        <v>9372</v>
      </c>
      <c r="O5" s="39" t="s">
        <v>9373</v>
      </c>
      <c r="P5" s="36" t="s">
        <v>9374</v>
      </c>
      <c r="Q5" s="36" t="s">
        <v>9375</v>
      </c>
      <c r="R5" s="36" t="s">
        <v>3403</v>
      </c>
      <c r="S5" s="38" t="s">
        <v>9376</v>
      </c>
      <c r="T5" s="36" t="s">
        <v>9362</v>
      </c>
      <c r="U5" s="36" t="s">
        <v>9355</v>
      </c>
      <c r="V5" s="36" t="s">
        <v>3403</v>
      </c>
      <c r="W5" s="38" t="s">
        <v>9377</v>
      </c>
      <c r="X5" s="24"/>
      <c r="Y5" s="24"/>
      <c r="Z5" s="24"/>
      <c r="AA5" s="24"/>
      <c r="AB5" s="24"/>
      <c r="AC5" s="24"/>
    </row>
    <row r="6" ht="28.5" customHeight="1">
      <c r="A6" s="36"/>
      <c r="B6" s="38">
        <v>4.0</v>
      </c>
      <c r="C6" s="40" t="s">
        <v>290</v>
      </c>
      <c r="D6" s="36" t="s">
        <v>291</v>
      </c>
      <c r="E6" s="36" t="s">
        <v>292</v>
      </c>
      <c r="F6" s="36" t="s">
        <v>9378</v>
      </c>
      <c r="G6" s="37">
        <v>2022.0</v>
      </c>
      <c r="H6" s="36" t="s">
        <v>9379</v>
      </c>
      <c r="I6" s="36" t="s">
        <v>15</v>
      </c>
      <c r="J6" s="38" t="s">
        <v>9355</v>
      </c>
      <c r="K6" s="36" t="s">
        <v>9380</v>
      </c>
      <c r="L6" s="36" t="s">
        <v>9381</v>
      </c>
      <c r="M6" s="36" t="s">
        <v>9382</v>
      </c>
      <c r="N6" s="36" t="s">
        <v>9358</v>
      </c>
      <c r="O6" s="39" t="s">
        <v>9359</v>
      </c>
      <c r="P6" s="36" t="s">
        <v>9360</v>
      </c>
      <c r="Q6" s="36" t="s">
        <v>3403</v>
      </c>
      <c r="R6" s="36" t="s">
        <v>3403</v>
      </c>
      <c r="S6" s="38" t="s">
        <v>3403</v>
      </c>
      <c r="T6" s="36" t="s">
        <v>9362</v>
      </c>
      <c r="U6" s="36" t="s">
        <v>9355</v>
      </c>
      <c r="V6" s="36"/>
      <c r="W6" s="38" t="s">
        <v>9383</v>
      </c>
      <c r="X6" s="24"/>
      <c r="Y6" s="24"/>
      <c r="Z6" s="24"/>
      <c r="AA6" s="24"/>
      <c r="AB6" s="24"/>
      <c r="AC6" s="24"/>
    </row>
    <row r="7" ht="28.5" customHeight="1">
      <c r="A7" s="36"/>
      <c r="B7" s="38">
        <v>5.0</v>
      </c>
      <c r="C7" s="40" t="s">
        <v>534</v>
      </c>
      <c r="D7" s="36" t="s">
        <v>535</v>
      </c>
      <c r="E7" s="36" t="s">
        <v>536</v>
      </c>
      <c r="F7" s="36" t="s">
        <v>9384</v>
      </c>
      <c r="G7" s="37">
        <v>2020.0</v>
      </c>
      <c r="H7" s="36" t="s">
        <v>9353</v>
      </c>
      <c r="I7" s="36" t="s">
        <v>15</v>
      </c>
      <c r="J7" s="38" t="s">
        <v>9362</v>
      </c>
      <c r="K7" s="36" t="s">
        <v>9380</v>
      </c>
      <c r="L7" s="36" t="s">
        <v>9381</v>
      </c>
      <c r="M7" s="36" t="s">
        <v>9385</v>
      </c>
      <c r="N7" s="36" t="s">
        <v>9372</v>
      </c>
      <c r="O7" s="39" t="s">
        <v>9386</v>
      </c>
      <c r="P7" s="36" t="s">
        <v>9387</v>
      </c>
      <c r="Q7" s="36" t="s">
        <v>3403</v>
      </c>
      <c r="R7" s="36" t="s">
        <v>3403</v>
      </c>
      <c r="S7" s="38" t="s">
        <v>3403</v>
      </c>
      <c r="T7" s="36" t="s">
        <v>9362</v>
      </c>
      <c r="U7" s="36" t="s">
        <v>9388</v>
      </c>
      <c r="V7" s="36" t="s">
        <v>9389</v>
      </c>
      <c r="W7" s="38" t="s">
        <v>9390</v>
      </c>
      <c r="X7" s="24"/>
      <c r="Y7" s="24"/>
      <c r="Z7" s="24"/>
      <c r="AA7" s="24"/>
      <c r="AB7" s="24"/>
      <c r="AC7" s="24"/>
    </row>
    <row r="8" ht="28.5" customHeight="1">
      <c r="A8" s="36"/>
      <c r="B8" s="38">
        <v>6.0</v>
      </c>
      <c r="C8" s="40" t="s">
        <v>746</v>
      </c>
      <c r="D8" s="36" t="s">
        <v>747</v>
      </c>
      <c r="E8" s="36" t="s">
        <v>748</v>
      </c>
      <c r="F8" s="36"/>
      <c r="G8" s="37">
        <v>2019.0</v>
      </c>
      <c r="H8" s="36" t="s">
        <v>14</v>
      </c>
      <c r="I8" s="36" t="s">
        <v>3416</v>
      </c>
      <c r="J8" s="38" t="s">
        <v>9355</v>
      </c>
      <c r="K8" s="36" t="s">
        <v>9391</v>
      </c>
      <c r="L8" s="36" t="s">
        <v>9392</v>
      </c>
      <c r="M8" s="36" t="s">
        <v>9357</v>
      </c>
      <c r="N8" s="36" t="s">
        <v>9372</v>
      </c>
      <c r="O8" s="39" t="s">
        <v>9359</v>
      </c>
      <c r="P8" s="36" t="s">
        <v>9360</v>
      </c>
      <c r="Q8" s="36" t="s">
        <v>3403</v>
      </c>
      <c r="R8" s="36" t="s">
        <v>3403</v>
      </c>
      <c r="S8" s="38" t="s">
        <v>3403</v>
      </c>
      <c r="T8" s="36" t="s">
        <v>9362</v>
      </c>
      <c r="U8" s="36" t="s">
        <v>9355</v>
      </c>
      <c r="V8" s="36" t="s">
        <v>9393</v>
      </c>
      <c r="W8" s="38" t="s">
        <v>9394</v>
      </c>
      <c r="X8" s="24"/>
      <c r="Y8" s="24"/>
      <c r="Z8" s="24"/>
      <c r="AA8" s="24"/>
      <c r="AB8" s="24"/>
      <c r="AC8" s="24"/>
    </row>
    <row r="9" ht="28.5" customHeight="1">
      <c r="A9" s="36"/>
      <c r="B9" s="38">
        <v>7.0</v>
      </c>
      <c r="C9" s="40" t="s">
        <v>1036</v>
      </c>
      <c r="D9" s="36" t="s">
        <v>1037</v>
      </c>
      <c r="E9" s="36" t="s">
        <v>78</v>
      </c>
      <c r="F9" s="36" t="s">
        <v>9395</v>
      </c>
      <c r="G9" s="37">
        <v>2013.0</v>
      </c>
      <c r="H9" s="36" t="s">
        <v>9396</v>
      </c>
      <c r="I9" s="36" t="s">
        <v>15</v>
      </c>
      <c r="J9" s="38" t="s">
        <v>9355</v>
      </c>
      <c r="K9" s="36" t="s">
        <v>9391</v>
      </c>
      <c r="L9" s="36" t="s">
        <v>9392</v>
      </c>
      <c r="M9" s="36" t="s">
        <v>9357</v>
      </c>
      <c r="N9" s="36" t="s">
        <v>9358</v>
      </c>
      <c r="O9" s="39" t="s">
        <v>9359</v>
      </c>
      <c r="P9" s="36" t="s">
        <v>9360</v>
      </c>
      <c r="Q9" s="36" t="s">
        <v>3403</v>
      </c>
      <c r="R9" s="36" t="s">
        <v>3403</v>
      </c>
      <c r="S9" s="38" t="s">
        <v>3403</v>
      </c>
      <c r="T9" s="36" t="s">
        <v>9362</v>
      </c>
      <c r="U9" s="36" t="s">
        <v>9355</v>
      </c>
      <c r="V9" s="36" t="s">
        <v>3403</v>
      </c>
      <c r="W9" s="38" t="s">
        <v>3403</v>
      </c>
      <c r="X9" s="24"/>
      <c r="Y9" s="24"/>
      <c r="Z9" s="24"/>
      <c r="AA9" s="24"/>
      <c r="AB9" s="24"/>
      <c r="AC9" s="24"/>
    </row>
    <row r="10" ht="28.5" customHeight="1">
      <c r="A10" s="33" t="s">
        <v>9328</v>
      </c>
      <c r="B10" s="34">
        <v>8.0</v>
      </c>
      <c r="C10" s="35" t="s">
        <v>1684</v>
      </c>
      <c r="D10" s="36" t="s">
        <v>9397</v>
      </c>
      <c r="E10" s="36" t="s">
        <v>78</v>
      </c>
      <c r="F10" s="36" t="s">
        <v>9395</v>
      </c>
      <c r="G10" s="37">
        <v>2012.0</v>
      </c>
      <c r="H10" s="36" t="s">
        <v>9396</v>
      </c>
      <c r="I10" s="36" t="s">
        <v>15</v>
      </c>
      <c r="J10" s="38" t="s">
        <v>9355</v>
      </c>
      <c r="K10" s="36" t="s">
        <v>9391</v>
      </c>
      <c r="L10" s="36" t="s">
        <v>9392</v>
      </c>
      <c r="M10" s="36" t="s">
        <v>9357</v>
      </c>
      <c r="N10" s="36" t="s">
        <v>9358</v>
      </c>
      <c r="O10" s="39" t="s">
        <v>9359</v>
      </c>
      <c r="P10" s="36" t="s">
        <v>9360</v>
      </c>
      <c r="Q10" s="36" t="s">
        <v>3403</v>
      </c>
      <c r="R10" s="36" t="s">
        <v>9361</v>
      </c>
      <c r="S10" s="38" t="s">
        <v>3403</v>
      </c>
      <c r="T10" s="36" t="s">
        <v>9362</v>
      </c>
      <c r="U10" s="36" t="s">
        <v>9355</v>
      </c>
      <c r="V10" s="36" t="s">
        <v>3403</v>
      </c>
      <c r="W10" s="38" t="s">
        <v>3403</v>
      </c>
      <c r="X10" s="24"/>
      <c r="Y10" s="24"/>
      <c r="Z10" s="24"/>
      <c r="AA10" s="24"/>
      <c r="AB10" s="24"/>
      <c r="AC10" s="24"/>
    </row>
    <row r="11" ht="28.5" customHeight="1">
      <c r="A11" s="36"/>
      <c r="B11" s="38">
        <v>9.0</v>
      </c>
      <c r="C11" s="40" t="s">
        <v>558</v>
      </c>
      <c r="D11" s="36" t="s">
        <v>559</v>
      </c>
      <c r="E11" s="36" t="s">
        <v>78</v>
      </c>
      <c r="F11" s="36" t="s">
        <v>9395</v>
      </c>
      <c r="G11" s="37">
        <v>2020.0</v>
      </c>
      <c r="H11" s="36" t="s">
        <v>9396</v>
      </c>
      <c r="I11" s="36" t="s">
        <v>15</v>
      </c>
      <c r="J11" s="38" t="s">
        <v>9355</v>
      </c>
      <c r="K11" s="36" t="s">
        <v>9356</v>
      </c>
      <c r="L11" s="36" t="s">
        <v>9356</v>
      </c>
      <c r="M11" s="36" t="s">
        <v>9398</v>
      </c>
      <c r="N11" s="36" t="s">
        <v>9358</v>
      </c>
      <c r="O11" s="39" t="s">
        <v>9359</v>
      </c>
      <c r="P11" s="36" t="s">
        <v>9399</v>
      </c>
      <c r="Q11" s="36" t="s">
        <v>3403</v>
      </c>
      <c r="R11" s="36" t="s">
        <v>9361</v>
      </c>
      <c r="S11" s="38" t="s">
        <v>3403</v>
      </c>
      <c r="T11" s="36" t="s">
        <v>9355</v>
      </c>
      <c r="U11" s="36" t="s">
        <v>9355</v>
      </c>
      <c r="V11" s="36" t="s">
        <v>9400</v>
      </c>
      <c r="W11" s="38" t="s">
        <v>9401</v>
      </c>
      <c r="X11" s="24"/>
      <c r="Y11" s="24"/>
      <c r="Z11" s="24"/>
      <c r="AA11" s="24"/>
      <c r="AB11" s="24"/>
      <c r="AC11" s="24"/>
    </row>
    <row r="12" ht="28.5" customHeight="1">
      <c r="A12" s="36"/>
      <c r="B12" s="38">
        <v>10.0</v>
      </c>
      <c r="C12" s="40" t="s">
        <v>571</v>
      </c>
      <c r="D12" s="36" t="s">
        <v>572</v>
      </c>
      <c r="E12" s="36" t="s">
        <v>573</v>
      </c>
      <c r="F12" s="36" t="s">
        <v>9402</v>
      </c>
      <c r="G12" s="37">
        <v>2021.0</v>
      </c>
      <c r="H12" s="36" t="s">
        <v>9353</v>
      </c>
      <c r="I12" s="36" t="s">
        <v>15</v>
      </c>
      <c r="J12" s="38" t="s">
        <v>9362</v>
      </c>
      <c r="K12" s="36" t="s">
        <v>9403</v>
      </c>
      <c r="L12" s="36" t="s">
        <v>9404</v>
      </c>
      <c r="M12" s="36" t="s">
        <v>9405</v>
      </c>
      <c r="N12" s="36" t="s">
        <v>9372</v>
      </c>
      <c r="O12" s="39" t="s">
        <v>9359</v>
      </c>
      <c r="P12" s="36" t="s">
        <v>9406</v>
      </c>
      <c r="Q12" s="36" t="s">
        <v>3403</v>
      </c>
      <c r="R12" s="36" t="s">
        <v>3403</v>
      </c>
      <c r="S12" s="38" t="s">
        <v>3403</v>
      </c>
      <c r="T12" s="36" t="s">
        <v>9362</v>
      </c>
      <c r="U12" s="36" t="s">
        <v>9407</v>
      </c>
      <c r="V12" s="36" t="s">
        <v>9408</v>
      </c>
      <c r="W12" s="38" t="s">
        <v>3403</v>
      </c>
      <c r="X12" s="24"/>
      <c r="Y12" s="24"/>
      <c r="Z12" s="24"/>
      <c r="AA12" s="24"/>
      <c r="AB12" s="24"/>
      <c r="AC12" s="24"/>
    </row>
    <row r="13" ht="28.5" customHeight="1">
      <c r="A13" s="33" t="s">
        <v>9328</v>
      </c>
      <c r="B13" s="34">
        <v>11.0</v>
      </c>
      <c r="C13" s="35" t="s">
        <v>1045</v>
      </c>
      <c r="D13" s="36" t="s">
        <v>1046</v>
      </c>
      <c r="E13" s="36" t="s">
        <v>1047</v>
      </c>
      <c r="F13" s="36" t="s">
        <v>9409</v>
      </c>
      <c r="G13" s="37">
        <v>2013.0</v>
      </c>
      <c r="H13" s="36" t="s">
        <v>9353</v>
      </c>
      <c r="I13" s="36" t="s">
        <v>15</v>
      </c>
      <c r="J13" s="38" t="s">
        <v>9410</v>
      </c>
      <c r="K13" s="36" t="s">
        <v>9391</v>
      </c>
      <c r="L13" s="36" t="s">
        <v>9392</v>
      </c>
      <c r="M13" s="36" t="s">
        <v>9357</v>
      </c>
      <c r="N13" s="36" t="s">
        <v>9358</v>
      </c>
      <c r="O13" s="39" t="s">
        <v>9359</v>
      </c>
      <c r="P13" s="36" t="s">
        <v>9360</v>
      </c>
      <c r="Q13" s="36" t="s">
        <v>3403</v>
      </c>
      <c r="R13" s="36" t="s">
        <v>9361</v>
      </c>
      <c r="S13" s="38" t="s">
        <v>3403</v>
      </c>
      <c r="T13" s="36" t="s">
        <v>9362</v>
      </c>
      <c r="U13" s="36" t="s">
        <v>9355</v>
      </c>
      <c r="V13" s="36" t="s">
        <v>3403</v>
      </c>
      <c r="W13" s="38" t="s">
        <v>9411</v>
      </c>
      <c r="X13" s="24"/>
      <c r="Y13" s="24"/>
      <c r="Z13" s="24"/>
      <c r="AA13" s="24"/>
      <c r="AB13" s="24"/>
      <c r="AC13" s="24"/>
    </row>
    <row r="14" ht="28.5" customHeight="1">
      <c r="A14" s="36"/>
      <c r="B14" s="38">
        <v>12.0</v>
      </c>
      <c r="C14" s="40" t="s">
        <v>770</v>
      </c>
      <c r="D14" s="36" t="s">
        <v>771</v>
      </c>
      <c r="E14" s="36" t="s">
        <v>772</v>
      </c>
      <c r="F14" s="36" t="s">
        <v>9412</v>
      </c>
      <c r="G14" s="37">
        <v>2019.0</v>
      </c>
      <c r="H14" s="36" t="s">
        <v>9353</v>
      </c>
      <c r="I14" s="36" t="s">
        <v>15</v>
      </c>
      <c r="J14" s="38"/>
      <c r="K14" s="36" t="s">
        <v>9391</v>
      </c>
      <c r="L14" s="36" t="s">
        <v>9392</v>
      </c>
      <c r="M14" s="36" t="s">
        <v>9357</v>
      </c>
      <c r="N14" s="36" t="s">
        <v>9372</v>
      </c>
      <c r="O14" s="39" t="s">
        <v>9359</v>
      </c>
      <c r="P14" s="36" t="s">
        <v>9360</v>
      </c>
      <c r="Q14" s="36" t="s">
        <v>3403</v>
      </c>
      <c r="R14" s="36" t="s">
        <v>3403</v>
      </c>
      <c r="S14" s="38" t="s">
        <v>3403</v>
      </c>
      <c r="T14" s="36" t="s">
        <v>9362</v>
      </c>
      <c r="U14" s="36" t="s">
        <v>9355</v>
      </c>
      <c r="V14" s="36" t="s">
        <v>9393</v>
      </c>
      <c r="W14" s="38" t="s">
        <v>3403</v>
      </c>
      <c r="X14" s="24"/>
      <c r="Y14" s="24"/>
      <c r="Z14" s="24"/>
      <c r="AA14" s="24"/>
      <c r="AB14" s="24"/>
      <c r="AC14" s="24"/>
    </row>
    <row r="15" ht="28.5" customHeight="1">
      <c r="A15" s="36"/>
      <c r="B15" s="38">
        <v>13.0</v>
      </c>
      <c r="C15" s="40" t="s">
        <v>789</v>
      </c>
      <c r="D15" s="36" t="s">
        <v>790</v>
      </c>
      <c r="E15" s="36" t="s">
        <v>791</v>
      </c>
      <c r="F15" s="36" t="s">
        <v>9413</v>
      </c>
      <c r="G15" s="37">
        <v>2021.0</v>
      </c>
      <c r="H15" s="36" t="s">
        <v>9353</v>
      </c>
      <c r="I15" s="36" t="s">
        <v>15</v>
      </c>
      <c r="J15" s="38" t="s">
        <v>9355</v>
      </c>
      <c r="K15" s="36" t="s">
        <v>9414</v>
      </c>
      <c r="L15" s="36" t="s">
        <v>9404</v>
      </c>
      <c r="M15" s="36" t="s">
        <v>9415</v>
      </c>
      <c r="N15" s="36" t="s">
        <v>9372</v>
      </c>
      <c r="O15" s="39" t="s">
        <v>9359</v>
      </c>
      <c r="P15" s="36" t="s">
        <v>9416</v>
      </c>
      <c r="Q15" s="36" t="s">
        <v>3403</v>
      </c>
      <c r="R15" s="36" t="s">
        <v>9417</v>
      </c>
      <c r="S15" s="38" t="s">
        <v>3403</v>
      </c>
      <c r="T15" s="36" t="s">
        <v>9362</v>
      </c>
      <c r="U15" s="36" t="s">
        <v>9418</v>
      </c>
      <c r="V15" s="36" t="s">
        <v>9419</v>
      </c>
      <c r="W15" s="38" t="s">
        <v>3403</v>
      </c>
      <c r="X15" s="24"/>
      <c r="Y15" s="24"/>
      <c r="Z15" s="24"/>
      <c r="AA15" s="24"/>
      <c r="AB15" s="24"/>
      <c r="AC15" s="24"/>
    </row>
    <row r="16" ht="28.5" customHeight="1">
      <c r="A16" s="36"/>
      <c r="B16" s="38">
        <v>14.0</v>
      </c>
      <c r="C16" s="40" t="s">
        <v>3442</v>
      </c>
      <c r="D16" s="36" t="s">
        <v>353</v>
      </c>
      <c r="E16" s="36" t="s">
        <v>9420</v>
      </c>
      <c r="F16" s="36" t="s">
        <v>9421</v>
      </c>
      <c r="G16" s="37">
        <v>2021.0</v>
      </c>
      <c r="H16" s="36" t="s">
        <v>14</v>
      </c>
      <c r="I16" s="36" t="s">
        <v>15</v>
      </c>
      <c r="J16" s="38" t="s">
        <v>9355</v>
      </c>
      <c r="K16" s="36" t="s">
        <v>9422</v>
      </c>
      <c r="L16" s="36" t="s">
        <v>9404</v>
      </c>
      <c r="M16" s="36" t="s">
        <v>9423</v>
      </c>
      <c r="N16" s="36" t="s">
        <v>9372</v>
      </c>
      <c r="O16" s="39" t="s">
        <v>9359</v>
      </c>
      <c r="P16" s="36" t="s">
        <v>9424</v>
      </c>
      <c r="Q16" s="36" t="s">
        <v>3403</v>
      </c>
      <c r="R16" s="36" t="s">
        <v>9425</v>
      </c>
      <c r="S16" s="38" t="s">
        <v>3403</v>
      </c>
      <c r="T16" s="36" t="s">
        <v>9362</v>
      </c>
      <c r="U16" s="36" t="s">
        <v>9426</v>
      </c>
      <c r="V16" s="36" t="s">
        <v>9427</v>
      </c>
      <c r="W16" s="38" t="s">
        <v>9428</v>
      </c>
      <c r="X16" s="24"/>
      <c r="Y16" s="24"/>
      <c r="Z16" s="24"/>
      <c r="AA16" s="24"/>
      <c r="AB16" s="24"/>
      <c r="AC16" s="24"/>
    </row>
    <row r="17" ht="28.5" customHeight="1">
      <c r="A17" s="33" t="s">
        <v>9328</v>
      </c>
      <c r="B17" s="34">
        <v>15.0</v>
      </c>
      <c r="C17" s="35" t="s">
        <v>1301</v>
      </c>
      <c r="D17" s="36" t="s">
        <v>1101</v>
      </c>
      <c r="E17" s="36" t="s">
        <v>1302</v>
      </c>
      <c r="F17" s="36" t="s">
        <v>9409</v>
      </c>
      <c r="G17" s="37">
        <v>2015.0</v>
      </c>
      <c r="H17" s="36" t="s">
        <v>9353</v>
      </c>
      <c r="I17" s="36" t="s">
        <v>15</v>
      </c>
      <c r="J17" s="38" t="s">
        <v>9429</v>
      </c>
      <c r="K17" s="36" t="s">
        <v>9391</v>
      </c>
      <c r="L17" s="36" t="s">
        <v>9392</v>
      </c>
      <c r="M17" s="36" t="s">
        <v>9357</v>
      </c>
      <c r="N17" s="36" t="s">
        <v>9358</v>
      </c>
      <c r="O17" s="39" t="s">
        <v>9359</v>
      </c>
      <c r="P17" s="36" t="s">
        <v>9360</v>
      </c>
      <c r="Q17" s="36" t="s">
        <v>3403</v>
      </c>
      <c r="R17" s="36" t="s">
        <v>9417</v>
      </c>
      <c r="S17" s="38" t="s">
        <v>3403</v>
      </c>
      <c r="T17" s="36" t="s">
        <v>9362</v>
      </c>
      <c r="U17" s="36" t="s">
        <v>9355</v>
      </c>
      <c r="V17" s="36" t="s">
        <v>3403</v>
      </c>
      <c r="W17" s="38" t="s">
        <v>9430</v>
      </c>
      <c r="X17" s="24"/>
      <c r="Y17" s="24"/>
      <c r="Z17" s="24"/>
      <c r="AA17" s="24"/>
      <c r="AB17" s="24"/>
      <c r="AC17" s="24"/>
    </row>
    <row r="18" ht="28.5" customHeight="1">
      <c r="A18" s="33" t="s">
        <v>9328</v>
      </c>
      <c r="B18" s="34">
        <v>16.0</v>
      </c>
      <c r="C18" s="35" t="s">
        <v>1100</v>
      </c>
      <c r="D18" s="36" t="s">
        <v>1101</v>
      </c>
      <c r="E18" s="36" t="s">
        <v>1102</v>
      </c>
      <c r="F18" s="36" t="s">
        <v>9431</v>
      </c>
      <c r="G18" s="37">
        <v>2017.0</v>
      </c>
      <c r="H18" s="36" t="s">
        <v>14</v>
      </c>
      <c r="I18" s="36" t="s">
        <v>15</v>
      </c>
      <c r="J18" s="38"/>
      <c r="K18" s="36" t="s">
        <v>9391</v>
      </c>
      <c r="L18" s="36" t="s">
        <v>9392</v>
      </c>
      <c r="M18" s="36" t="s">
        <v>9357</v>
      </c>
      <c r="N18" s="36" t="s">
        <v>9358</v>
      </c>
      <c r="O18" s="39" t="s">
        <v>9359</v>
      </c>
      <c r="P18" s="36" t="s">
        <v>9360</v>
      </c>
      <c r="Q18" s="36" t="s">
        <v>3403</v>
      </c>
      <c r="R18" s="36" t="s">
        <v>9432</v>
      </c>
      <c r="S18" s="38" t="s">
        <v>3403</v>
      </c>
      <c r="T18" s="36"/>
      <c r="U18" s="36"/>
      <c r="V18" s="36" t="s">
        <v>3403</v>
      </c>
      <c r="W18" s="38" t="s">
        <v>9433</v>
      </c>
      <c r="X18" s="24"/>
      <c r="Y18" s="24"/>
      <c r="Z18" s="24"/>
      <c r="AA18" s="24"/>
      <c r="AB18" s="24"/>
      <c r="AC18" s="24"/>
    </row>
    <row r="19" ht="28.5" customHeight="1">
      <c r="A19" s="36"/>
      <c r="B19" s="38">
        <v>18.0</v>
      </c>
      <c r="C19" s="40" t="s">
        <v>170</v>
      </c>
      <c r="D19" s="36" t="s">
        <v>171</v>
      </c>
      <c r="E19" s="36" t="s">
        <v>172</v>
      </c>
      <c r="F19" s="36"/>
      <c r="G19" s="37">
        <v>2023.0</v>
      </c>
      <c r="H19" s="36" t="s">
        <v>9353</v>
      </c>
      <c r="I19" s="36" t="s">
        <v>3416</v>
      </c>
      <c r="J19" s="38" t="s">
        <v>9362</v>
      </c>
      <c r="K19" s="36" t="s">
        <v>9380</v>
      </c>
      <c r="L19" s="36" t="s">
        <v>9381</v>
      </c>
      <c r="M19" s="36" t="s">
        <v>9434</v>
      </c>
      <c r="N19" s="36" t="s">
        <v>9372</v>
      </c>
      <c r="O19" s="39" t="s">
        <v>9373</v>
      </c>
      <c r="P19" s="36" t="s">
        <v>9374</v>
      </c>
      <c r="Q19" s="36" t="s">
        <v>9435</v>
      </c>
      <c r="R19" s="36" t="s">
        <v>9361</v>
      </c>
      <c r="S19" s="38" t="s">
        <v>9436</v>
      </c>
      <c r="T19" s="36" t="s">
        <v>9362</v>
      </c>
      <c r="U19" s="36" t="s">
        <v>9437</v>
      </c>
      <c r="V19" s="36" t="s">
        <v>9438</v>
      </c>
      <c r="W19" s="38" t="s">
        <v>9439</v>
      </c>
      <c r="X19" s="24"/>
      <c r="Y19" s="24"/>
      <c r="Z19" s="24"/>
      <c r="AA19" s="24"/>
      <c r="AB19" s="24"/>
      <c r="AC19" s="24"/>
    </row>
    <row r="20" ht="28.5" customHeight="1">
      <c r="A20" s="36"/>
      <c r="B20" s="38">
        <v>19.0</v>
      </c>
      <c r="C20" s="40" t="s">
        <v>381</v>
      </c>
      <c r="D20" s="36" t="s">
        <v>382</v>
      </c>
      <c r="E20" s="36" t="s">
        <v>383</v>
      </c>
      <c r="F20" s="36" t="s">
        <v>9440</v>
      </c>
      <c r="G20" s="37">
        <v>2023.0</v>
      </c>
      <c r="H20" s="36" t="s">
        <v>9353</v>
      </c>
      <c r="I20" s="36" t="s">
        <v>15</v>
      </c>
      <c r="J20" s="38" t="s">
        <v>9362</v>
      </c>
      <c r="K20" s="36" t="s">
        <v>9380</v>
      </c>
      <c r="L20" s="36" t="s">
        <v>9381</v>
      </c>
      <c r="M20" s="36" t="s">
        <v>9357</v>
      </c>
      <c r="N20" s="36" t="s">
        <v>9358</v>
      </c>
      <c r="O20" s="39" t="s">
        <v>9359</v>
      </c>
      <c r="P20" s="36" t="s">
        <v>9374</v>
      </c>
      <c r="Q20" s="36" t="s">
        <v>3403</v>
      </c>
      <c r="R20" s="36" t="s">
        <v>3403</v>
      </c>
      <c r="S20" s="38" t="s">
        <v>9441</v>
      </c>
      <c r="T20" s="36" t="s">
        <v>9362</v>
      </c>
      <c r="U20" s="36" t="s">
        <v>9355</v>
      </c>
      <c r="V20" s="36" t="s">
        <v>3403</v>
      </c>
      <c r="W20" s="38" t="s">
        <v>3403</v>
      </c>
      <c r="X20" s="24"/>
      <c r="Y20" s="24"/>
      <c r="Z20" s="24"/>
      <c r="AA20" s="24"/>
      <c r="AB20" s="24"/>
      <c r="AC20" s="24"/>
    </row>
    <row r="21" ht="28.5" customHeight="1">
      <c r="A21" s="33" t="s">
        <v>9328</v>
      </c>
      <c r="B21" s="34">
        <v>20.0</v>
      </c>
      <c r="C21" s="35" t="s">
        <v>386</v>
      </c>
      <c r="D21" s="36" t="s">
        <v>387</v>
      </c>
      <c r="E21" s="36" t="s">
        <v>388</v>
      </c>
      <c r="F21" s="36" t="s">
        <v>9442</v>
      </c>
      <c r="G21" s="37">
        <v>2022.0</v>
      </c>
      <c r="H21" s="36" t="s">
        <v>14</v>
      </c>
      <c r="I21" s="36" t="s">
        <v>15</v>
      </c>
      <c r="J21" s="38" t="s">
        <v>9362</v>
      </c>
      <c r="K21" s="36" t="s">
        <v>9443</v>
      </c>
      <c r="L21" s="36" t="s">
        <v>9444</v>
      </c>
      <c r="M21" s="36" t="s">
        <v>9445</v>
      </c>
      <c r="N21" s="36" t="s">
        <v>9358</v>
      </c>
      <c r="O21" s="39" t="s">
        <v>9373</v>
      </c>
      <c r="P21" s="36" t="s">
        <v>9374</v>
      </c>
      <c r="Q21" s="36" t="s">
        <v>9435</v>
      </c>
      <c r="R21" s="36" t="s">
        <v>9361</v>
      </c>
      <c r="S21" s="38" t="s">
        <v>9446</v>
      </c>
      <c r="T21" s="36" t="s">
        <v>9362</v>
      </c>
      <c r="U21" s="36" t="s">
        <v>9355</v>
      </c>
      <c r="V21" s="36" t="s">
        <v>3403</v>
      </c>
      <c r="W21" s="38" t="s">
        <v>3403</v>
      </c>
      <c r="X21" s="24"/>
      <c r="Y21" s="24"/>
      <c r="Z21" s="24"/>
      <c r="AA21" s="24"/>
      <c r="AB21" s="24"/>
      <c r="AC21" s="24"/>
    </row>
    <row r="22" ht="28.5" customHeight="1">
      <c r="A22" s="33" t="s">
        <v>9328</v>
      </c>
      <c r="B22" s="34">
        <v>21.0</v>
      </c>
      <c r="C22" s="35" t="s">
        <v>844</v>
      </c>
      <c r="D22" s="36" t="s">
        <v>845</v>
      </c>
      <c r="E22" s="36" t="s">
        <v>846</v>
      </c>
      <c r="F22" s="36" t="s">
        <v>9447</v>
      </c>
      <c r="G22" s="37">
        <v>2020.0</v>
      </c>
      <c r="H22" s="36" t="s">
        <v>9353</v>
      </c>
      <c r="I22" s="36" t="s">
        <v>15</v>
      </c>
      <c r="J22" s="38"/>
      <c r="K22" s="36" t="s">
        <v>9391</v>
      </c>
      <c r="L22" s="36" t="s">
        <v>9392</v>
      </c>
      <c r="M22" s="36" t="s">
        <v>9357</v>
      </c>
      <c r="N22" s="36" t="s">
        <v>9358</v>
      </c>
      <c r="O22" s="39" t="s">
        <v>9359</v>
      </c>
      <c r="P22" s="36" t="s">
        <v>9360</v>
      </c>
      <c r="Q22" s="36" t="s">
        <v>3403</v>
      </c>
      <c r="R22" s="36" t="s">
        <v>9425</v>
      </c>
      <c r="S22" s="38" t="s">
        <v>3403</v>
      </c>
      <c r="T22" s="36" t="s">
        <v>9362</v>
      </c>
      <c r="U22" s="36" t="s">
        <v>9355</v>
      </c>
      <c r="V22" s="36" t="s">
        <v>3403</v>
      </c>
      <c r="W22" s="38" t="s">
        <v>9448</v>
      </c>
      <c r="X22" s="24"/>
      <c r="Y22" s="24"/>
      <c r="Z22" s="24"/>
      <c r="AA22" s="24"/>
      <c r="AB22" s="24"/>
      <c r="AC22" s="24"/>
    </row>
    <row r="23" ht="28.5" customHeight="1">
      <c r="A23" s="36"/>
      <c r="B23" s="38">
        <v>22.0</v>
      </c>
      <c r="C23" s="40" t="s">
        <v>1557</v>
      </c>
      <c r="D23" s="36" t="s">
        <v>1558</v>
      </c>
      <c r="E23" s="36" t="s">
        <v>1559</v>
      </c>
      <c r="F23" s="36"/>
      <c r="G23" s="37">
        <v>2004.0</v>
      </c>
      <c r="H23" s="36" t="s">
        <v>14</v>
      </c>
      <c r="I23" s="36" t="s">
        <v>3416</v>
      </c>
      <c r="J23" s="38"/>
      <c r="K23" s="36" t="s">
        <v>9449</v>
      </c>
      <c r="L23" s="36" t="s">
        <v>9404</v>
      </c>
      <c r="M23" s="36" t="s">
        <v>9405</v>
      </c>
      <c r="N23" s="36" t="s">
        <v>9372</v>
      </c>
      <c r="O23" s="39" t="s">
        <v>9450</v>
      </c>
      <c r="P23" s="36" t="s">
        <v>9360</v>
      </c>
      <c r="Q23" s="36" t="s">
        <v>9451</v>
      </c>
      <c r="R23" s="36" t="s">
        <v>3403</v>
      </c>
      <c r="S23" s="38" t="s">
        <v>9452</v>
      </c>
      <c r="T23" s="36" t="s">
        <v>9362</v>
      </c>
      <c r="U23" s="36" t="s">
        <v>9355</v>
      </c>
      <c r="V23" s="36" t="s">
        <v>3403</v>
      </c>
      <c r="W23" s="38" t="s">
        <v>3403</v>
      </c>
      <c r="X23" s="24"/>
      <c r="Y23" s="24"/>
      <c r="Z23" s="24"/>
      <c r="AA23" s="24"/>
      <c r="AB23" s="24"/>
      <c r="AC23" s="24"/>
    </row>
    <row r="24" ht="28.5" customHeight="1">
      <c r="A24" s="36"/>
      <c r="B24" s="38">
        <v>23.0</v>
      </c>
      <c r="C24" s="40" t="s">
        <v>651</v>
      </c>
      <c r="D24" s="36" t="s">
        <v>652</v>
      </c>
      <c r="E24" s="36" t="s">
        <v>653</v>
      </c>
      <c r="F24" s="36" t="s">
        <v>9453</v>
      </c>
      <c r="G24" s="37">
        <v>2021.0</v>
      </c>
      <c r="H24" s="36" t="s">
        <v>9353</v>
      </c>
      <c r="I24" s="36" t="s">
        <v>15</v>
      </c>
      <c r="J24" s="38" t="s">
        <v>9454</v>
      </c>
      <c r="K24" s="36" t="s">
        <v>9391</v>
      </c>
      <c r="L24" s="36" t="s">
        <v>9392</v>
      </c>
      <c r="M24" s="36" t="s">
        <v>9357</v>
      </c>
      <c r="N24" s="36" t="s">
        <v>9358</v>
      </c>
      <c r="O24" s="39" t="s">
        <v>9359</v>
      </c>
      <c r="P24" s="36" t="s">
        <v>9360</v>
      </c>
      <c r="Q24" s="36" t="s">
        <v>3403</v>
      </c>
      <c r="R24" s="36" t="s">
        <v>9361</v>
      </c>
      <c r="S24" s="38" t="s">
        <v>3403</v>
      </c>
      <c r="T24" s="36" t="s">
        <v>9362</v>
      </c>
      <c r="U24" s="36" t="s">
        <v>9355</v>
      </c>
      <c r="V24" s="36" t="s">
        <v>3403</v>
      </c>
      <c r="W24" s="38" t="s">
        <v>9455</v>
      </c>
      <c r="X24" s="24"/>
      <c r="Y24" s="24"/>
      <c r="Z24" s="24"/>
      <c r="AA24" s="24"/>
      <c r="AB24" s="24"/>
      <c r="AC24" s="24"/>
    </row>
    <row r="25" ht="28.5" customHeight="1">
      <c r="A25" s="33" t="s">
        <v>9328</v>
      </c>
      <c r="B25" s="34">
        <v>24.0</v>
      </c>
      <c r="C25" s="35" t="s">
        <v>1789</v>
      </c>
      <c r="D25" s="36" t="s">
        <v>1628</v>
      </c>
      <c r="E25" s="36" t="s">
        <v>1790</v>
      </c>
      <c r="F25" s="36" t="s">
        <v>9456</v>
      </c>
      <c r="G25" s="37">
        <v>2011.0</v>
      </c>
      <c r="H25" s="36" t="s">
        <v>9379</v>
      </c>
      <c r="I25" s="36" t="s">
        <v>15</v>
      </c>
      <c r="J25" s="38" t="s">
        <v>9457</v>
      </c>
      <c r="K25" s="36" t="s">
        <v>9391</v>
      </c>
      <c r="L25" s="36" t="s">
        <v>9392</v>
      </c>
      <c r="M25" s="36" t="s">
        <v>9357</v>
      </c>
      <c r="N25" s="36" t="s">
        <v>9358</v>
      </c>
      <c r="O25" s="39" t="s">
        <v>9359</v>
      </c>
      <c r="P25" s="36" t="s">
        <v>9458</v>
      </c>
      <c r="Q25" s="36" t="s">
        <v>3403</v>
      </c>
      <c r="R25" s="36" t="s">
        <v>9361</v>
      </c>
      <c r="S25" s="38" t="s">
        <v>3403</v>
      </c>
      <c r="T25" s="36" t="s">
        <v>9362</v>
      </c>
      <c r="U25" s="36" t="s">
        <v>9355</v>
      </c>
      <c r="V25" s="36" t="s">
        <v>3403</v>
      </c>
      <c r="W25" s="38" t="s">
        <v>9459</v>
      </c>
      <c r="X25" s="24"/>
      <c r="Y25" s="24"/>
      <c r="Z25" s="24"/>
      <c r="AA25" s="24"/>
      <c r="AB25" s="24"/>
      <c r="AC25" s="24"/>
    </row>
    <row r="26" ht="28.5" customHeight="1">
      <c r="A26" s="36"/>
      <c r="B26" s="38">
        <v>25.0</v>
      </c>
      <c r="C26" s="40" t="s">
        <v>410</v>
      </c>
      <c r="D26" s="36" t="s">
        <v>411</v>
      </c>
      <c r="E26" s="36" t="s">
        <v>412</v>
      </c>
      <c r="F26" s="36"/>
      <c r="G26" s="37">
        <v>2023.0</v>
      </c>
      <c r="H26" s="36" t="s">
        <v>14</v>
      </c>
      <c r="I26" s="36" t="s">
        <v>3416</v>
      </c>
      <c r="J26" s="38" t="s">
        <v>9355</v>
      </c>
      <c r="K26" s="36" t="s">
        <v>9460</v>
      </c>
      <c r="L26" s="36" t="s">
        <v>9461</v>
      </c>
      <c r="M26" s="36" t="s">
        <v>9462</v>
      </c>
      <c r="N26" s="36" t="s">
        <v>9372</v>
      </c>
      <c r="O26" s="39" t="s">
        <v>9463</v>
      </c>
      <c r="P26" s="36" t="s">
        <v>9360</v>
      </c>
      <c r="Q26" s="36" t="s">
        <v>9464</v>
      </c>
      <c r="R26" s="36" t="s">
        <v>3403</v>
      </c>
      <c r="S26" s="38" t="s">
        <v>3403</v>
      </c>
      <c r="T26" s="36" t="s">
        <v>9362</v>
      </c>
      <c r="U26" s="36" t="s">
        <v>9362</v>
      </c>
      <c r="V26" s="36" t="s">
        <v>3403</v>
      </c>
      <c r="W26" s="38" t="s">
        <v>9465</v>
      </c>
      <c r="X26" s="24"/>
      <c r="Y26" s="24"/>
      <c r="Z26" s="24"/>
      <c r="AA26" s="24"/>
      <c r="AB26" s="24"/>
      <c r="AC26" s="24"/>
    </row>
    <row r="27" ht="28.5" customHeight="1">
      <c r="A27" s="33" t="s">
        <v>9328</v>
      </c>
      <c r="B27" s="34">
        <v>26.0</v>
      </c>
      <c r="C27" s="35" t="s">
        <v>665</v>
      </c>
      <c r="D27" s="36" t="s">
        <v>666</v>
      </c>
      <c r="E27" s="36" t="s">
        <v>78</v>
      </c>
      <c r="F27" s="36" t="s">
        <v>9395</v>
      </c>
      <c r="G27" s="37">
        <v>2021.0</v>
      </c>
      <c r="H27" s="36" t="s">
        <v>9396</v>
      </c>
      <c r="I27" s="36" t="s">
        <v>15</v>
      </c>
      <c r="J27" s="38"/>
      <c r="K27" s="36" t="s">
        <v>9391</v>
      </c>
      <c r="L27" s="36" t="s">
        <v>9392</v>
      </c>
      <c r="M27" s="36" t="s">
        <v>9357</v>
      </c>
      <c r="N27" s="36" t="s">
        <v>9358</v>
      </c>
      <c r="O27" s="39" t="s">
        <v>9359</v>
      </c>
      <c r="P27" s="36" t="s">
        <v>9458</v>
      </c>
      <c r="Q27" s="36" t="s">
        <v>3403</v>
      </c>
      <c r="R27" s="36" t="s">
        <v>9425</v>
      </c>
      <c r="S27" s="38" t="s">
        <v>3403</v>
      </c>
      <c r="T27" s="36" t="s">
        <v>9362</v>
      </c>
      <c r="U27" s="36" t="s">
        <v>9355</v>
      </c>
      <c r="V27" s="36" t="s">
        <v>3403</v>
      </c>
      <c r="W27" s="38" t="s">
        <v>3403</v>
      </c>
      <c r="X27" s="24"/>
      <c r="Y27" s="24"/>
      <c r="Z27" s="24"/>
      <c r="AA27" s="24"/>
      <c r="AB27" s="24"/>
      <c r="AC27" s="24"/>
    </row>
    <row r="28" ht="28.5" customHeight="1">
      <c r="A28" s="33" t="s">
        <v>9328</v>
      </c>
      <c r="B28" s="34">
        <v>27.0</v>
      </c>
      <c r="C28" s="35" t="s">
        <v>1151</v>
      </c>
      <c r="D28" s="36" t="s">
        <v>1152</v>
      </c>
      <c r="E28" s="36" t="s">
        <v>1153</v>
      </c>
      <c r="F28" s="36" t="s">
        <v>9409</v>
      </c>
      <c r="G28" s="37">
        <v>2016.0</v>
      </c>
      <c r="H28" s="36" t="s">
        <v>9353</v>
      </c>
      <c r="I28" s="36" t="s">
        <v>15</v>
      </c>
      <c r="J28" s="38" t="s">
        <v>9355</v>
      </c>
      <c r="K28" s="36" t="s">
        <v>9391</v>
      </c>
      <c r="L28" s="36" t="s">
        <v>9392</v>
      </c>
      <c r="M28" s="36" t="s">
        <v>9357</v>
      </c>
      <c r="N28" s="36" t="s">
        <v>9358</v>
      </c>
      <c r="O28" s="39" t="s">
        <v>9359</v>
      </c>
      <c r="P28" s="36" t="s">
        <v>3403</v>
      </c>
      <c r="Q28" s="36" t="s">
        <v>3403</v>
      </c>
      <c r="R28" s="36" t="s">
        <v>3403</v>
      </c>
      <c r="S28" s="38" t="s">
        <v>3403</v>
      </c>
      <c r="T28" s="36" t="s">
        <v>9362</v>
      </c>
      <c r="U28" s="36" t="s">
        <v>9355</v>
      </c>
      <c r="V28" s="36" t="s">
        <v>3403</v>
      </c>
      <c r="W28" s="38" t="s">
        <v>3403</v>
      </c>
      <c r="X28" s="24"/>
      <c r="Y28" s="24"/>
      <c r="Z28" s="24"/>
      <c r="AA28" s="24"/>
      <c r="AB28" s="24"/>
      <c r="AC28" s="24"/>
    </row>
    <row r="29" ht="28.5" customHeight="1">
      <c r="A29" s="33" t="s">
        <v>9328</v>
      </c>
      <c r="B29" s="34">
        <v>28.0</v>
      </c>
      <c r="C29" s="35" t="s">
        <v>1627</v>
      </c>
      <c r="D29" s="36" t="s">
        <v>1628</v>
      </c>
      <c r="E29" s="36" t="s">
        <v>1629</v>
      </c>
      <c r="F29" s="36" t="s">
        <v>9466</v>
      </c>
      <c r="G29" s="37">
        <v>2010.0</v>
      </c>
      <c r="H29" s="36" t="s">
        <v>9379</v>
      </c>
      <c r="I29" s="36" t="s">
        <v>15</v>
      </c>
      <c r="J29" s="38"/>
      <c r="K29" s="36" t="s">
        <v>9391</v>
      </c>
      <c r="L29" s="36" t="s">
        <v>9392</v>
      </c>
      <c r="M29" s="36" t="s">
        <v>9357</v>
      </c>
      <c r="N29" s="36" t="s">
        <v>9358</v>
      </c>
      <c r="O29" s="39" t="s">
        <v>9359</v>
      </c>
      <c r="P29" s="36" t="s">
        <v>9458</v>
      </c>
      <c r="Q29" s="36" t="s">
        <v>3403</v>
      </c>
      <c r="R29" s="36" t="s">
        <v>9361</v>
      </c>
      <c r="S29" s="38" t="s">
        <v>3403</v>
      </c>
      <c r="T29" s="36" t="s">
        <v>9362</v>
      </c>
      <c r="U29" s="36"/>
      <c r="V29" s="36" t="s">
        <v>3403</v>
      </c>
      <c r="W29" s="38" t="s">
        <v>3403</v>
      </c>
      <c r="X29" s="24"/>
      <c r="Y29" s="24"/>
      <c r="Z29" s="24"/>
      <c r="AA29" s="24"/>
      <c r="AB29" s="24"/>
      <c r="AC29" s="24"/>
    </row>
    <row r="30" ht="28.5" customHeight="1">
      <c r="A30" s="36"/>
      <c r="B30" s="38">
        <v>29.0</v>
      </c>
      <c r="C30" s="40" t="s">
        <v>462</v>
      </c>
      <c r="D30" s="36" t="s">
        <v>463</v>
      </c>
      <c r="E30" s="36" t="s">
        <v>464</v>
      </c>
      <c r="F30" s="36" t="s">
        <v>9467</v>
      </c>
      <c r="G30" s="37">
        <v>2022.0</v>
      </c>
      <c r="H30" s="36" t="s">
        <v>9353</v>
      </c>
      <c r="I30" s="36" t="s">
        <v>15</v>
      </c>
      <c r="J30" s="38" t="s">
        <v>9468</v>
      </c>
      <c r="K30" s="36" t="s">
        <v>9356</v>
      </c>
      <c r="L30" s="36" t="s">
        <v>9356</v>
      </c>
      <c r="M30" s="36" t="s">
        <v>9469</v>
      </c>
      <c r="N30" s="36" t="s">
        <v>9358</v>
      </c>
      <c r="O30" s="39" t="s">
        <v>9359</v>
      </c>
      <c r="P30" s="36" t="s">
        <v>9406</v>
      </c>
      <c r="Q30" s="36" t="s">
        <v>3403</v>
      </c>
      <c r="R30" s="36" t="s">
        <v>3403</v>
      </c>
      <c r="S30" s="38" t="s">
        <v>3403</v>
      </c>
      <c r="T30" s="36" t="s">
        <v>9362</v>
      </c>
      <c r="U30" s="36" t="s">
        <v>9362</v>
      </c>
      <c r="V30" s="36" t="s">
        <v>3403</v>
      </c>
      <c r="W30" s="38" t="s">
        <v>3403</v>
      </c>
      <c r="X30" s="24"/>
      <c r="Y30" s="24"/>
      <c r="Z30" s="24"/>
      <c r="AA30" s="24"/>
      <c r="AB30" s="24"/>
      <c r="AC30" s="24"/>
    </row>
    <row r="31" ht="28.5" customHeight="1">
      <c r="A31" s="33" t="s">
        <v>9328</v>
      </c>
      <c r="B31" s="34">
        <v>30.0</v>
      </c>
      <c r="C31" s="35" t="s">
        <v>1187</v>
      </c>
      <c r="D31" s="36" t="s">
        <v>1188</v>
      </c>
      <c r="E31" s="36" t="s">
        <v>1189</v>
      </c>
      <c r="F31" s="36" t="s">
        <v>9470</v>
      </c>
      <c r="G31" s="37">
        <v>2015.0</v>
      </c>
      <c r="H31" s="36" t="s">
        <v>9396</v>
      </c>
      <c r="I31" s="36" t="s">
        <v>9354</v>
      </c>
      <c r="J31" s="38" t="s">
        <v>9355</v>
      </c>
      <c r="K31" s="36" t="s">
        <v>9391</v>
      </c>
      <c r="L31" s="36" t="s">
        <v>9392</v>
      </c>
      <c r="M31" s="36" t="s">
        <v>9357</v>
      </c>
      <c r="N31" s="36" t="s">
        <v>9358</v>
      </c>
      <c r="O31" s="39" t="s">
        <v>9359</v>
      </c>
      <c r="P31" s="36" t="s">
        <v>9458</v>
      </c>
      <c r="Q31" s="36" t="s">
        <v>3403</v>
      </c>
      <c r="R31" s="36" t="s">
        <v>9361</v>
      </c>
      <c r="S31" s="38" t="s">
        <v>3403</v>
      </c>
      <c r="T31" s="36" t="s">
        <v>9362</v>
      </c>
      <c r="U31" s="36" t="s">
        <v>9355</v>
      </c>
      <c r="V31" s="36" t="s">
        <v>3403</v>
      </c>
      <c r="W31" s="38" t="s">
        <v>3403</v>
      </c>
      <c r="X31" s="24"/>
      <c r="Y31" s="24"/>
      <c r="Z31" s="24"/>
      <c r="AA31" s="24"/>
      <c r="AB31" s="24"/>
      <c r="AC31" s="24"/>
    </row>
    <row r="32" ht="28.5" customHeight="1">
      <c r="A32" s="33" t="s">
        <v>9328</v>
      </c>
      <c r="B32" s="34">
        <v>31.0</v>
      </c>
      <c r="C32" s="35" t="s">
        <v>484</v>
      </c>
      <c r="D32" s="36" t="s">
        <v>485</v>
      </c>
      <c r="E32" s="36" t="s">
        <v>486</v>
      </c>
      <c r="F32" s="36" t="s">
        <v>9471</v>
      </c>
      <c r="G32" s="37">
        <v>2022.0</v>
      </c>
      <c r="H32" s="36" t="s">
        <v>14</v>
      </c>
      <c r="I32" s="36" t="s">
        <v>15</v>
      </c>
      <c r="J32" s="38" t="s">
        <v>9362</v>
      </c>
      <c r="K32" s="36" t="s">
        <v>9380</v>
      </c>
      <c r="L32" s="36" t="s">
        <v>9381</v>
      </c>
      <c r="M32" s="36" t="s">
        <v>9357</v>
      </c>
      <c r="N32" s="36" t="s">
        <v>9372</v>
      </c>
      <c r="O32" s="39" t="s">
        <v>9450</v>
      </c>
      <c r="P32" s="36" t="s">
        <v>9360</v>
      </c>
      <c r="Q32" s="36" t="s">
        <v>9464</v>
      </c>
      <c r="R32" s="36"/>
      <c r="S32" s="38" t="s">
        <v>9446</v>
      </c>
      <c r="T32" s="36" t="s">
        <v>9362</v>
      </c>
      <c r="U32" s="36" t="s">
        <v>9362</v>
      </c>
      <c r="V32" s="36" t="s">
        <v>9472</v>
      </c>
      <c r="W32" s="38" t="s">
        <v>9472</v>
      </c>
      <c r="X32" s="24"/>
      <c r="Y32" s="24"/>
      <c r="Z32" s="24"/>
      <c r="AA32" s="24"/>
      <c r="AB32" s="24"/>
      <c r="AC32" s="24"/>
    </row>
    <row r="33" ht="28.5" customHeight="1">
      <c r="A33" s="33" t="s">
        <v>9328</v>
      </c>
      <c r="B33" s="34">
        <v>32.0</v>
      </c>
      <c r="C33" s="35" t="s">
        <v>2050</v>
      </c>
      <c r="D33" s="36" t="s">
        <v>2051</v>
      </c>
      <c r="E33" s="36" t="s">
        <v>2052</v>
      </c>
      <c r="F33" s="36" t="s">
        <v>9473</v>
      </c>
      <c r="G33" s="37">
        <v>2014.0</v>
      </c>
      <c r="H33" s="36" t="s">
        <v>1974</v>
      </c>
      <c r="I33" s="36" t="s">
        <v>15</v>
      </c>
      <c r="J33" s="38" t="s">
        <v>9468</v>
      </c>
      <c r="K33" s="36" t="s">
        <v>9380</v>
      </c>
      <c r="L33" s="36" t="s">
        <v>9381</v>
      </c>
      <c r="M33" s="36" t="s">
        <v>9357</v>
      </c>
      <c r="N33" s="36" t="s">
        <v>9372</v>
      </c>
      <c r="O33" s="39" t="s">
        <v>9359</v>
      </c>
      <c r="P33" s="36" t="s">
        <v>9360</v>
      </c>
      <c r="Q33" s="36" t="s">
        <v>3403</v>
      </c>
      <c r="R33" s="36" t="s">
        <v>3403</v>
      </c>
      <c r="S33" s="38" t="s">
        <v>3403</v>
      </c>
      <c r="T33" s="36" t="s">
        <v>9362</v>
      </c>
      <c r="U33" s="36" t="s">
        <v>9355</v>
      </c>
      <c r="V33" s="36" t="s">
        <v>9474</v>
      </c>
      <c r="W33" s="38" t="s">
        <v>9474</v>
      </c>
      <c r="X33" s="24"/>
      <c r="Y33" s="24"/>
      <c r="Z33" s="24"/>
      <c r="AA33" s="24"/>
      <c r="AB33" s="24"/>
      <c r="AC33" s="24"/>
    </row>
    <row r="34" ht="28.5" customHeight="1">
      <c r="A34" s="33" t="s">
        <v>9328</v>
      </c>
      <c r="B34" s="34">
        <v>33.0</v>
      </c>
      <c r="C34" s="35" t="s">
        <v>2028</v>
      </c>
      <c r="D34" s="36" t="s">
        <v>2029</v>
      </c>
      <c r="E34" s="36" t="s">
        <v>2030</v>
      </c>
      <c r="F34" s="36" t="s">
        <v>9409</v>
      </c>
      <c r="G34" s="37">
        <v>2023.0</v>
      </c>
      <c r="H34" s="36" t="s">
        <v>1974</v>
      </c>
      <c r="I34" s="36" t="s">
        <v>15</v>
      </c>
      <c r="J34" s="38" t="s">
        <v>9362</v>
      </c>
      <c r="K34" s="36" t="s">
        <v>9356</v>
      </c>
      <c r="L34" s="36" t="s">
        <v>9356</v>
      </c>
      <c r="M34" s="36" t="s">
        <v>9357</v>
      </c>
      <c r="N34" s="36" t="s">
        <v>9358</v>
      </c>
      <c r="O34" s="39" t="s">
        <v>9359</v>
      </c>
      <c r="P34" s="36" t="s">
        <v>9360</v>
      </c>
      <c r="Q34" s="36" t="s">
        <v>3403</v>
      </c>
      <c r="R34" s="36" t="s">
        <v>9361</v>
      </c>
      <c r="S34" s="38" t="s">
        <v>3403</v>
      </c>
      <c r="T34" s="36" t="s">
        <v>9362</v>
      </c>
      <c r="U34" s="36" t="s">
        <v>9355</v>
      </c>
      <c r="V34" s="36" t="s">
        <v>3403</v>
      </c>
      <c r="W34" s="38" t="s">
        <v>9475</v>
      </c>
      <c r="X34" s="24"/>
      <c r="Y34" s="24"/>
      <c r="Z34" s="24"/>
      <c r="AA34" s="24"/>
      <c r="AB34" s="24"/>
      <c r="AC34" s="24"/>
    </row>
    <row r="35" ht="28.5" customHeight="1">
      <c r="A35" s="33" t="s">
        <v>9328</v>
      </c>
      <c r="B35" s="34">
        <v>34.0</v>
      </c>
      <c r="C35" s="35" t="s">
        <v>76</v>
      </c>
      <c r="D35" s="36" t="s">
        <v>1993</v>
      </c>
      <c r="E35" s="36" t="s">
        <v>1994</v>
      </c>
      <c r="F35" s="36" t="s">
        <v>9476</v>
      </c>
      <c r="G35" s="37">
        <v>2023.0</v>
      </c>
      <c r="H35" s="36" t="s">
        <v>9353</v>
      </c>
      <c r="I35" s="36" t="s">
        <v>15</v>
      </c>
      <c r="J35" s="38" t="s">
        <v>9362</v>
      </c>
      <c r="K35" s="36" t="s">
        <v>9356</v>
      </c>
      <c r="L35" s="36" t="s">
        <v>9356</v>
      </c>
      <c r="M35" s="36" t="s">
        <v>9357</v>
      </c>
      <c r="N35" s="36" t="s">
        <v>9358</v>
      </c>
      <c r="O35" s="39" t="s">
        <v>9373</v>
      </c>
      <c r="P35" s="36" t="s">
        <v>9374</v>
      </c>
      <c r="Q35" s="36" t="s">
        <v>9435</v>
      </c>
      <c r="R35" s="36" t="s">
        <v>9477</v>
      </c>
      <c r="S35" s="38" t="s">
        <v>9478</v>
      </c>
      <c r="T35" s="36" t="s">
        <v>9362</v>
      </c>
      <c r="U35" s="36" t="s">
        <v>9355</v>
      </c>
      <c r="V35" s="36" t="s">
        <v>9479</v>
      </c>
      <c r="W35" s="38" t="s">
        <v>9480</v>
      </c>
      <c r="X35" s="24"/>
      <c r="Y35" s="24"/>
      <c r="Z35" s="24"/>
      <c r="AA35" s="24"/>
      <c r="AB35" s="24"/>
      <c r="AC35" s="24"/>
    </row>
    <row r="36" ht="28.5" customHeight="1">
      <c r="A36" s="42" t="s">
        <v>9481</v>
      </c>
      <c r="B36" s="38">
        <v>35.0</v>
      </c>
      <c r="C36" s="43" t="s">
        <v>9482</v>
      </c>
      <c r="D36" s="36" t="s">
        <v>9483</v>
      </c>
      <c r="E36" s="36" t="s">
        <v>9484</v>
      </c>
      <c r="F36" s="36" t="s">
        <v>9485</v>
      </c>
      <c r="G36" s="37">
        <v>2021.0</v>
      </c>
      <c r="H36" s="36" t="s">
        <v>1974</v>
      </c>
      <c r="I36" s="36" t="s">
        <v>15</v>
      </c>
      <c r="J36" s="38" t="s">
        <v>9362</v>
      </c>
      <c r="K36" s="36" t="s">
        <v>9460</v>
      </c>
      <c r="L36" s="36" t="s">
        <v>9461</v>
      </c>
      <c r="M36" s="36" t="s">
        <v>9445</v>
      </c>
      <c r="N36" s="36" t="s">
        <v>9372</v>
      </c>
      <c r="O36" s="39" t="s">
        <v>9463</v>
      </c>
      <c r="P36" s="36" t="s">
        <v>9360</v>
      </c>
      <c r="Q36" s="36" t="s">
        <v>9486</v>
      </c>
      <c r="R36" s="36" t="s">
        <v>3403</v>
      </c>
      <c r="S36" s="38" t="s">
        <v>9487</v>
      </c>
      <c r="T36" s="36" t="s">
        <v>9362</v>
      </c>
      <c r="U36" s="36" t="s">
        <v>9355</v>
      </c>
      <c r="V36" s="36" t="s">
        <v>9472</v>
      </c>
      <c r="W36" s="38" t="s">
        <v>9472</v>
      </c>
      <c r="X36" s="24"/>
      <c r="Y36" s="24"/>
      <c r="Z36" s="24"/>
      <c r="AA36" s="24"/>
      <c r="AB36" s="24"/>
      <c r="AC36" s="24"/>
    </row>
    <row r="37" ht="28.5" customHeight="1">
      <c r="A37" s="36"/>
      <c r="B37" s="38">
        <v>36.0</v>
      </c>
      <c r="C37" s="40" t="s">
        <v>2256</v>
      </c>
      <c r="D37" s="36" t="s">
        <v>2257</v>
      </c>
      <c r="E37" s="36" t="s">
        <v>2258</v>
      </c>
      <c r="F37" s="36" t="s">
        <v>9488</v>
      </c>
      <c r="G37" s="37">
        <v>2021.0</v>
      </c>
      <c r="H37" s="36" t="s">
        <v>1974</v>
      </c>
      <c r="I37" s="36" t="s">
        <v>15</v>
      </c>
      <c r="J37" s="38"/>
      <c r="K37" s="36" t="s">
        <v>9380</v>
      </c>
      <c r="L37" s="36" t="s">
        <v>9381</v>
      </c>
      <c r="M37" s="36" t="s">
        <v>9357</v>
      </c>
      <c r="N37" s="36" t="s">
        <v>9372</v>
      </c>
      <c r="O37" s="39" t="s">
        <v>9373</v>
      </c>
      <c r="P37" s="36" t="s">
        <v>9360</v>
      </c>
      <c r="Q37" s="36" t="s">
        <v>9489</v>
      </c>
      <c r="R37" s="36" t="s">
        <v>9361</v>
      </c>
      <c r="S37" s="38" t="s">
        <v>3403</v>
      </c>
      <c r="T37" s="36" t="s">
        <v>9362</v>
      </c>
      <c r="U37" s="36" t="s">
        <v>9355</v>
      </c>
      <c r="V37" s="36" t="s">
        <v>3403</v>
      </c>
      <c r="W37" s="38"/>
      <c r="X37" s="24"/>
      <c r="Y37" s="24"/>
      <c r="Z37" s="24"/>
      <c r="AA37" s="24"/>
      <c r="AB37" s="24"/>
      <c r="AC37" s="24"/>
    </row>
    <row r="38" ht="28.5" customHeight="1">
      <c r="A38" s="36"/>
      <c r="B38" s="38">
        <v>37.0</v>
      </c>
      <c r="C38" s="40" t="s">
        <v>2010</v>
      </c>
      <c r="D38" s="36" t="s">
        <v>2011</v>
      </c>
      <c r="E38" s="36" t="s">
        <v>2012</v>
      </c>
      <c r="F38" s="36" t="s">
        <v>9395</v>
      </c>
      <c r="G38" s="37">
        <v>2022.0</v>
      </c>
      <c r="H38" s="36" t="s">
        <v>7873</v>
      </c>
      <c r="I38" s="36" t="s">
        <v>15</v>
      </c>
      <c r="J38" s="38" t="s">
        <v>9362</v>
      </c>
      <c r="K38" s="36" t="s">
        <v>9380</v>
      </c>
      <c r="L38" s="36" t="s">
        <v>9381</v>
      </c>
      <c r="M38" s="36" t="s">
        <v>9357</v>
      </c>
      <c r="N38" s="36" t="s">
        <v>9358</v>
      </c>
      <c r="O38" s="39" t="s">
        <v>9359</v>
      </c>
      <c r="P38" s="36" t="s">
        <v>3403</v>
      </c>
      <c r="Q38" s="36" t="s">
        <v>3403</v>
      </c>
      <c r="R38" s="36" t="s">
        <v>3403</v>
      </c>
      <c r="S38" s="38" t="s">
        <v>3403</v>
      </c>
      <c r="T38" s="36" t="s">
        <v>9362</v>
      </c>
      <c r="U38" s="36" t="s">
        <v>9355</v>
      </c>
      <c r="V38" s="36" t="s">
        <v>3403</v>
      </c>
      <c r="W38" s="38" t="s">
        <v>9490</v>
      </c>
      <c r="X38" s="24"/>
      <c r="Y38" s="24"/>
      <c r="Z38" s="24"/>
      <c r="AA38" s="24"/>
      <c r="AB38" s="24"/>
      <c r="AC38" s="24"/>
    </row>
    <row r="39" ht="28.5" customHeight="1">
      <c r="A39" s="42" t="s">
        <v>9481</v>
      </c>
      <c r="B39" s="38">
        <v>38.0</v>
      </c>
      <c r="C39" s="43" t="s">
        <v>9491</v>
      </c>
      <c r="D39" s="36" t="s">
        <v>9492</v>
      </c>
      <c r="E39" s="36" t="s">
        <v>9493</v>
      </c>
      <c r="F39" s="36" t="s">
        <v>9494</v>
      </c>
      <c r="G39" s="37">
        <v>2021.0</v>
      </c>
      <c r="H39" s="36" t="s">
        <v>1974</v>
      </c>
      <c r="I39" s="36" t="s">
        <v>9354</v>
      </c>
      <c r="J39" s="38" t="s">
        <v>9355</v>
      </c>
      <c r="K39" s="36" t="s">
        <v>9380</v>
      </c>
      <c r="L39" s="36" t="s">
        <v>9381</v>
      </c>
      <c r="M39" s="36" t="s">
        <v>9445</v>
      </c>
      <c r="N39" s="36" t="s">
        <v>9372</v>
      </c>
      <c r="O39" s="39" t="s">
        <v>9450</v>
      </c>
      <c r="P39" s="36" t="s">
        <v>9360</v>
      </c>
      <c r="Q39" s="36" t="s">
        <v>9495</v>
      </c>
      <c r="R39" s="36" t="s">
        <v>3403</v>
      </c>
      <c r="S39" s="38" t="s">
        <v>3403</v>
      </c>
      <c r="T39" s="36" t="s">
        <v>9362</v>
      </c>
      <c r="U39" s="36" t="s">
        <v>9355</v>
      </c>
      <c r="V39" s="36" t="s">
        <v>9472</v>
      </c>
      <c r="W39" s="38" t="s">
        <v>9472</v>
      </c>
      <c r="X39" s="24"/>
      <c r="Y39" s="24"/>
      <c r="Z39" s="24"/>
      <c r="AA39" s="24"/>
      <c r="AB39" s="24"/>
      <c r="AC39" s="24"/>
    </row>
    <row r="40" ht="28.5" customHeight="1">
      <c r="A40" s="42" t="s">
        <v>9481</v>
      </c>
      <c r="B40" s="38">
        <v>39.0</v>
      </c>
      <c r="C40" s="43" t="s">
        <v>9496</v>
      </c>
      <c r="D40" s="36" t="s">
        <v>9497</v>
      </c>
      <c r="E40" s="36" t="s">
        <v>9498</v>
      </c>
      <c r="F40" s="36" t="s">
        <v>9499</v>
      </c>
      <c r="G40" s="37">
        <v>2020.0</v>
      </c>
      <c r="H40" s="36" t="s">
        <v>1974</v>
      </c>
      <c r="I40" s="36" t="s">
        <v>15</v>
      </c>
      <c r="J40" s="38" t="s">
        <v>9355</v>
      </c>
      <c r="K40" s="36" t="s">
        <v>9414</v>
      </c>
      <c r="L40" s="36" t="s">
        <v>9404</v>
      </c>
      <c r="M40" s="36" t="s">
        <v>9445</v>
      </c>
      <c r="N40" s="36" t="s">
        <v>9500</v>
      </c>
      <c r="O40" s="39" t="s">
        <v>9373</v>
      </c>
      <c r="P40" s="36" t="s">
        <v>9360</v>
      </c>
      <c r="Q40" s="36" t="s">
        <v>9501</v>
      </c>
      <c r="R40" s="36" t="s">
        <v>9502</v>
      </c>
      <c r="S40" s="38" t="s">
        <v>3403</v>
      </c>
      <c r="T40" s="36" t="s">
        <v>9362</v>
      </c>
      <c r="U40" s="36" t="s">
        <v>9355</v>
      </c>
      <c r="V40" s="36" t="s">
        <v>9472</v>
      </c>
      <c r="W40" s="38" t="s">
        <v>9472</v>
      </c>
      <c r="X40" s="24"/>
      <c r="Y40" s="24"/>
      <c r="Z40" s="24"/>
      <c r="AA40" s="24"/>
      <c r="AB40" s="24"/>
      <c r="AC40" s="24"/>
    </row>
    <row r="41" ht="28.5" customHeight="1">
      <c r="A41" s="42" t="s">
        <v>9481</v>
      </c>
      <c r="B41" s="38">
        <v>40.0</v>
      </c>
      <c r="C41" s="43" t="s">
        <v>9503</v>
      </c>
      <c r="D41" s="36" t="s">
        <v>9504</v>
      </c>
      <c r="E41" s="36" t="s">
        <v>9505</v>
      </c>
      <c r="F41" s="36" t="s">
        <v>9506</v>
      </c>
      <c r="G41" s="37">
        <v>2022.0</v>
      </c>
      <c r="H41" s="36" t="s">
        <v>1974</v>
      </c>
      <c r="I41" s="36" t="s">
        <v>15</v>
      </c>
      <c r="J41" s="38" t="s">
        <v>9468</v>
      </c>
      <c r="K41" s="36" t="s">
        <v>9391</v>
      </c>
      <c r="L41" s="36" t="s">
        <v>9392</v>
      </c>
      <c r="M41" s="36" t="s">
        <v>9357</v>
      </c>
      <c r="N41" s="36" t="s">
        <v>9507</v>
      </c>
      <c r="O41" s="39" t="s">
        <v>9359</v>
      </c>
      <c r="P41" s="36" t="s">
        <v>9360</v>
      </c>
      <c r="Q41" s="36" t="s">
        <v>3403</v>
      </c>
      <c r="R41" s="36" t="s">
        <v>9502</v>
      </c>
      <c r="S41" s="38" t="s">
        <v>3403</v>
      </c>
      <c r="T41" s="36" t="s">
        <v>9362</v>
      </c>
      <c r="U41" s="36" t="s">
        <v>9355</v>
      </c>
      <c r="V41" s="36" t="s">
        <v>3403</v>
      </c>
      <c r="W41" s="38" t="s">
        <v>3403</v>
      </c>
      <c r="X41" s="24"/>
      <c r="Y41" s="24"/>
      <c r="Z41" s="24"/>
      <c r="AA41" s="24"/>
      <c r="AB41" s="24"/>
      <c r="AC41" s="24"/>
    </row>
    <row r="42" ht="28.5" customHeight="1">
      <c r="A42" s="42" t="s">
        <v>9481</v>
      </c>
      <c r="B42" s="38">
        <v>41.0</v>
      </c>
      <c r="C42" s="43" t="s">
        <v>9508</v>
      </c>
      <c r="D42" s="36" t="s">
        <v>9509</v>
      </c>
      <c r="E42" s="36" t="s">
        <v>9510</v>
      </c>
      <c r="F42" s="36" t="s">
        <v>9511</v>
      </c>
      <c r="G42" s="37">
        <v>2022.0</v>
      </c>
      <c r="H42" s="36" t="s">
        <v>1974</v>
      </c>
      <c r="I42" s="36" t="s">
        <v>15</v>
      </c>
      <c r="J42" s="38" t="s">
        <v>9355</v>
      </c>
      <c r="K42" s="36" t="s">
        <v>9414</v>
      </c>
      <c r="L42" s="36" t="s">
        <v>9404</v>
      </c>
      <c r="M42" s="36" t="s">
        <v>9423</v>
      </c>
      <c r="N42" s="36" t="s">
        <v>9500</v>
      </c>
      <c r="O42" s="39" t="s">
        <v>9359</v>
      </c>
      <c r="P42" s="36" t="s">
        <v>9374</v>
      </c>
      <c r="Q42" s="36" t="s">
        <v>9451</v>
      </c>
      <c r="R42" s="36" t="s">
        <v>9361</v>
      </c>
      <c r="S42" s="38" t="s">
        <v>9441</v>
      </c>
      <c r="T42" s="36" t="s">
        <v>9362</v>
      </c>
      <c r="U42" s="36" t="s">
        <v>9512</v>
      </c>
      <c r="V42" s="36" t="s">
        <v>9513</v>
      </c>
      <c r="W42" s="38" t="s">
        <v>3403</v>
      </c>
      <c r="X42" s="24"/>
      <c r="Y42" s="24"/>
      <c r="Z42" s="24"/>
      <c r="AA42" s="24"/>
      <c r="AB42" s="24"/>
      <c r="AC42" s="24"/>
    </row>
    <row r="43" ht="28.5" customHeight="1">
      <c r="A43" s="33" t="s">
        <v>9328</v>
      </c>
      <c r="B43" s="34">
        <v>42.0</v>
      </c>
      <c r="C43" s="35" t="s">
        <v>81</v>
      </c>
      <c r="D43" s="36" t="s">
        <v>2282</v>
      </c>
      <c r="E43" s="36" t="s">
        <v>2022</v>
      </c>
      <c r="F43" s="36" t="s">
        <v>9395</v>
      </c>
      <c r="G43" s="37">
        <v>2023.0</v>
      </c>
      <c r="H43" s="36" t="s">
        <v>9396</v>
      </c>
      <c r="I43" s="36" t="s">
        <v>15</v>
      </c>
      <c r="J43" s="38" t="s">
        <v>9362</v>
      </c>
      <c r="K43" s="36" t="s">
        <v>9356</v>
      </c>
      <c r="L43" s="36" t="s">
        <v>9356</v>
      </c>
      <c r="M43" s="36" t="s">
        <v>9357</v>
      </c>
      <c r="N43" s="36" t="s">
        <v>9358</v>
      </c>
      <c r="O43" s="39" t="s">
        <v>9450</v>
      </c>
      <c r="P43" s="36" t="s">
        <v>9374</v>
      </c>
      <c r="Q43" s="36" t="s">
        <v>9451</v>
      </c>
      <c r="R43" s="36" t="s">
        <v>3403</v>
      </c>
      <c r="S43" s="38" t="s">
        <v>3403</v>
      </c>
      <c r="T43" s="36" t="s">
        <v>9362</v>
      </c>
      <c r="U43" s="36" t="s">
        <v>9355</v>
      </c>
      <c r="V43" s="36" t="s">
        <v>3403</v>
      </c>
      <c r="W43" s="38" t="s">
        <v>9514</v>
      </c>
      <c r="X43" s="24"/>
      <c r="Y43" s="24"/>
      <c r="Z43" s="24"/>
      <c r="AA43" s="24"/>
      <c r="AB43" s="24"/>
      <c r="AC43" s="24"/>
    </row>
    <row r="44" ht="28.5" customHeight="1">
      <c r="A44" s="36"/>
      <c r="B44" s="38">
        <v>43.0</v>
      </c>
      <c r="C44" s="40" t="s">
        <v>9515</v>
      </c>
      <c r="D44" s="36" t="s">
        <v>3423</v>
      </c>
      <c r="E44" s="36" t="s">
        <v>3424</v>
      </c>
      <c r="F44" s="36" t="s">
        <v>9516</v>
      </c>
      <c r="G44" s="37">
        <v>2023.0</v>
      </c>
      <c r="H44" s="36" t="s">
        <v>4118</v>
      </c>
      <c r="I44" s="36" t="s">
        <v>9354</v>
      </c>
      <c r="J44" s="38" t="s">
        <v>9362</v>
      </c>
      <c r="K44" s="36" t="s">
        <v>9380</v>
      </c>
      <c r="L44" s="36" t="s">
        <v>9381</v>
      </c>
      <c r="M44" s="36" t="s">
        <v>9357</v>
      </c>
      <c r="N44" s="36" t="s">
        <v>9358</v>
      </c>
      <c r="O44" s="39" t="s">
        <v>9359</v>
      </c>
      <c r="P44" s="36" t="s">
        <v>9360</v>
      </c>
      <c r="Q44" s="36" t="s">
        <v>3403</v>
      </c>
      <c r="R44" s="36" t="s">
        <v>9361</v>
      </c>
      <c r="S44" s="38" t="s">
        <v>9441</v>
      </c>
      <c r="T44" s="36" t="s">
        <v>9362</v>
      </c>
      <c r="U44" s="36" t="s">
        <v>9355</v>
      </c>
      <c r="V44" s="36" t="s">
        <v>3403</v>
      </c>
      <c r="W44" s="38" t="s">
        <v>9517</v>
      </c>
      <c r="X44" s="24"/>
      <c r="Y44" s="24"/>
      <c r="Z44" s="24"/>
      <c r="AA44" s="24"/>
      <c r="AB44" s="24"/>
      <c r="AC44" s="24"/>
    </row>
    <row r="45" ht="28.5" customHeight="1">
      <c r="A45" s="33" t="s">
        <v>9328</v>
      </c>
      <c r="B45" s="34">
        <v>44.0</v>
      </c>
      <c r="C45" s="35" t="s">
        <v>122</v>
      </c>
      <c r="D45" s="36" t="s">
        <v>3413</v>
      </c>
      <c r="E45" s="36" t="s">
        <v>124</v>
      </c>
      <c r="F45" s="36"/>
      <c r="G45" s="37">
        <v>2023.0</v>
      </c>
      <c r="H45" s="36" t="s">
        <v>4118</v>
      </c>
      <c r="I45" s="36" t="s">
        <v>3416</v>
      </c>
      <c r="J45" s="38" t="s">
        <v>9362</v>
      </c>
      <c r="K45" s="36" t="s">
        <v>9356</v>
      </c>
      <c r="L45" s="36" t="s">
        <v>9356</v>
      </c>
      <c r="M45" s="36" t="s">
        <v>9357</v>
      </c>
      <c r="N45" s="36" t="s">
        <v>9358</v>
      </c>
      <c r="O45" s="39" t="s">
        <v>9359</v>
      </c>
      <c r="P45" s="36" t="s">
        <v>9374</v>
      </c>
      <c r="Q45" s="36" t="s">
        <v>3403</v>
      </c>
      <c r="R45" s="36" t="s">
        <v>9425</v>
      </c>
      <c r="S45" s="38" t="s">
        <v>3403</v>
      </c>
      <c r="T45" s="36" t="s">
        <v>9362</v>
      </c>
      <c r="U45" s="36" t="s">
        <v>9355</v>
      </c>
      <c r="V45" s="36" t="s">
        <v>3403</v>
      </c>
      <c r="W45" s="38" t="s">
        <v>9518</v>
      </c>
      <c r="X45" s="24"/>
      <c r="Y45" s="24"/>
      <c r="Z45" s="24"/>
      <c r="AA45" s="24"/>
      <c r="AB45" s="24"/>
      <c r="AC45" s="24"/>
    </row>
    <row r="46" ht="58.5" customHeight="1">
      <c r="A46" s="36"/>
      <c r="B46" s="38">
        <v>45.0</v>
      </c>
      <c r="C46" s="40" t="s">
        <v>366</v>
      </c>
      <c r="D46" s="36" t="s">
        <v>1984</v>
      </c>
      <c r="E46" s="36" t="s">
        <v>1985</v>
      </c>
      <c r="F46" s="36" t="s">
        <v>9519</v>
      </c>
      <c r="G46" s="37">
        <v>2023.0</v>
      </c>
      <c r="H46" s="36" t="s">
        <v>1974</v>
      </c>
      <c r="I46" s="36" t="s">
        <v>15</v>
      </c>
      <c r="J46" s="38"/>
      <c r="K46" s="36" t="s">
        <v>9380</v>
      </c>
      <c r="L46" s="36" t="s">
        <v>9381</v>
      </c>
      <c r="M46" s="36" t="s">
        <v>9445</v>
      </c>
      <c r="N46" s="36" t="s">
        <v>9372</v>
      </c>
      <c r="O46" s="39" t="s">
        <v>9373</v>
      </c>
      <c r="P46" s="36" t="s">
        <v>9374</v>
      </c>
      <c r="Q46" s="36" t="s">
        <v>9520</v>
      </c>
      <c r="R46" s="36" t="s">
        <v>9521</v>
      </c>
      <c r="S46" s="38" t="s">
        <v>9522</v>
      </c>
      <c r="T46" s="36" t="s">
        <v>9362</v>
      </c>
      <c r="U46" s="36" t="s">
        <v>9355</v>
      </c>
      <c r="V46" s="36" t="s">
        <v>9523</v>
      </c>
      <c r="W46" s="38" t="s">
        <v>9523</v>
      </c>
      <c r="X46" s="44"/>
      <c r="Y46" s="24"/>
      <c r="Z46" s="24"/>
      <c r="AA46" s="24"/>
      <c r="AB46" s="24"/>
      <c r="AC46" s="24"/>
    </row>
    <row r="47" ht="55.5" customHeight="1">
      <c r="A47" s="36"/>
      <c r="B47" s="38">
        <v>46.0</v>
      </c>
      <c r="C47" s="40" t="s">
        <v>2015</v>
      </c>
      <c r="D47" s="36" t="s">
        <v>2016</v>
      </c>
      <c r="E47" s="36" t="s">
        <v>2017</v>
      </c>
      <c r="F47" s="36" t="s">
        <v>9524</v>
      </c>
      <c r="G47" s="37">
        <v>2023.0</v>
      </c>
      <c r="H47" s="36" t="s">
        <v>1974</v>
      </c>
      <c r="I47" s="36" t="s">
        <v>15</v>
      </c>
      <c r="J47" s="38"/>
      <c r="K47" s="36" t="s">
        <v>9380</v>
      </c>
      <c r="L47" s="36" t="s">
        <v>9381</v>
      </c>
      <c r="M47" s="36" t="s">
        <v>9357</v>
      </c>
      <c r="N47" s="36" t="s">
        <v>9372</v>
      </c>
      <c r="O47" s="39" t="s">
        <v>9450</v>
      </c>
      <c r="P47" s="36" t="s">
        <v>9374</v>
      </c>
      <c r="Q47" s="36" t="s">
        <v>9451</v>
      </c>
      <c r="R47" s="36" t="s">
        <v>3403</v>
      </c>
      <c r="S47" s="38" t="s">
        <v>3403</v>
      </c>
      <c r="T47" s="36" t="s">
        <v>9362</v>
      </c>
      <c r="U47" s="36" t="s">
        <v>9355</v>
      </c>
      <c r="V47" s="36" t="s">
        <v>9525</v>
      </c>
      <c r="W47" s="38" t="s">
        <v>9526</v>
      </c>
      <c r="X47" s="24"/>
      <c r="Y47" s="24"/>
      <c r="Z47" s="24"/>
      <c r="AA47" s="24"/>
      <c r="AB47" s="24"/>
      <c r="AC47" s="24"/>
    </row>
    <row r="48" ht="55.5" customHeight="1">
      <c r="A48" s="36"/>
      <c r="B48" s="38">
        <v>47.0</v>
      </c>
      <c r="C48" s="40" t="s">
        <v>2033</v>
      </c>
      <c r="D48" s="36" t="s">
        <v>2034</v>
      </c>
      <c r="E48" s="36" t="s">
        <v>2035</v>
      </c>
      <c r="F48" s="1" t="s">
        <v>9395</v>
      </c>
      <c r="G48" s="37">
        <v>2020.0</v>
      </c>
      <c r="H48" s="36" t="s">
        <v>1974</v>
      </c>
      <c r="I48" s="36" t="s">
        <v>15</v>
      </c>
      <c r="J48" s="38"/>
      <c r="K48" s="36" t="s">
        <v>9527</v>
      </c>
      <c r="L48" s="36" t="s">
        <v>9392</v>
      </c>
      <c r="M48" s="36" t="s">
        <v>9357</v>
      </c>
      <c r="N48" s="36" t="s">
        <v>9358</v>
      </c>
      <c r="O48" s="39" t="s">
        <v>9359</v>
      </c>
      <c r="P48" s="36" t="s">
        <v>9360</v>
      </c>
      <c r="Q48" s="45" t="s">
        <v>3403</v>
      </c>
      <c r="R48" s="45" t="s">
        <v>3403</v>
      </c>
      <c r="S48" s="46" t="s">
        <v>3403</v>
      </c>
      <c r="T48" s="36" t="s">
        <v>9362</v>
      </c>
      <c r="U48" s="36" t="s">
        <v>9355</v>
      </c>
      <c r="V48" s="36" t="s">
        <v>3403</v>
      </c>
      <c r="W48" s="38" t="s">
        <v>9528</v>
      </c>
      <c r="X48" s="24"/>
      <c r="Y48" s="24"/>
      <c r="Z48" s="24"/>
      <c r="AA48" s="24"/>
      <c r="AB48" s="24"/>
      <c r="AC48" s="24"/>
    </row>
    <row r="49" ht="28.5" customHeight="1">
      <c r="A49" s="33" t="s">
        <v>9328</v>
      </c>
      <c r="B49" s="34">
        <v>48.0</v>
      </c>
      <c r="C49" s="35" t="s">
        <v>2092</v>
      </c>
      <c r="D49" s="36" t="s">
        <v>2093</v>
      </c>
      <c r="E49" s="36" t="s">
        <v>2094</v>
      </c>
      <c r="F49" s="36" t="s">
        <v>9488</v>
      </c>
      <c r="G49" s="37">
        <v>2015.0</v>
      </c>
      <c r="H49" s="36" t="s">
        <v>1974</v>
      </c>
      <c r="I49" s="36" t="s">
        <v>15</v>
      </c>
      <c r="J49" s="38"/>
      <c r="K49" s="36" t="s">
        <v>9527</v>
      </c>
      <c r="L49" s="36" t="s">
        <v>9392</v>
      </c>
      <c r="M49" s="36" t="s">
        <v>9357</v>
      </c>
      <c r="N49" s="36" t="s">
        <v>9358</v>
      </c>
      <c r="O49" s="39" t="s">
        <v>9529</v>
      </c>
      <c r="P49" s="36" t="s">
        <v>9374</v>
      </c>
      <c r="Q49" s="36" t="s">
        <v>3403</v>
      </c>
      <c r="R49" s="36" t="s">
        <v>9361</v>
      </c>
      <c r="S49" s="38" t="s">
        <v>3403</v>
      </c>
      <c r="T49" s="36" t="s">
        <v>9362</v>
      </c>
      <c r="U49" s="36" t="s">
        <v>9355</v>
      </c>
      <c r="V49" s="36" t="s">
        <v>3403</v>
      </c>
      <c r="W49" s="38" t="s">
        <v>9530</v>
      </c>
      <c r="X49" s="24"/>
      <c r="Y49" s="24"/>
      <c r="Z49" s="24"/>
      <c r="AA49" s="24"/>
      <c r="AB49" s="24"/>
      <c r="AC49" s="24"/>
    </row>
    <row r="50" ht="28.5" customHeight="1">
      <c r="A50" s="36"/>
      <c r="B50" s="38">
        <v>50.0</v>
      </c>
      <c r="C50" s="40" t="s">
        <v>2155</v>
      </c>
      <c r="D50" s="36" t="s">
        <v>2156</v>
      </c>
      <c r="E50" s="36" t="s">
        <v>2157</v>
      </c>
      <c r="F50" s="36" t="s">
        <v>9531</v>
      </c>
      <c r="G50" s="37">
        <v>2022.0</v>
      </c>
      <c r="H50" s="36" t="s">
        <v>1974</v>
      </c>
      <c r="I50" s="36" t="s">
        <v>15</v>
      </c>
      <c r="J50" s="38"/>
      <c r="K50" s="36" t="s">
        <v>9380</v>
      </c>
      <c r="L50" s="36" t="s">
        <v>9381</v>
      </c>
      <c r="M50" s="36" t="s">
        <v>9357</v>
      </c>
      <c r="N50" s="36" t="s">
        <v>9372</v>
      </c>
      <c r="O50" s="39" t="s">
        <v>9450</v>
      </c>
      <c r="P50" s="36" t="s">
        <v>9360</v>
      </c>
      <c r="Q50" s="36" t="s">
        <v>9532</v>
      </c>
      <c r="R50" s="36" t="s">
        <v>3403</v>
      </c>
      <c r="S50" s="38" t="s">
        <v>3403</v>
      </c>
      <c r="T50" s="36" t="s">
        <v>9362</v>
      </c>
      <c r="U50" s="36" t="s">
        <v>9355</v>
      </c>
      <c r="V50" s="36" t="s">
        <v>9472</v>
      </c>
      <c r="W50" s="38" t="s">
        <v>9472</v>
      </c>
      <c r="X50" s="24"/>
      <c r="Y50" s="24"/>
      <c r="Z50" s="24"/>
      <c r="AA50" s="24"/>
      <c r="AB50" s="24"/>
      <c r="AC50" s="24"/>
    </row>
    <row r="51" ht="28.5" customHeight="1">
      <c r="A51" s="36"/>
      <c r="B51" s="38">
        <v>51.0</v>
      </c>
      <c r="C51" s="40" t="s">
        <v>2168</v>
      </c>
      <c r="D51" s="45" t="s">
        <v>2169</v>
      </c>
      <c r="E51" s="45" t="s">
        <v>2012</v>
      </c>
      <c r="F51" s="45" t="s">
        <v>9395</v>
      </c>
      <c r="G51" s="47">
        <v>2022.0</v>
      </c>
      <c r="H51" s="45" t="s">
        <v>1974</v>
      </c>
      <c r="I51" s="45" t="s">
        <v>15</v>
      </c>
      <c r="J51" s="46"/>
      <c r="K51" s="36" t="s">
        <v>9533</v>
      </c>
      <c r="L51" s="36" t="s">
        <v>9392</v>
      </c>
      <c r="M51" s="45" t="s">
        <v>9534</v>
      </c>
      <c r="N51" s="36" t="s">
        <v>9358</v>
      </c>
      <c r="O51" s="39" t="s">
        <v>9529</v>
      </c>
      <c r="P51" s="36" t="s">
        <v>9374</v>
      </c>
      <c r="Q51" s="36" t="s">
        <v>3403</v>
      </c>
      <c r="R51" s="36" t="s">
        <v>9535</v>
      </c>
      <c r="S51" s="38" t="s">
        <v>3403</v>
      </c>
      <c r="T51" s="36" t="s">
        <v>9362</v>
      </c>
      <c r="U51" s="36" t="s">
        <v>9355</v>
      </c>
      <c r="V51" s="36" t="s">
        <v>9536</v>
      </c>
      <c r="W51" s="38" t="s">
        <v>9514</v>
      </c>
      <c r="X51" s="24"/>
      <c r="Y51" s="24"/>
      <c r="Z51" s="24"/>
      <c r="AA51" s="24"/>
      <c r="AB51" s="24"/>
      <c r="AC51" s="24"/>
    </row>
    <row r="52" ht="28.5" customHeight="1">
      <c r="A52" s="36"/>
      <c r="B52" s="38">
        <v>52.0</v>
      </c>
      <c r="C52" s="40" t="s">
        <v>2215</v>
      </c>
      <c r="D52" s="36" t="s">
        <v>2216</v>
      </c>
      <c r="E52" s="36" t="s">
        <v>1382</v>
      </c>
      <c r="F52" s="36"/>
      <c r="G52" s="37">
        <v>2024.0</v>
      </c>
      <c r="H52" s="36" t="s">
        <v>1974</v>
      </c>
      <c r="I52" s="36" t="s">
        <v>3416</v>
      </c>
      <c r="J52" s="38"/>
      <c r="K52" s="36" t="s">
        <v>9537</v>
      </c>
      <c r="L52" s="36" t="s">
        <v>9356</v>
      </c>
      <c r="M52" s="36" t="s">
        <v>9538</v>
      </c>
      <c r="N52" s="36" t="s">
        <v>9358</v>
      </c>
      <c r="O52" s="39" t="s">
        <v>9529</v>
      </c>
      <c r="P52" s="36" t="s">
        <v>9374</v>
      </c>
      <c r="Q52" s="36" t="s">
        <v>3403</v>
      </c>
      <c r="R52" s="36" t="s">
        <v>9535</v>
      </c>
      <c r="S52" s="38" t="s">
        <v>9539</v>
      </c>
      <c r="T52" s="36" t="s">
        <v>9362</v>
      </c>
      <c r="U52" s="36" t="s">
        <v>9355</v>
      </c>
      <c r="V52" s="36" t="s">
        <v>9479</v>
      </c>
      <c r="W52" s="38" t="s">
        <v>9540</v>
      </c>
      <c r="X52" s="24"/>
      <c r="Y52" s="24"/>
      <c r="Z52" s="24"/>
      <c r="AA52" s="24"/>
      <c r="AB52" s="24"/>
      <c r="AC52" s="24"/>
    </row>
    <row r="53" ht="28.5" customHeight="1">
      <c r="A53" s="36"/>
      <c r="B53" s="38">
        <v>53.0</v>
      </c>
      <c r="C53" s="40" t="s">
        <v>2236</v>
      </c>
      <c r="D53" s="36" t="s">
        <v>2237</v>
      </c>
      <c r="E53" s="36" t="s">
        <v>1382</v>
      </c>
      <c r="F53" s="36"/>
      <c r="G53" s="37">
        <v>2023.0</v>
      </c>
      <c r="H53" s="36" t="s">
        <v>1974</v>
      </c>
      <c r="I53" s="36" t="s">
        <v>3416</v>
      </c>
      <c r="J53" s="38"/>
      <c r="K53" s="36" t="s">
        <v>9356</v>
      </c>
      <c r="L53" s="36" t="s">
        <v>9356</v>
      </c>
      <c r="M53" s="36" t="s">
        <v>9538</v>
      </c>
      <c r="N53" s="36" t="s">
        <v>9358</v>
      </c>
      <c r="O53" s="39" t="s">
        <v>9359</v>
      </c>
      <c r="P53" s="36" t="s">
        <v>9541</v>
      </c>
      <c r="Q53" s="36" t="s">
        <v>3403</v>
      </c>
      <c r="R53" s="36" t="s">
        <v>3403</v>
      </c>
      <c r="S53" s="38" t="s">
        <v>9542</v>
      </c>
      <c r="T53" s="36" t="s">
        <v>9362</v>
      </c>
      <c r="U53" s="36" t="s">
        <v>9355</v>
      </c>
      <c r="V53" s="36" t="s">
        <v>9479</v>
      </c>
      <c r="W53" s="38" t="s">
        <v>9543</v>
      </c>
      <c r="X53" s="24"/>
      <c r="Y53" s="24"/>
      <c r="Z53" s="24"/>
      <c r="AA53" s="24"/>
      <c r="AB53" s="24"/>
      <c r="AC53" s="24"/>
    </row>
    <row r="54" ht="28.5" customHeight="1">
      <c r="A54" s="36"/>
      <c r="B54" s="38">
        <v>54.0</v>
      </c>
      <c r="C54" s="40" t="s">
        <v>2302</v>
      </c>
      <c r="D54" s="45" t="s">
        <v>2303</v>
      </c>
      <c r="E54" s="45" t="s">
        <v>1985</v>
      </c>
      <c r="F54" s="45" t="s">
        <v>9519</v>
      </c>
      <c r="G54" s="47">
        <v>2023.0</v>
      </c>
      <c r="H54" s="45" t="s">
        <v>1974</v>
      </c>
      <c r="I54" s="45" t="s">
        <v>15</v>
      </c>
      <c r="J54" s="46"/>
      <c r="K54" s="36" t="s">
        <v>9356</v>
      </c>
      <c r="L54" s="36" t="s">
        <v>9356</v>
      </c>
      <c r="M54" s="45" t="s">
        <v>9357</v>
      </c>
      <c r="N54" s="36" t="s">
        <v>9358</v>
      </c>
      <c r="O54" s="39" t="s">
        <v>9373</v>
      </c>
      <c r="P54" s="36" t="s">
        <v>9374</v>
      </c>
      <c r="Q54" s="36" t="s">
        <v>9544</v>
      </c>
      <c r="R54" s="36" t="s">
        <v>9502</v>
      </c>
      <c r="S54" s="48" t="s">
        <v>3403</v>
      </c>
      <c r="T54" s="36" t="s">
        <v>9362</v>
      </c>
      <c r="U54" s="36" t="s">
        <v>9355</v>
      </c>
      <c r="V54" s="36" t="s">
        <v>3403</v>
      </c>
      <c r="W54" s="38" t="s">
        <v>9514</v>
      </c>
      <c r="X54" s="24"/>
      <c r="Y54" s="24"/>
      <c r="Z54" s="24"/>
      <c r="AA54" s="24"/>
      <c r="AB54" s="24"/>
      <c r="AC54" s="24"/>
    </row>
    <row r="55" ht="28.5" customHeight="1">
      <c r="A55" s="36"/>
      <c r="B55" s="38">
        <v>55.0</v>
      </c>
      <c r="C55" s="40" t="s">
        <v>2326</v>
      </c>
      <c r="D55" s="36" t="s">
        <v>2327</v>
      </c>
      <c r="E55" s="36" t="s">
        <v>738</v>
      </c>
      <c r="F55" s="36"/>
      <c r="G55" s="37">
        <v>2019.0</v>
      </c>
      <c r="H55" s="36" t="s">
        <v>1974</v>
      </c>
      <c r="I55" s="36" t="s">
        <v>3416</v>
      </c>
      <c r="J55" s="38"/>
      <c r="K55" s="36" t="s">
        <v>9545</v>
      </c>
      <c r="L55" s="36" t="s">
        <v>9381</v>
      </c>
      <c r="M55" s="36" t="s">
        <v>9445</v>
      </c>
      <c r="N55" s="36" t="s">
        <v>9500</v>
      </c>
      <c r="O55" s="39" t="s">
        <v>9359</v>
      </c>
      <c r="P55" s="36" t="s">
        <v>9360</v>
      </c>
      <c r="Q55" s="36" t="s">
        <v>3403</v>
      </c>
      <c r="R55" s="36" t="s">
        <v>3403</v>
      </c>
      <c r="S55" s="38" t="s">
        <v>3403</v>
      </c>
      <c r="T55" s="36" t="s">
        <v>9362</v>
      </c>
      <c r="U55" s="36" t="s">
        <v>9355</v>
      </c>
      <c r="V55" s="36" t="s">
        <v>9546</v>
      </c>
      <c r="W55" s="38" t="s">
        <v>3403</v>
      </c>
      <c r="X55" s="24"/>
      <c r="Y55" s="24"/>
      <c r="Z55" s="24"/>
      <c r="AA55" s="24"/>
      <c r="AB55" s="24"/>
      <c r="AC55" s="24"/>
    </row>
    <row r="56" ht="28.5" customHeight="1">
      <c r="A56" s="36"/>
      <c r="B56" s="38">
        <v>56.0</v>
      </c>
      <c r="C56" s="40" t="s">
        <v>2340</v>
      </c>
      <c r="D56" s="36" t="s">
        <v>2341</v>
      </c>
      <c r="E56" s="36" t="s">
        <v>2342</v>
      </c>
      <c r="F56" s="36" t="s">
        <v>9547</v>
      </c>
      <c r="G56" s="37">
        <v>2016.0</v>
      </c>
      <c r="H56" s="36" t="s">
        <v>1974</v>
      </c>
      <c r="I56" s="36" t="s">
        <v>15</v>
      </c>
      <c r="J56" s="38"/>
      <c r="K56" s="36" t="s">
        <v>9548</v>
      </c>
      <c r="L56" s="36" t="s">
        <v>9392</v>
      </c>
      <c r="M56" s="36" t="s">
        <v>9549</v>
      </c>
      <c r="N56" s="36" t="s">
        <v>9358</v>
      </c>
      <c r="O56" s="39" t="s">
        <v>9359</v>
      </c>
      <c r="P56" s="36" t="s">
        <v>9360</v>
      </c>
      <c r="Q56" s="36" t="s">
        <v>3403</v>
      </c>
      <c r="R56" s="36" t="s">
        <v>3403</v>
      </c>
      <c r="S56" s="38" t="s">
        <v>3403</v>
      </c>
      <c r="T56" s="36" t="s">
        <v>9362</v>
      </c>
      <c r="U56" s="36" t="s">
        <v>9355</v>
      </c>
      <c r="V56" s="36" t="s">
        <v>3403</v>
      </c>
      <c r="W56" s="38" t="s">
        <v>3403</v>
      </c>
      <c r="X56" s="24"/>
      <c r="Y56" s="24"/>
      <c r="Z56" s="24"/>
      <c r="AA56" s="24"/>
      <c r="AB56" s="24"/>
      <c r="AC56" s="24"/>
    </row>
    <row r="57" ht="28.5" customHeight="1">
      <c r="A57" s="36"/>
      <c r="B57" s="38">
        <v>57.0</v>
      </c>
      <c r="C57" s="40" t="s">
        <v>2544</v>
      </c>
      <c r="D57" s="36" t="s">
        <v>2545</v>
      </c>
      <c r="E57" s="36" t="s">
        <v>2546</v>
      </c>
      <c r="F57" s="36" t="s">
        <v>9550</v>
      </c>
      <c r="G57" s="37">
        <v>2018.0</v>
      </c>
      <c r="H57" s="36" t="s">
        <v>1974</v>
      </c>
      <c r="I57" s="36" t="s">
        <v>15</v>
      </c>
      <c r="J57" s="38"/>
      <c r="K57" s="36" t="s">
        <v>9545</v>
      </c>
      <c r="L57" s="36" t="s">
        <v>9381</v>
      </c>
      <c r="M57" s="36" t="s">
        <v>9549</v>
      </c>
      <c r="N57" s="36" t="s">
        <v>9500</v>
      </c>
      <c r="O57" s="39" t="s">
        <v>9450</v>
      </c>
      <c r="P57" s="36" t="s">
        <v>9360</v>
      </c>
      <c r="Q57" s="36" t="s">
        <v>9532</v>
      </c>
      <c r="R57" s="36" t="s">
        <v>3403</v>
      </c>
      <c r="S57" s="38" t="s">
        <v>3403</v>
      </c>
      <c r="T57" s="36" t="s">
        <v>9362</v>
      </c>
      <c r="U57" s="36" t="s">
        <v>9362</v>
      </c>
      <c r="V57" s="36" t="s">
        <v>9472</v>
      </c>
      <c r="W57" s="38" t="s">
        <v>9472</v>
      </c>
      <c r="X57" s="24"/>
      <c r="Y57" s="24"/>
      <c r="Z57" s="24"/>
      <c r="AA57" s="24"/>
      <c r="AB57" s="24"/>
      <c r="AC57" s="24"/>
    </row>
    <row r="58" ht="28.5" customHeight="1">
      <c r="A58" s="36"/>
      <c r="B58" s="38">
        <v>58.0</v>
      </c>
      <c r="C58" s="40" t="s">
        <v>1227</v>
      </c>
      <c r="D58" s="36" t="s">
        <v>2549</v>
      </c>
      <c r="E58" s="36" t="s">
        <v>738</v>
      </c>
      <c r="F58" s="36"/>
      <c r="G58" s="37">
        <v>2018.0</v>
      </c>
      <c r="H58" s="36" t="s">
        <v>1974</v>
      </c>
      <c r="I58" s="36" t="s">
        <v>3416</v>
      </c>
      <c r="J58" s="38"/>
      <c r="K58" s="36" t="s">
        <v>9414</v>
      </c>
      <c r="L58" s="36" t="s">
        <v>9404</v>
      </c>
      <c r="M58" s="36" t="s">
        <v>9445</v>
      </c>
      <c r="N58" s="36" t="s">
        <v>9372</v>
      </c>
      <c r="O58" s="39" t="s">
        <v>9359</v>
      </c>
      <c r="P58" s="36" t="s">
        <v>9551</v>
      </c>
      <c r="Q58" s="36" t="s">
        <v>3403</v>
      </c>
      <c r="R58" s="36" t="s">
        <v>3403</v>
      </c>
      <c r="S58" s="38" t="s">
        <v>3403</v>
      </c>
      <c r="T58" s="36" t="s">
        <v>9362</v>
      </c>
      <c r="U58" s="36" t="s">
        <v>9355</v>
      </c>
      <c r="V58" s="36" t="s">
        <v>9474</v>
      </c>
      <c r="W58" s="38" t="s">
        <v>9474</v>
      </c>
      <c r="X58" s="24"/>
      <c r="Y58" s="24"/>
      <c r="Z58" s="24"/>
      <c r="AA58" s="24"/>
      <c r="AB58" s="24"/>
      <c r="AC58" s="24"/>
    </row>
    <row r="59" ht="28.5" customHeight="1">
      <c r="A59" s="36"/>
      <c r="B59" s="38">
        <v>59.0</v>
      </c>
      <c r="C59" s="40" t="s">
        <v>2804</v>
      </c>
      <c r="D59" s="36" t="s">
        <v>2805</v>
      </c>
      <c r="E59" s="36" t="s">
        <v>2012</v>
      </c>
      <c r="F59" s="36" t="s">
        <v>9395</v>
      </c>
      <c r="G59" s="37">
        <v>2022.0</v>
      </c>
      <c r="H59" s="36" t="s">
        <v>1974</v>
      </c>
      <c r="I59" s="36" t="s">
        <v>15</v>
      </c>
      <c r="J59" s="38"/>
      <c r="K59" s="36" t="s">
        <v>9527</v>
      </c>
      <c r="L59" s="36" t="s">
        <v>9552</v>
      </c>
      <c r="M59" s="36" t="s">
        <v>9357</v>
      </c>
      <c r="N59" s="36" t="s">
        <v>9553</v>
      </c>
      <c r="O59" s="39" t="s">
        <v>9359</v>
      </c>
      <c r="P59" s="36" t="s">
        <v>9360</v>
      </c>
      <c r="Q59" s="36" t="s">
        <v>3403</v>
      </c>
      <c r="R59" s="36" t="s">
        <v>3403</v>
      </c>
      <c r="S59" s="38" t="s">
        <v>3403</v>
      </c>
      <c r="T59" s="36" t="s">
        <v>9362</v>
      </c>
      <c r="U59" s="36" t="s">
        <v>9355</v>
      </c>
      <c r="V59" s="36" t="s">
        <v>3403</v>
      </c>
      <c r="W59" s="38" t="s">
        <v>3403</v>
      </c>
      <c r="X59" s="24"/>
      <c r="Y59" s="24"/>
      <c r="Z59" s="24"/>
      <c r="AA59" s="24"/>
      <c r="AB59" s="24"/>
      <c r="AC59" s="24"/>
    </row>
    <row r="60" ht="28.5" customHeight="1">
      <c r="A60" s="36"/>
      <c r="B60" s="38">
        <v>60.0</v>
      </c>
      <c r="C60" s="40" t="s">
        <v>3053</v>
      </c>
      <c r="D60" s="36" t="s">
        <v>3054</v>
      </c>
      <c r="E60" s="36" t="s">
        <v>2022</v>
      </c>
      <c r="F60" s="36" t="s">
        <v>9395</v>
      </c>
      <c r="G60" s="37">
        <v>2023.0</v>
      </c>
      <c r="H60" s="36" t="s">
        <v>1974</v>
      </c>
      <c r="I60" s="36" t="s">
        <v>15</v>
      </c>
      <c r="J60" s="38"/>
      <c r="K60" s="36" t="s">
        <v>9370</v>
      </c>
      <c r="L60" s="36" t="s">
        <v>9371</v>
      </c>
      <c r="M60" s="36" t="s">
        <v>9554</v>
      </c>
      <c r="N60" s="36" t="s">
        <v>9553</v>
      </c>
      <c r="O60" s="39" t="s">
        <v>9359</v>
      </c>
      <c r="P60" s="36" t="s">
        <v>9374</v>
      </c>
      <c r="Q60" s="36" t="s">
        <v>3403</v>
      </c>
      <c r="R60" s="36" t="s">
        <v>9361</v>
      </c>
      <c r="S60" s="38" t="s">
        <v>3403</v>
      </c>
      <c r="T60" s="36" t="s">
        <v>9362</v>
      </c>
      <c r="U60" s="36" t="s">
        <v>9355</v>
      </c>
      <c r="V60" s="36" t="s">
        <v>3403</v>
      </c>
      <c r="W60" s="38" t="s">
        <v>3403</v>
      </c>
      <c r="X60" s="24"/>
      <c r="Y60" s="24"/>
      <c r="Z60" s="24"/>
      <c r="AA60" s="24"/>
      <c r="AB60" s="24"/>
      <c r="AC60" s="24"/>
    </row>
    <row r="61" ht="28.5" customHeight="1">
      <c r="A61" s="36"/>
      <c r="B61" s="38">
        <v>61.0</v>
      </c>
      <c r="C61" s="40" t="s">
        <v>160</v>
      </c>
      <c r="D61" s="36" t="s">
        <v>161</v>
      </c>
      <c r="E61" s="36" t="s">
        <v>162</v>
      </c>
      <c r="F61" s="36"/>
      <c r="G61" s="37">
        <v>2024.0</v>
      </c>
      <c r="H61" s="36" t="s">
        <v>14</v>
      </c>
      <c r="I61" s="36" t="s">
        <v>3416</v>
      </c>
      <c r="J61" s="38"/>
      <c r="K61" s="36" t="s">
        <v>9545</v>
      </c>
      <c r="L61" s="36" t="s">
        <v>9381</v>
      </c>
      <c r="M61" s="36" t="s">
        <v>9357</v>
      </c>
      <c r="N61" s="36" t="s">
        <v>9372</v>
      </c>
      <c r="O61" s="39" t="s">
        <v>9359</v>
      </c>
      <c r="P61" s="36" t="s">
        <v>9360</v>
      </c>
      <c r="Q61" s="36" t="s">
        <v>3403</v>
      </c>
      <c r="R61" s="36" t="s">
        <v>3403</v>
      </c>
      <c r="S61" s="38" t="s">
        <v>3403</v>
      </c>
      <c r="T61" s="36" t="s">
        <v>9362</v>
      </c>
      <c r="U61" s="36" t="s">
        <v>9355</v>
      </c>
      <c r="V61" s="36" t="s">
        <v>9555</v>
      </c>
      <c r="W61" s="38" t="s">
        <v>9556</v>
      </c>
      <c r="X61" s="24"/>
      <c r="Y61" s="24"/>
      <c r="Z61" s="24"/>
      <c r="AA61" s="24"/>
      <c r="AB61" s="24"/>
      <c r="AC61" s="24"/>
    </row>
    <row r="62" ht="28.5" customHeight="1">
      <c r="A62" s="36"/>
      <c r="B62" s="38">
        <v>62.0</v>
      </c>
      <c r="C62" s="40" t="s">
        <v>224</v>
      </c>
      <c r="D62" s="36" t="s">
        <v>225</v>
      </c>
      <c r="E62" s="36" t="s">
        <v>226</v>
      </c>
      <c r="F62" s="36" t="s">
        <v>9466</v>
      </c>
      <c r="G62" s="37">
        <v>2022.0</v>
      </c>
      <c r="H62" s="36" t="s">
        <v>14</v>
      </c>
      <c r="I62" s="36" t="s">
        <v>15</v>
      </c>
      <c r="J62" s="38"/>
      <c r="K62" s="36" t="s">
        <v>9557</v>
      </c>
      <c r="L62" s="36" t="s">
        <v>9558</v>
      </c>
      <c r="M62" s="36" t="s">
        <v>9538</v>
      </c>
      <c r="N62" s="36" t="s">
        <v>9358</v>
      </c>
      <c r="O62" s="39" t="s">
        <v>9359</v>
      </c>
      <c r="P62" s="36" t="s">
        <v>9360</v>
      </c>
      <c r="Q62" s="36" t="s">
        <v>3403</v>
      </c>
      <c r="R62" s="36" t="s">
        <v>9361</v>
      </c>
      <c r="S62" s="38" t="s">
        <v>3403</v>
      </c>
      <c r="T62" s="36" t="s">
        <v>9362</v>
      </c>
      <c r="U62" s="36" t="s">
        <v>9355</v>
      </c>
      <c r="V62" s="36" t="s">
        <v>9479</v>
      </c>
      <c r="W62" s="38" t="s">
        <v>9559</v>
      </c>
      <c r="X62" s="24"/>
      <c r="Y62" s="24"/>
      <c r="Z62" s="24"/>
      <c r="AA62" s="24"/>
      <c r="AB62" s="24"/>
      <c r="AC62" s="24"/>
    </row>
    <row r="63" ht="28.5" customHeight="1">
      <c r="A63" s="36"/>
      <c r="B63" s="38">
        <v>63.0</v>
      </c>
      <c r="C63" s="40" t="s">
        <v>807</v>
      </c>
      <c r="D63" s="36" t="s">
        <v>808</v>
      </c>
      <c r="E63" s="36" t="s">
        <v>292</v>
      </c>
      <c r="F63" s="36" t="s">
        <v>9378</v>
      </c>
      <c r="G63" s="37">
        <v>2020.0</v>
      </c>
      <c r="H63" s="36" t="s">
        <v>14</v>
      </c>
      <c r="I63" s="36" t="s">
        <v>15</v>
      </c>
      <c r="J63" s="38"/>
      <c r="K63" s="36" t="s">
        <v>9560</v>
      </c>
      <c r="L63" s="36" t="s">
        <v>9392</v>
      </c>
      <c r="M63" s="36" t="s">
        <v>9357</v>
      </c>
      <c r="N63" s="36" t="s">
        <v>9358</v>
      </c>
      <c r="O63" s="39" t="s">
        <v>9359</v>
      </c>
      <c r="P63" s="36" t="s">
        <v>9360</v>
      </c>
      <c r="Q63" s="36" t="s">
        <v>3403</v>
      </c>
      <c r="R63" s="36" t="s">
        <v>9361</v>
      </c>
      <c r="S63" s="38" t="s">
        <v>3403</v>
      </c>
      <c r="T63" s="36" t="s">
        <v>9362</v>
      </c>
      <c r="U63" s="36" t="s">
        <v>9355</v>
      </c>
      <c r="V63" s="36" t="s">
        <v>9523</v>
      </c>
      <c r="W63" s="38" t="s">
        <v>9523</v>
      </c>
      <c r="X63" s="24"/>
      <c r="Y63" s="24"/>
      <c r="Z63" s="24"/>
      <c r="AA63" s="24"/>
      <c r="AB63" s="24"/>
      <c r="AC63" s="24"/>
    </row>
    <row r="64" ht="28.5" customHeight="1">
      <c r="A64" s="36"/>
      <c r="B64" s="38">
        <v>64.0</v>
      </c>
      <c r="C64" s="40" t="s">
        <v>3427</v>
      </c>
      <c r="D64" s="36" t="s">
        <v>3428</v>
      </c>
      <c r="E64" s="36" t="s">
        <v>124</v>
      </c>
      <c r="F64" s="36"/>
      <c r="G64" s="37">
        <v>2024.0</v>
      </c>
      <c r="H64" s="36" t="s">
        <v>4118</v>
      </c>
      <c r="I64" s="36" t="s">
        <v>3416</v>
      </c>
      <c r="J64" s="38"/>
      <c r="K64" s="36" t="s">
        <v>9356</v>
      </c>
      <c r="L64" s="36" t="s">
        <v>9356</v>
      </c>
      <c r="M64" s="36" t="s">
        <v>9357</v>
      </c>
      <c r="N64" s="36" t="s">
        <v>9358</v>
      </c>
      <c r="O64" s="39" t="s">
        <v>9373</v>
      </c>
      <c r="P64" s="36" t="s">
        <v>9374</v>
      </c>
      <c r="Q64" s="36" t="s">
        <v>9561</v>
      </c>
      <c r="R64" s="36" t="s">
        <v>9477</v>
      </c>
      <c r="S64" s="38" t="s">
        <v>9562</v>
      </c>
      <c r="T64" s="36" t="s">
        <v>9362</v>
      </c>
      <c r="U64" s="36" t="s">
        <v>9355</v>
      </c>
      <c r="V64" s="36" t="s">
        <v>9479</v>
      </c>
      <c r="W64" s="38" t="s">
        <v>9480</v>
      </c>
      <c r="X64" s="24"/>
      <c r="Y64" s="24"/>
      <c r="Z64" s="24"/>
      <c r="AA64" s="24"/>
      <c r="AB64" s="24"/>
      <c r="AC64" s="24"/>
    </row>
    <row r="65" ht="28.5" customHeight="1">
      <c r="A65" s="36"/>
      <c r="B65" s="38">
        <v>65.0</v>
      </c>
      <c r="C65" s="40" t="s">
        <v>3562</v>
      </c>
      <c r="D65" s="36" t="s">
        <v>3563</v>
      </c>
      <c r="E65" s="36" t="s">
        <v>3440</v>
      </c>
      <c r="F65" s="36" t="s">
        <v>9395</v>
      </c>
      <c r="G65" s="37">
        <v>2024.0</v>
      </c>
      <c r="H65" s="36" t="s">
        <v>4118</v>
      </c>
      <c r="I65" s="36" t="s">
        <v>15</v>
      </c>
      <c r="J65" s="34"/>
      <c r="K65" s="36" t="s">
        <v>9563</v>
      </c>
      <c r="L65" s="36" t="s">
        <v>9356</v>
      </c>
      <c r="M65" s="36" t="s">
        <v>9365</v>
      </c>
      <c r="N65" s="36" t="s">
        <v>9358</v>
      </c>
      <c r="O65" s="39" t="s">
        <v>9359</v>
      </c>
      <c r="P65" s="36" t="s">
        <v>9374</v>
      </c>
      <c r="Q65" s="36" t="s">
        <v>3403</v>
      </c>
      <c r="R65" s="36" t="s">
        <v>9361</v>
      </c>
      <c r="S65" s="38" t="s">
        <v>3403</v>
      </c>
      <c r="T65" s="49" t="s">
        <v>9362</v>
      </c>
      <c r="U65" s="49" t="s">
        <v>9355</v>
      </c>
      <c r="V65" s="49" t="s">
        <v>3403</v>
      </c>
      <c r="W65" s="34" t="s">
        <v>9514</v>
      </c>
      <c r="X65" s="24"/>
      <c r="Y65" s="24"/>
      <c r="Z65" s="24"/>
      <c r="AA65" s="24"/>
      <c r="AB65" s="24"/>
      <c r="AC65" s="24"/>
    </row>
    <row r="66" ht="28.5" customHeight="1">
      <c r="A66" s="49"/>
      <c r="B66" s="38">
        <v>66.0</v>
      </c>
      <c r="C66" s="40" t="s">
        <v>2055</v>
      </c>
      <c r="D66" s="36" t="s">
        <v>2056</v>
      </c>
      <c r="E66" s="36" t="s">
        <v>2057</v>
      </c>
      <c r="F66" s="36" t="s">
        <v>9564</v>
      </c>
      <c r="G66" s="37">
        <v>2012.0</v>
      </c>
      <c r="H66" s="36" t="s">
        <v>1974</v>
      </c>
      <c r="I66" s="36" t="s">
        <v>15</v>
      </c>
      <c r="J66" s="34"/>
      <c r="K66" s="49" t="s">
        <v>9370</v>
      </c>
      <c r="L66" s="36" t="s">
        <v>9371</v>
      </c>
      <c r="M66" s="49" t="s">
        <v>9357</v>
      </c>
      <c r="N66" s="36" t="s">
        <v>9372</v>
      </c>
      <c r="O66" s="50" t="s">
        <v>9450</v>
      </c>
      <c r="P66" s="36" t="s">
        <v>9360</v>
      </c>
      <c r="Q66" s="49" t="s">
        <v>9501</v>
      </c>
      <c r="R66" s="49" t="s">
        <v>3403</v>
      </c>
      <c r="S66" s="38" t="s">
        <v>3403</v>
      </c>
      <c r="T66" s="49"/>
      <c r="U66" s="49"/>
      <c r="V66" s="49"/>
      <c r="W66" s="34"/>
      <c r="X66" s="51"/>
      <c r="Y66" s="51"/>
      <c r="Z66" s="51"/>
      <c r="AA66" s="51"/>
      <c r="AB66" s="51"/>
      <c r="AC66" s="51"/>
    </row>
    <row r="67" ht="28.5" customHeight="1">
      <c r="A67" s="49"/>
      <c r="B67" s="38">
        <v>67.0</v>
      </c>
      <c r="C67" s="40" t="s">
        <v>2113</v>
      </c>
      <c r="D67" s="36" t="s">
        <v>2114</v>
      </c>
      <c r="E67" s="36" t="s">
        <v>2115</v>
      </c>
      <c r="F67" s="36" t="s">
        <v>9565</v>
      </c>
      <c r="G67" s="37">
        <v>2014.0</v>
      </c>
      <c r="H67" s="36" t="s">
        <v>1974</v>
      </c>
      <c r="I67" s="36" t="s">
        <v>15</v>
      </c>
      <c r="J67" s="34"/>
      <c r="K67" s="49" t="s">
        <v>9414</v>
      </c>
      <c r="L67" s="36" t="s">
        <v>9404</v>
      </c>
      <c r="M67" s="49" t="s">
        <v>9357</v>
      </c>
      <c r="N67" s="36" t="s">
        <v>9372</v>
      </c>
      <c r="O67" s="50" t="s">
        <v>9373</v>
      </c>
      <c r="P67" s="36" t="s">
        <v>9360</v>
      </c>
      <c r="Q67" s="49" t="s">
        <v>9501</v>
      </c>
      <c r="R67" s="49" t="s">
        <v>9361</v>
      </c>
      <c r="S67" s="38" t="s">
        <v>3403</v>
      </c>
      <c r="T67" s="49" t="s">
        <v>9362</v>
      </c>
      <c r="U67" s="49" t="s">
        <v>9355</v>
      </c>
      <c r="V67" s="49" t="s">
        <v>9566</v>
      </c>
      <c r="W67" s="34" t="s">
        <v>9567</v>
      </c>
      <c r="X67" s="51"/>
      <c r="Y67" s="51"/>
      <c r="Z67" s="51"/>
      <c r="AA67" s="51"/>
      <c r="AB67" s="51"/>
      <c r="AC67" s="51"/>
    </row>
    <row r="68" ht="28.5" customHeight="1">
      <c r="A68" s="49"/>
      <c r="B68" s="38">
        <v>68.0</v>
      </c>
      <c r="C68" s="40" t="s">
        <v>1062</v>
      </c>
      <c r="D68" s="36" t="s">
        <v>2165</v>
      </c>
      <c r="E68" s="36" t="s">
        <v>2166</v>
      </c>
      <c r="F68" s="36" t="s">
        <v>9568</v>
      </c>
      <c r="G68" s="37">
        <v>2013.0</v>
      </c>
      <c r="H68" s="36" t="s">
        <v>1974</v>
      </c>
      <c r="I68" s="36" t="s">
        <v>9354</v>
      </c>
      <c r="J68" s="34"/>
      <c r="K68" s="49" t="s">
        <v>9414</v>
      </c>
      <c r="L68" s="36" t="s">
        <v>9404</v>
      </c>
      <c r="M68" s="49" t="s">
        <v>9357</v>
      </c>
      <c r="N68" s="36" t="s">
        <v>9372</v>
      </c>
      <c r="O68" s="50" t="s">
        <v>9373</v>
      </c>
      <c r="P68" s="36" t="s">
        <v>9360</v>
      </c>
      <c r="Q68" s="49" t="s">
        <v>9501</v>
      </c>
      <c r="R68" s="49" t="s">
        <v>9361</v>
      </c>
      <c r="S68" s="38" t="s">
        <v>3403</v>
      </c>
      <c r="T68" s="49" t="s">
        <v>9362</v>
      </c>
      <c r="U68" s="49" t="s">
        <v>9355</v>
      </c>
      <c r="V68" s="49" t="s">
        <v>9569</v>
      </c>
      <c r="W68" s="34" t="s">
        <v>9570</v>
      </c>
      <c r="X68" s="51"/>
      <c r="Y68" s="51"/>
      <c r="Z68" s="51"/>
      <c r="AA68" s="51"/>
      <c r="AB68" s="51"/>
      <c r="AC68" s="51"/>
    </row>
    <row r="69" ht="28.5" customHeight="1">
      <c r="A69" s="49"/>
      <c r="B69" s="38">
        <v>69.0</v>
      </c>
      <c r="C69" s="40" t="s">
        <v>2187</v>
      </c>
      <c r="D69" s="36" t="s">
        <v>2188</v>
      </c>
      <c r="E69" s="36" t="s">
        <v>73</v>
      </c>
      <c r="F69" s="36"/>
      <c r="G69" s="37">
        <v>2023.0</v>
      </c>
      <c r="H69" s="36" t="s">
        <v>1974</v>
      </c>
      <c r="I69" s="36" t="s">
        <v>3416</v>
      </c>
      <c r="J69" s="34"/>
      <c r="K69" s="49" t="s">
        <v>9370</v>
      </c>
      <c r="L69" s="36" t="s">
        <v>9371</v>
      </c>
      <c r="M69" s="49" t="s">
        <v>9571</v>
      </c>
      <c r="N69" s="36" t="s">
        <v>9372</v>
      </c>
      <c r="O69" s="50" t="s">
        <v>9450</v>
      </c>
      <c r="P69" s="36" t="s">
        <v>9360</v>
      </c>
      <c r="Q69" s="49" t="s">
        <v>9501</v>
      </c>
      <c r="R69" s="49" t="s">
        <v>3403</v>
      </c>
      <c r="S69" s="38" t="s">
        <v>3403</v>
      </c>
      <c r="T69" s="49" t="s">
        <v>9362</v>
      </c>
      <c r="U69" s="49" t="s">
        <v>9355</v>
      </c>
      <c r="V69" s="49" t="s">
        <v>9572</v>
      </c>
      <c r="W69" s="34" t="s">
        <v>9573</v>
      </c>
      <c r="X69" s="51"/>
      <c r="Y69" s="51"/>
      <c r="Z69" s="51"/>
      <c r="AA69" s="51"/>
      <c r="AB69" s="51"/>
      <c r="AC69" s="51"/>
    </row>
    <row r="70" ht="28.5" customHeight="1">
      <c r="A70" s="49"/>
      <c r="B70" s="38">
        <v>70.0</v>
      </c>
      <c r="C70" s="40" t="s">
        <v>2360</v>
      </c>
      <c r="D70" s="36" t="s">
        <v>2361</v>
      </c>
      <c r="E70" s="36" t="s">
        <v>2362</v>
      </c>
      <c r="F70" s="36"/>
      <c r="G70" s="37">
        <v>2023.0</v>
      </c>
      <c r="H70" s="36" t="s">
        <v>1974</v>
      </c>
      <c r="I70" s="36" t="s">
        <v>3416</v>
      </c>
      <c r="J70" s="34"/>
      <c r="K70" s="49" t="s">
        <v>9574</v>
      </c>
      <c r="L70" s="36" t="s">
        <v>9381</v>
      </c>
      <c r="M70" s="49" t="s">
        <v>9571</v>
      </c>
      <c r="N70" s="36" t="s">
        <v>9500</v>
      </c>
      <c r="O70" s="50" t="s">
        <v>9373</v>
      </c>
      <c r="P70" s="36" t="s">
        <v>9360</v>
      </c>
      <c r="Q70" s="49" t="s">
        <v>9501</v>
      </c>
      <c r="R70" s="49" t="s">
        <v>9361</v>
      </c>
      <c r="S70" s="38" t="s">
        <v>3403</v>
      </c>
      <c r="T70" s="49" t="s">
        <v>9362</v>
      </c>
      <c r="U70" s="49" t="s">
        <v>9362</v>
      </c>
      <c r="V70" s="49" t="s">
        <v>9472</v>
      </c>
      <c r="W70" s="34" t="s">
        <v>9472</v>
      </c>
      <c r="X70" s="51"/>
      <c r="Y70" s="51"/>
      <c r="Z70" s="51"/>
      <c r="AA70" s="51"/>
      <c r="AB70" s="51"/>
      <c r="AC70" s="51"/>
    </row>
    <row r="71" ht="43.5" customHeight="1">
      <c r="A71" s="49"/>
      <c r="B71" s="38">
        <v>71.0</v>
      </c>
      <c r="C71" s="40" t="s">
        <v>2442</v>
      </c>
      <c r="D71" s="36" t="s">
        <v>2443</v>
      </c>
      <c r="E71" s="36" t="s">
        <v>2444</v>
      </c>
      <c r="F71" s="36" t="s">
        <v>9575</v>
      </c>
      <c r="G71" s="37">
        <v>2023.0</v>
      </c>
      <c r="H71" s="36" t="s">
        <v>1974</v>
      </c>
      <c r="I71" s="36" t="s">
        <v>15</v>
      </c>
      <c r="J71" s="34"/>
      <c r="K71" s="49" t="s">
        <v>9576</v>
      </c>
      <c r="L71" s="36" t="s">
        <v>9461</v>
      </c>
      <c r="M71" s="49" t="s">
        <v>9571</v>
      </c>
      <c r="N71" s="36" t="s">
        <v>9372</v>
      </c>
      <c r="O71" s="50" t="s">
        <v>9450</v>
      </c>
      <c r="P71" s="36" t="s">
        <v>9360</v>
      </c>
      <c r="Q71" s="49" t="s">
        <v>9501</v>
      </c>
      <c r="R71" s="49" t="s">
        <v>3403</v>
      </c>
      <c r="S71" s="38" t="s">
        <v>3403</v>
      </c>
      <c r="T71" s="49" t="s">
        <v>9362</v>
      </c>
      <c r="U71" s="49" t="s">
        <v>9355</v>
      </c>
      <c r="V71" s="49" t="s">
        <v>9577</v>
      </c>
      <c r="W71" s="34"/>
      <c r="X71" s="51"/>
      <c r="Y71" s="51"/>
      <c r="Z71" s="51"/>
      <c r="AA71" s="51"/>
      <c r="AB71" s="51"/>
      <c r="AC71" s="51"/>
    </row>
    <row r="72" ht="28.5" customHeight="1">
      <c r="A72" s="49"/>
      <c r="B72" s="38">
        <v>72.0</v>
      </c>
      <c r="C72" s="40" t="s">
        <v>142</v>
      </c>
      <c r="D72" s="36" t="s">
        <v>143</v>
      </c>
      <c r="E72" s="36" t="s">
        <v>9578</v>
      </c>
      <c r="F72" s="36" t="s">
        <v>9579</v>
      </c>
      <c r="G72" s="37">
        <v>2022.0</v>
      </c>
      <c r="H72" s="36" t="s">
        <v>14</v>
      </c>
      <c r="I72" s="36" t="s">
        <v>15</v>
      </c>
      <c r="J72" s="34"/>
      <c r="K72" s="49" t="s">
        <v>9370</v>
      </c>
      <c r="L72" s="36" t="s">
        <v>9371</v>
      </c>
      <c r="M72" s="49" t="s">
        <v>9571</v>
      </c>
      <c r="N72" s="36" t="s">
        <v>9372</v>
      </c>
      <c r="O72" s="50" t="s">
        <v>9450</v>
      </c>
      <c r="P72" s="36" t="s">
        <v>9360</v>
      </c>
      <c r="Q72" s="49" t="s">
        <v>9501</v>
      </c>
      <c r="R72" s="49" t="s">
        <v>3403</v>
      </c>
      <c r="S72" s="38" t="s">
        <v>3403</v>
      </c>
      <c r="T72" s="49" t="s">
        <v>9362</v>
      </c>
      <c r="U72" s="49" t="s">
        <v>9355</v>
      </c>
      <c r="V72" s="49" t="s">
        <v>3403</v>
      </c>
      <c r="W72" s="34" t="s">
        <v>3403</v>
      </c>
      <c r="X72" s="51"/>
      <c r="Y72" s="51"/>
      <c r="Z72" s="51"/>
      <c r="AA72" s="51"/>
      <c r="AB72" s="51"/>
      <c r="AC72" s="51"/>
    </row>
    <row r="73" ht="28.5" customHeight="1">
      <c r="A73" s="49"/>
      <c r="B73" s="38">
        <v>73.0</v>
      </c>
      <c r="C73" s="40" t="s">
        <v>502</v>
      </c>
      <c r="D73" s="36" t="s">
        <v>503</v>
      </c>
      <c r="E73" s="36" t="s">
        <v>504</v>
      </c>
      <c r="F73" s="36" t="s">
        <v>9466</v>
      </c>
      <c r="G73" s="37">
        <v>2021.0</v>
      </c>
      <c r="H73" s="36" t="s">
        <v>14</v>
      </c>
      <c r="I73" s="36" t="s">
        <v>15</v>
      </c>
      <c r="J73" s="34"/>
      <c r="K73" s="49" t="s">
        <v>9574</v>
      </c>
      <c r="L73" s="36" t="s">
        <v>9381</v>
      </c>
      <c r="M73" s="49" t="s">
        <v>9580</v>
      </c>
      <c r="N73" s="36" t="s">
        <v>9372</v>
      </c>
      <c r="O73" s="50" t="s">
        <v>9373</v>
      </c>
      <c r="P73" s="36" t="s">
        <v>9360</v>
      </c>
      <c r="Q73" s="49" t="s">
        <v>9501</v>
      </c>
      <c r="R73" s="49" t="s">
        <v>9361</v>
      </c>
      <c r="S73" s="38" t="s">
        <v>3403</v>
      </c>
      <c r="T73" s="49" t="s">
        <v>9362</v>
      </c>
      <c r="U73" s="49" t="s">
        <v>9362</v>
      </c>
      <c r="V73" s="49" t="s">
        <v>9581</v>
      </c>
      <c r="W73" s="34" t="s">
        <v>9581</v>
      </c>
      <c r="X73" s="51"/>
      <c r="Y73" s="51"/>
      <c r="Z73" s="51"/>
      <c r="AA73" s="51"/>
      <c r="AB73" s="51"/>
      <c r="AC73" s="51"/>
    </row>
    <row r="74" ht="28.5" customHeight="1">
      <c r="A74" s="49"/>
      <c r="B74" s="38">
        <v>74.0</v>
      </c>
      <c r="C74" s="40" t="s">
        <v>756</v>
      </c>
      <c r="D74" s="45" t="s">
        <v>757</v>
      </c>
      <c r="E74" s="45" t="s">
        <v>393</v>
      </c>
      <c r="F74" s="45"/>
      <c r="G74" s="47">
        <v>2020.0</v>
      </c>
      <c r="H74" s="45" t="s">
        <v>14</v>
      </c>
      <c r="I74" s="45" t="s">
        <v>3416</v>
      </c>
      <c r="J74" s="52"/>
      <c r="K74" s="36" t="s">
        <v>9403</v>
      </c>
      <c r="L74" s="36" t="s">
        <v>9404</v>
      </c>
      <c r="M74" s="49" t="s">
        <v>9405</v>
      </c>
      <c r="N74" s="36" t="s">
        <v>9372</v>
      </c>
      <c r="O74" s="50" t="s">
        <v>9450</v>
      </c>
      <c r="P74" s="36" t="s">
        <v>9360</v>
      </c>
      <c r="Q74" s="49" t="s">
        <v>9501</v>
      </c>
      <c r="R74" s="49" t="s">
        <v>3403</v>
      </c>
      <c r="S74" s="38" t="s">
        <v>3403</v>
      </c>
      <c r="T74" s="49" t="s">
        <v>9362</v>
      </c>
      <c r="U74" s="49" t="s">
        <v>9355</v>
      </c>
      <c r="V74" s="49" t="s">
        <v>9582</v>
      </c>
      <c r="W74" s="34" t="s">
        <v>9582</v>
      </c>
      <c r="X74" s="51"/>
      <c r="Y74" s="51"/>
      <c r="Z74" s="51"/>
      <c r="AA74" s="51"/>
      <c r="AB74" s="51"/>
      <c r="AC74" s="51"/>
    </row>
    <row r="75" ht="28.5" customHeight="1">
      <c r="A75" s="49"/>
      <c r="B75" s="38">
        <v>75.0</v>
      </c>
      <c r="C75" s="40" t="s">
        <v>1175</v>
      </c>
      <c r="D75" s="36" t="s">
        <v>1176</v>
      </c>
      <c r="E75" s="36" t="s">
        <v>216</v>
      </c>
      <c r="F75" s="36"/>
      <c r="G75" s="37">
        <v>2014.0</v>
      </c>
      <c r="H75" s="36" t="s">
        <v>14</v>
      </c>
      <c r="I75" s="36" t="s">
        <v>3416</v>
      </c>
      <c r="J75" s="34"/>
      <c r="K75" s="49" t="s">
        <v>9370</v>
      </c>
      <c r="L75" s="36" t="s">
        <v>9371</v>
      </c>
      <c r="M75" s="49" t="s">
        <v>9357</v>
      </c>
      <c r="N75" s="36" t="s">
        <v>9372</v>
      </c>
      <c r="O75" s="50" t="s">
        <v>9450</v>
      </c>
      <c r="P75" s="36" t="s">
        <v>9360</v>
      </c>
      <c r="Q75" s="49" t="s">
        <v>9501</v>
      </c>
      <c r="R75" s="49" t="s">
        <v>3403</v>
      </c>
      <c r="S75" s="38" t="s">
        <v>3403</v>
      </c>
      <c r="T75" s="49" t="s">
        <v>9362</v>
      </c>
      <c r="U75" s="49" t="s">
        <v>9355</v>
      </c>
      <c r="V75" s="49" t="s">
        <v>9582</v>
      </c>
      <c r="W75" s="34" t="s">
        <v>9582</v>
      </c>
      <c r="X75" s="51"/>
      <c r="Y75" s="51"/>
      <c r="Z75" s="51"/>
      <c r="AA75" s="51"/>
      <c r="AB75" s="51"/>
      <c r="AC75" s="51"/>
    </row>
    <row r="76" ht="28.5" customHeight="1">
      <c r="A76" s="49"/>
      <c r="B76" s="38">
        <v>76.0</v>
      </c>
      <c r="C76" s="40" t="s">
        <v>1767</v>
      </c>
      <c r="D76" s="36" t="s">
        <v>1768</v>
      </c>
      <c r="E76" s="36" t="s">
        <v>63</v>
      </c>
      <c r="F76" s="36"/>
      <c r="G76" s="37">
        <v>2003.0</v>
      </c>
      <c r="H76" s="36" t="s">
        <v>14</v>
      </c>
      <c r="I76" s="36" t="s">
        <v>3416</v>
      </c>
      <c r="J76" s="34"/>
      <c r="K76" s="49" t="s">
        <v>9583</v>
      </c>
      <c r="L76" s="36" t="s">
        <v>9461</v>
      </c>
      <c r="M76" s="49" t="s">
        <v>9365</v>
      </c>
      <c r="N76" s="36" t="s">
        <v>9372</v>
      </c>
      <c r="O76" s="50" t="s">
        <v>9450</v>
      </c>
      <c r="P76" s="36" t="s">
        <v>9360</v>
      </c>
      <c r="Q76" s="49" t="s">
        <v>9501</v>
      </c>
      <c r="R76" s="49" t="s">
        <v>3403</v>
      </c>
      <c r="S76" s="38" t="s">
        <v>3403</v>
      </c>
      <c r="T76" s="49" t="s">
        <v>9362</v>
      </c>
      <c r="U76" s="49" t="s">
        <v>9355</v>
      </c>
      <c r="V76" s="49" t="s">
        <v>9584</v>
      </c>
      <c r="W76" s="34" t="s">
        <v>9584</v>
      </c>
      <c r="X76" s="51"/>
      <c r="Y76" s="51"/>
      <c r="Z76" s="51"/>
      <c r="AA76" s="51"/>
      <c r="AB76" s="51"/>
      <c r="AC76" s="51"/>
    </row>
    <row r="77" ht="28.5" customHeight="1">
      <c r="A77" s="42" t="s">
        <v>9481</v>
      </c>
      <c r="B77" s="38">
        <v>77.0</v>
      </c>
      <c r="C77" s="43" t="s">
        <v>9585</v>
      </c>
      <c r="D77" s="36" t="s">
        <v>9586</v>
      </c>
      <c r="E77" s="36" t="s">
        <v>2362</v>
      </c>
      <c r="F77" s="36"/>
      <c r="G77" s="37">
        <v>2023.0</v>
      </c>
      <c r="H77" s="45"/>
      <c r="I77" s="36" t="s">
        <v>3416</v>
      </c>
      <c r="J77" s="34"/>
      <c r="K77" s="49" t="s">
        <v>9414</v>
      </c>
      <c r="L77" s="36" t="s">
        <v>9404</v>
      </c>
      <c r="M77" s="49" t="s">
        <v>9357</v>
      </c>
      <c r="N77" s="36" t="s">
        <v>9372</v>
      </c>
      <c r="O77" s="50" t="s">
        <v>9450</v>
      </c>
      <c r="P77" s="36" t="s">
        <v>9360</v>
      </c>
      <c r="Q77" s="49" t="s">
        <v>9587</v>
      </c>
      <c r="R77" s="49" t="s">
        <v>3403</v>
      </c>
      <c r="S77" s="38" t="s">
        <v>3403</v>
      </c>
      <c r="T77" s="49" t="s">
        <v>9362</v>
      </c>
      <c r="U77" s="49" t="s">
        <v>9355</v>
      </c>
      <c r="V77" s="49" t="s">
        <v>9588</v>
      </c>
      <c r="W77" s="34" t="s">
        <v>9588</v>
      </c>
      <c r="X77" s="51"/>
      <c r="Y77" s="51"/>
      <c r="Z77" s="51"/>
      <c r="AA77" s="51"/>
      <c r="AB77" s="51"/>
      <c r="AC77" s="51"/>
    </row>
    <row r="78" ht="28.5" customHeight="1">
      <c r="A78" s="42" t="s">
        <v>9481</v>
      </c>
      <c r="B78" s="38">
        <v>78.0</v>
      </c>
      <c r="C78" s="43" t="s">
        <v>9589</v>
      </c>
      <c r="D78" s="36" t="s">
        <v>9590</v>
      </c>
      <c r="E78" s="36" t="s">
        <v>2362</v>
      </c>
      <c r="F78" s="36"/>
      <c r="G78" s="37">
        <v>2023.0</v>
      </c>
      <c r="H78" s="45"/>
      <c r="I78" s="36" t="s">
        <v>3416</v>
      </c>
      <c r="J78" s="36"/>
      <c r="K78" s="39" t="s">
        <v>9356</v>
      </c>
      <c r="L78" s="36" t="s">
        <v>9356</v>
      </c>
      <c r="M78" s="36" t="s">
        <v>9365</v>
      </c>
      <c r="N78" s="36" t="s">
        <v>9358</v>
      </c>
      <c r="O78" s="50" t="s">
        <v>9450</v>
      </c>
      <c r="P78" s="36" t="s">
        <v>9360</v>
      </c>
      <c r="Q78" s="49" t="s">
        <v>9587</v>
      </c>
      <c r="R78" s="49" t="s">
        <v>3403</v>
      </c>
      <c r="S78" s="38" t="s">
        <v>3403</v>
      </c>
      <c r="T78" s="36" t="s">
        <v>9362</v>
      </c>
      <c r="U78" s="36" t="s">
        <v>9355</v>
      </c>
      <c r="V78" s="36" t="s">
        <v>9591</v>
      </c>
      <c r="W78" s="38" t="s">
        <v>9591</v>
      </c>
      <c r="X78" s="36"/>
      <c r="Y78" s="51"/>
      <c r="Z78" s="51"/>
      <c r="AA78" s="51"/>
      <c r="AB78" s="51"/>
      <c r="AC78" s="51"/>
    </row>
    <row r="79" ht="28.5" customHeight="1">
      <c r="A79" s="49"/>
      <c r="B79" s="38">
        <v>79.0</v>
      </c>
      <c r="C79" s="53" t="s">
        <v>9592</v>
      </c>
      <c r="D79" s="36" t="s">
        <v>9586</v>
      </c>
      <c r="E79" s="36" t="s">
        <v>2437</v>
      </c>
      <c r="F79" s="36" t="s">
        <v>9568</v>
      </c>
      <c r="G79" s="37">
        <v>2021.0</v>
      </c>
      <c r="H79" s="36" t="s">
        <v>1974</v>
      </c>
      <c r="I79" s="36" t="s">
        <v>9354</v>
      </c>
      <c r="J79" s="34"/>
      <c r="K79" s="49" t="s">
        <v>9414</v>
      </c>
      <c r="L79" s="36" t="s">
        <v>9404</v>
      </c>
      <c r="M79" s="49" t="s">
        <v>9357</v>
      </c>
      <c r="N79" s="36" t="s">
        <v>9372</v>
      </c>
      <c r="O79" s="50" t="s">
        <v>9450</v>
      </c>
      <c r="P79" s="36" t="s">
        <v>9360</v>
      </c>
      <c r="Q79" s="49" t="s">
        <v>9375</v>
      </c>
      <c r="R79" s="49" t="s">
        <v>3403</v>
      </c>
      <c r="S79" s="38" t="s">
        <v>3403</v>
      </c>
      <c r="T79" s="49" t="s">
        <v>9362</v>
      </c>
      <c r="U79" s="49" t="s">
        <v>9355</v>
      </c>
      <c r="V79" s="49" t="s">
        <v>9581</v>
      </c>
      <c r="W79" s="34" t="s">
        <v>9581</v>
      </c>
      <c r="X79" s="51"/>
      <c r="Y79" s="51"/>
      <c r="Z79" s="51"/>
      <c r="AA79" s="51"/>
      <c r="AB79" s="51"/>
      <c r="AC79" s="51"/>
    </row>
    <row r="80" ht="28.5" customHeight="1">
      <c r="A80" s="49"/>
      <c r="B80" s="38">
        <v>80.0</v>
      </c>
      <c r="C80" s="53" t="s">
        <v>457</v>
      </c>
      <c r="D80" s="36" t="s">
        <v>2397</v>
      </c>
      <c r="E80" s="36" t="s">
        <v>2398</v>
      </c>
      <c r="F80" s="36" t="s">
        <v>9593</v>
      </c>
      <c r="G80" s="37">
        <v>2022.0</v>
      </c>
      <c r="H80" s="36" t="s">
        <v>1974</v>
      </c>
      <c r="I80" s="36" t="s">
        <v>15</v>
      </c>
      <c r="J80" s="34"/>
      <c r="K80" s="36" t="s">
        <v>9380</v>
      </c>
      <c r="L80" s="36" t="s">
        <v>9381</v>
      </c>
      <c r="M80" s="49" t="s">
        <v>9357</v>
      </c>
      <c r="N80" s="36" t="s">
        <v>9372</v>
      </c>
      <c r="O80" s="50" t="s">
        <v>9373</v>
      </c>
      <c r="P80" s="36" t="s">
        <v>9360</v>
      </c>
      <c r="Q80" s="49" t="s">
        <v>9594</v>
      </c>
      <c r="R80" s="49" t="s">
        <v>3403</v>
      </c>
      <c r="S80" s="38" t="s">
        <v>3403</v>
      </c>
      <c r="T80" s="49" t="s">
        <v>9362</v>
      </c>
      <c r="U80" s="49" t="s">
        <v>9595</v>
      </c>
      <c r="V80" s="49" t="s">
        <v>9546</v>
      </c>
      <c r="W80" s="34" t="s">
        <v>9546</v>
      </c>
      <c r="X80" s="51"/>
      <c r="Y80" s="51"/>
      <c r="Z80" s="51"/>
      <c r="AA80" s="51"/>
      <c r="AB80" s="51"/>
      <c r="AC80" s="51"/>
    </row>
    <row r="81" ht="28.5" customHeight="1">
      <c r="A81" s="49"/>
      <c r="B81" s="38">
        <v>81.0</v>
      </c>
      <c r="C81" s="53" t="s">
        <v>71</v>
      </c>
      <c r="D81" s="36" t="s">
        <v>2472</v>
      </c>
      <c r="E81" s="36" t="s">
        <v>73</v>
      </c>
      <c r="F81" s="36"/>
      <c r="G81" s="37">
        <v>2021.0</v>
      </c>
      <c r="H81" s="36" t="s">
        <v>1974</v>
      </c>
      <c r="I81" s="36" t="s">
        <v>3416</v>
      </c>
      <c r="J81" s="34"/>
      <c r="K81" s="36" t="s">
        <v>9391</v>
      </c>
      <c r="L81" s="36" t="s">
        <v>9392</v>
      </c>
      <c r="M81" s="49" t="s">
        <v>9357</v>
      </c>
      <c r="N81" s="36" t="s">
        <v>9372</v>
      </c>
      <c r="O81" s="50" t="s">
        <v>9373</v>
      </c>
      <c r="P81" s="36" t="s">
        <v>9360</v>
      </c>
      <c r="Q81" s="49" t="s">
        <v>9451</v>
      </c>
      <c r="R81" s="49" t="s">
        <v>3403</v>
      </c>
      <c r="S81" s="38" t="s">
        <v>3403</v>
      </c>
      <c r="T81" s="49" t="s">
        <v>9362</v>
      </c>
      <c r="U81" s="49" t="s">
        <v>9355</v>
      </c>
      <c r="V81" s="49" t="s">
        <v>3403</v>
      </c>
      <c r="W81" s="34" t="s">
        <v>9596</v>
      </c>
      <c r="X81" s="51"/>
      <c r="Y81" s="51"/>
      <c r="Z81" s="51"/>
      <c r="AA81" s="51"/>
      <c r="AB81" s="51"/>
      <c r="AC81" s="51"/>
    </row>
    <row r="82" ht="49.5" customHeight="1">
      <c r="A82" s="49"/>
      <c r="B82" s="38">
        <v>82.0</v>
      </c>
      <c r="C82" s="53" t="s">
        <v>9</v>
      </c>
      <c r="D82" s="36" t="s">
        <v>10</v>
      </c>
      <c r="E82" s="36" t="s">
        <v>11</v>
      </c>
      <c r="F82" s="36" t="s">
        <v>9363</v>
      </c>
      <c r="G82" s="37">
        <v>2021.0</v>
      </c>
      <c r="H82" s="36" t="s">
        <v>14</v>
      </c>
      <c r="I82" s="36" t="s">
        <v>15</v>
      </c>
      <c r="J82" s="34"/>
      <c r="K82" s="49" t="s">
        <v>9356</v>
      </c>
      <c r="L82" s="36" t="s">
        <v>9356</v>
      </c>
      <c r="M82" s="49" t="s">
        <v>9357</v>
      </c>
      <c r="N82" s="36" t="s">
        <v>9372</v>
      </c>
      <c r="O82" s="50" t="s">
        <v>9450</v>
      </c>
      <c r="P82" s="49" t="s">
        <v>9597</v>
      </c>
      <c r="Q82" s="49" t="s">
        <v>9451</v>
      </c>
      <c r="R82" s="49" t="s">
        <v>3403</v>
      </c>
      <c r="S82" s="38" t="s">
        <v>3403</v>
      </c>
      <c r="T82" s="50" t="s">
        <v>9362</v>
      </c>
      <c r="U82" s="49" t="s">
        <v>9355</v>
      </c>
      <c r="V82" s="49" t="s">
        <v>9598</v>
      </c>
      <c r="W82" s="38" t="s">
        <v>3403</v>
      </c>
      <c r="X82" s="51"/>
      <c r="Y82" s="51"/>
      <c r="Z82" s="51"/>
      <c r="AA82" s="51"/>
      <c r="AB82" s="51"/>
      <c r="AC82" s="51"/>
    </row>
    <row r="83" ht="46.5" customHeight="1">
      <c r="A83" s="49"/>
      <c r="B83" s="38">
        <v>83.0</v>
      </c>
      <c r="C83" s="53" t="s">
        <v>256</v>
      </c>
      <c r="D83" s="36" t="s">
        <v>257</v>
      </c>
      <c r="E83" s="36" t="s">
        <v>78</v>
      </c>
      <c r="F83" s="36" t="s">
        <v>9395</v>
      </c>
      <c r="G83" s="37">
        <v>2024.0</v>
      </c>
      <c r="H83" s="36" t="s">
        <v>14</v>
      </c>
      <c r="I83" s="36" t="s">
        <v>15</v>
      </c>
      <c r="J83" s="34"/>
      <c r="K83" s="49" t="s">
        <v>9599</v>
      </c>
      <c r="L83" s="36" t="s">
        <v>9392</v>
      </c>
      <c r="M83" s="49" t="s">
        <v>9357</v>
      </c>
      <c r="N83" s="36" t="s">
        <v>9500</v>
      </c>
      <c r="O83" s="50" t="s">
        <v>9450</v>
      </c>
      <c r="P83" s="36" t="s">
        <v>9360</v>
      </c>
      <c r="Q83" s="49" t="s">
        <v>9532</v>
      </c>
      <c r="R83" s="49" t="s">
        <v>3403</v>
      </c>
      <c r="S83" s="38" t="s">
        <v>9446</v>
      </c>
      <c r="T83" s="50" t="s">
        <v>9362</v>
      </c>
      <c r="U83" s="49" t="s">
        <v>9355</v>
      </c>
      <c r="V83" s="49" t="s">
        <v>9600</v>
      </c>
      <c r="W83" s="38" t="s">
        <v>3403</v>
      </c>
      <c r="X83" s="51"/>
      <c r="Y83" s="51"/>
      <c r="Z83" s="51"/>
      <c r="AA83" s="51"/>
      <c r="AB83" s="51"/>
      <c r="AC83" s="51"/>
    </row>
    <row r="84" ht="28.5" customHeight="1">
      <c r="A84" s="49"/>
      <c r="B84" s="38">
        <v>84.0</v>
      </c>
      <c r="C84" s="53" t="s">
        <v>705</v>
      </c>
      <c r="D84" s="36" t="s">
        <v>706</v>
      </c>
      <c r="E84" s="36" t="s">
        <v>707</v>
      </c>
      <c r="F84" s="36"/>
      <c r="G84" s="37">
        <v>2018.0</v>
      </c>
      <c r="H84" s="36" t="s">
        <v>14</v>
      </c>
      <c r="I84" s="36" t="s">
        <v>3416</v>
      </c>
      <c r="J84" s="34"/>
      <c r="K84" s="49" t="s">
        <v>9370</v>
      </c>
      <c r="L84" s="36" t="s">
        <v>9371</v>
      </c>
      <c r="M84" s="49" t="s">
        <v>9357</v>
      </c>
      <c r="N84" s="36" t="s">
        <v>9372</v>
      </c>
      <c r="O84" s="50" t="s">
        <v>9450</v>
      </c>
      <c r="P84" s="49" t="s">
        <v>3403</v>
      </c>
      <c r="Q84" s="49" t="s">
        <v>9451</v>
      </c>
      <c r="R84" s="49" t="s">
        <v>3403</v>
      </c>
      <c r="S84" s="49" t="s">
        <v>3403</v>
      </c>
      <c r="T84" s="50" t="s">
        <v>9362</v>
      </c>
      <c r="U84" s="49" t="s">
        <v>9355</v>
      </c>
      <c r="V84" s="49"/>
      <c r="W84" s="34" t="s">
        <v>9601</v>
      </c>
      <c r="X84" s="51"/>
      <c r="Y84" s="51"/>
      <c r="Z84" s="51"/>
      <c r="AA84" s="51"/>
      <c r="AB84" s="51"/>
      <c r="AC84" s="51"/>
    </row>
    <row r="85" ht="28.5" customHeight="1">
      <c r="A85" s="49"/>
      <c r="B85" s="38">
        <v>85.0</v>
      </c>
      <c r="C85" s="53" t="s">
        <v>1119</v>
      </c>
      <c r="D85" s="36" t="s">
        <v>1120</v>
      </c>
      <c r="E85" s="36" t="s">
        <v>1121</v>
      </c>
      <c r="F85" s="36" t="s">
        <v>9602</v>
      </c>
      <c r="G85" s="37">
        <v>2015.0</v>
      </c>
      <c r="H85" s="36" t="s">
        <v>14</v>
      </c>
      <c r="I85" s="36" t="s">
        <v>15</v>
      </c>
      <c r="J85" s="34"/>
      <c r="K85" s="49" t="s">
        <v>9414</v>
      </c>
      <c r="L85" s="36" t="s">
        <v>9404</v>
      </c>
      <c r="M85" s="49" t="s">
        <v>9382</v>
      </c>
      <c r="N85" s="36" t="s">
        <v>9372</v>
      </c>
      <c r="O85" s="50" t="s">
        <v>9359</v>
      </c>
      <c r="P85" s="36" t="s">
        <v>9406</v>
      </c>
      <c r="Q85" s="49" t="s">
        <v>3403</v>
      </c>
      <c r="R85" s="49" t="s">
        <v>3403</v>
      </c>
      <c r="S85" s="49" t="s">
        <v>3403</v>
      </c>
      <c r="T85" s="50" t="s">
        <v>9362</v>
      </c>
      <c r="U85" s="49" t="s">
        <v>9355</v>
      </c>
      <c r="V85" s="49"/>
      <c r="W85" s="34" t="s">
        <v>9603</v>
      </c>
      <c r="X85" s="51"/>
      <c r="Y85" s="51"/>
      <c r="Z85" s="51"/>
      <c r="AA85" s="51"/>
      <c r="AB85" s="51"/>
      <c r="AC85" s="51"/>
    </row>
    <row r="86" ht="35.25" customHeight="1">
      <c r="A86" s="42" t="s">
        <v>9481</v>
      </c>
      <c r="B86" s="38">
        <v>49.0</v>
      </c>
      <c r="C86" s="43" t="s">
        <v>9604</v>
      </c>
      <c r="D86" s="54" t="s">
        <v>9605</v>
      </c>
      <c r="E86" s="36" t="s">
        <v>216</v>
      </c>
      <c r="F86" s="54"/>
      <c r="G86" s="49">
        <v>2023.0</v>
      </c>
      <c r="H86" s="55"/>
      <c r="I86" s="36" t="s">
        <v>3416</v>
      </c>
      <c r="J86" s="34"/>
      <c r="K86" s="36" t="s">
        <v>9380</v>
      </c>
      <c r="L86" s="36" t="s">
        <v>9381</v>
      </c>
      <c r="M86" s="49" t="s">
        <v>9357</v>
      </c>
      <c r="N86" s="36" t="s">
        <v>9372</v>
      </c>
      <c r="O86" s="50" t="s">
        <v>9450</v>
      </c>
      <c r="P86" s="36" t="s">
        <v>9360</v>
      </c>
      <c r="Q86" s="49" t="s">
        <v>9606</v>
      </c>
      <c r="R86" s="49" t="s">
        <v>3403</v>
      </c>
      <c r="S86" s="38" t="s">
        <v>9446</v>
      </c>
      <c r="T86" s="49" t="s">
        <v>9362</v>
      </c>
      <c r="U86" s="49" t="s">
        <v>9355</v>
      </c>
      <c r="V86" s="49" t="s">
        <v>9472</v>
      </c>
      <c r="W86" s="34" t="s">
        <v>9472</v>
      </c>
      <c r="X86" s="51"/>
      <c r="Y86" s="51"/>
      <c r="Z86" s="51"/>
      <c r="AA86" s="51"/>
      <c r="AB86" s="51"/>
      <c r="AC86" s="51"/>
    </row>
    <row r="87" ht="15.75" customHeight="1">
      <c r="A87" s="33" t="s">
        <v>9328</v>
      </c>
      <c r="B87" s="34">
        <v>17.0</v>
      </c>
      <c r="C87" s="35" t="s">
        <v>9607</v>
      </c>
      <c r="D87" s="36" t="s">
        <v>9608</v>
      </c>
      <c r="E87" s="36" t="s">
        <v>9609</v>
      </c>
      <c r="F87" s="54"/>
      <c r="G87" s="49">
        <v>2019.0</v>
      </c>
      <c r="H87" s="54"/>
      <c r="I87" s="36" t="s">
        <v>3416</v>
      </c>
      <c r="J87" s="34"/>
      <c r="K87" s="49" t="s">
        <v>9391</v>
      </c>
      <c r="L87" s="49" t="s">
        <v>9392</v>
      </c>
      <c r="M87" s="49" t="s">
        <v>9357</v>
      </c>
      <c r="N87" s="49" t="s">
        <v>9358</v>
      </c>
      <c r="O87" s="50" t="s">
        <v>9359</v>
      </c>
      <c r="P87" s="49" t="s">
        <v>9360</v>
      </c>
      <c r="Q87" s="49" t="s">
        <v>3403</v>
      </c>
      <c r="R87" s="49" t="s">
        <v>9417</v>
      </c>
      <c r="S87" s="38" t="s">
        <v>9610</v>
      </c>
      <c r="T87" s="49" t="s">
        <v>9362</v>
      </c>
      <c r="U87" s="49" t="s">
        <v>9355</v>
      </c>
      <c r="V87" s="49" t="s">
        <v>9611</v>
      </c>
      <c r="W87" s="34" t="s">
        <v>9611</v>
      </c>
      <c r="X87" s="51"/>
      <c r="Y87" s="51"/>
      <c r="Z87" s="51"/>
      <c r="AA87" s="51"/>
      <c r="AB87" s="51"/>
      <c r="AC87" s="51"/>
    </row>
    <row r="88" ht="15.75" customHeight="1">
      <c r="A88" s="33" t="s">
        <v>9328</v>
      </c>
      <c r="B88" s="34">
        <v>86.0</v>
      </c>
      <c r="C88" s="35" t="s">
        <v>9612</v>
      </c>
      <c r="D88" s="36" t="s">
        <v>9613</v>
      </c>
      <c r="E88" s="36" t="s">
        <v>9614</v>
      </c>
      <c r="F88" s="54"/>
      <c r="G88" s="49">
        <v>2021.0</v>
      </c>
      <c r="H88" s="54"/>
      <c r="I88" s="36" t="s">
        <v>3416</v>
      </c>
      <c r="J88" s="34"/>
      <c r="K88" s="49" t="s">
        <v>9615</v>
      </c>
      <c r="L88" s="49" t="s">
        <v>9371</v>
      </c>
      <c r="M88" s="49" t="s">
        <v>9357</v>
      </c>
      <c r="N88" s="49" t="s">
        <v>9372</v>
      </c>
      <c r="O88" s="50" t="s">
        <v>9359</v>
      </c>
      <c r="P88" s="49" t="s">
        <v>9360</v>
      </c>
      <c r="Q88" s="49" t="s">
        <v>3403</v>
      </c>
      <c r="R88" s="49" t="s">
        <v>9361</v>
      </c>
      <c r="S88" s="38" t="s">
        <v>9616</v>
      </c>
      <c r="T88" s="49" t="s">
        <v>9362</v>
      </c>
      <c r="U88" s="49" t="s">
        <v>9355</v>
      </c>
      <c r="V88" s="49" t="s">
        <v>3403</v>
      </c>
      <c r="W88" s="34" t="s">
        <v>3403</v>
      </c>
      <c r="X88" s="51"/>
      <c r="Y88" s="51"/>
      <c r="Z88" s="51"/>
      <c r="AA88" s="51"/>
      <c r="AB88" s="51"/>
      <c r="AC88" s="51"/>
    </row>
    <row r="89" ht="15.75" customHeight="1">
      <c r="A89" s="49"/>
      <c r="B89" s="34"/>
      <c r="C89" s="34"/>
      <c r="D89" s="54"/>
      <c r="E89" s="54"/>
      <c r="F89" s="54"/>
      <c r="G89" s="49"/>
      <c r="H89" s="54"/>
      <c r="I89" s="54"/>
      <c r="J89" s="34"/>
      <c r="K89" s="49"/>
      <c r="L89" s="49"/>
      <c r="M89" s="49"/>
      <c r="N89" s="49"/>
      <c r="O89" s="50"/>
      <c r="P89" s="49"/>
      <c r="Q89" s="49"/>
      <c r="R89" s="49"/>
      <c r="S89" s="38"/>
      <c r="T89" s="49"/>
      <c r="U89" s="49"/>
      <c r="V89" s="49"/>
      <c r="W89" s="34"/>
      <c r="X89" s="51"/>
      <c r="Y89" s="51"/>
      <c r="Z89" s="51"/>
      <c r="AA89" s="51"/>
      <c r="AB89" s="51"/>
      <c r="AC89" s="51"/>
    </row>
    <row r="90" ht="15.75" customHeight="1">
      <c r="A90" s="49"/>
      <c r="B90" s="34"/>
      <c r="C90" s="34"/>
      <c r="D90" s="54"/>
      <c r="E90" s="54"/>
      <c r="F90" s="54"/>
      <c r="G90" s="49"/>
      <c r="H90" s="54"/>
      <c r="I90" s="54"/>
      <c r="J90" s="34"/>
      <c r="K90" s="49"/>
      <c r="L90" s="49"/>
      <c r="M90" s="49"/>
      <c r="N90" s="49"/>
      <c r="O90" s="50"/>
      <c r="P90" s="49"/>
      <c r="Q90" s="49"/>
      <c r="R90" s="49"/>
      <c r="S90" s="38"/>
      <c r="T90" s="49"/>
      <c r="U90" s="49"/>
      <c r="V90" s="49"/>
      <c r="W90" s="34"/>
      <c r="X90" s="51"/>
      <c r="Y90" s="51"/>
      <c r="Z90" s="51"/>
      <c r="AA90" s="51"/>
      <c r="AB90" s="51"/>
      <c r="AC90" s="51"/>
    </row>
    <row r="91" ht="15.75" customHeight="1">
      <c r="A91" s="49"/>
      <c r="B91" s="34"/>
      <c r="C91" s="34"/>
      <c r="D91" s="54"/>
      <c r="E91" s="54"/>
      <c r="F91" s="54"/>
      <c r="G91" s="49"/>
      <c r="H91" s="54"/>
      <c r="I91" s="54"/>
      <c r="J91" s="34"/>
      <c r="K91" s="49"/>
      <c r="L91" s="49"/>
      <c r="M91" s="49"/>
      <c r="N91" s="49"/>
      <c r="O91" s="50"/>
      <c r="P91" s="49"/>
      <c r="Q91" s="49"/>
      <c r="R91" s="49"/>
      <c r="S91" s="38"/>
      <c r="T91" s="49"/>
      <c r="U91" s="49"/>
      <c r="V91" s="49"/>
      <c r="W91" s="34"/>
      <c r="X91" s="51"/>
      <c r="Y91" s="51"/>
      <c r="Z91" s="51"/>
      <c r="AA91" s="51"/>
      <c r="AB91" s="51"/>
      <c r="AC91" s="51"/>
    </row>
    <row r="92" ht="15.75" customHeight="1">
      <c r="A92" s="49"/>
      <c r="B92" s="34"/>
      <c r="C92" s="34"/>
      <c r="D92" s="54"/>
      <c r="E92" s="54"/>
      <c r="F92" s="54"/>
      <c r="G92" s="49"/>
      <c r="H92" s="54"/>
      <c r="I92" s="54"/>
      <c r="J92" s="34"/>
      <c r="K92" s="49"/>
      <c r="L92" s="49"/>
      <c r="M92" s="49"/>
      <c r="N92" s="49"/>
      <c r="O92" s="50"/>
      <c r="P92" s="49"/>
      <c r="Q92" s="49"/>
      <c r="R92" s="49"/>
      <c r="S92" s="38"/>
      <c r="T92" s="49"/>
      <c r="U92" s="49"/>
      <c r="V92" s="49"/>
      <c r="W92" s="34"/>
      <c r="X92" s="51"/>
      <c r="Y92" s="51"/>
      <c r="Z92" s="51"/>
      <c r="AA92" s="51"/>
      <c r="AB92" s="51"/>
      <c r="AC92" s="51"/>
    </row>
    <row r="93" ht="15.75" customHeight="1">
      <c r="A93" s="49"/>
      <c r="B93" s="34"/>
      <c r="C93" s="34"/>
      <c r="D93" s="54"/>
      <c r="E93" s="54"/>
      <c r="F93" s="54"/>
      <c r="G93" s="49"/>
      <c r="H93" s="54"/>
      <c r="I93" s="54"/>
      <c r="J93" s="34"/>
      <c r="K93" s="49"/>
      <c r="L93" s="49"/>
      <c r="M93" s="49"/>
      <c r="N93" s="49"/>
      <c r="O93" s="50"/>
      <c r="P93" s="49"/>
      <c r="Q93" s="49"/>
      <c r="R93" s="49"/>
      <c r="S93" s="38"/>
      <c r="T93" s="49"/>
      <c r="U93" s="49"/>
      <c r="V93" s="49"/>
      <c r="W93" s="34"/>
      <c r="X93" s="51"/>
      <c r="Y93" s="51"/>
      <c r="Z93" s="51"/>
      <c r="AA93" s="51"/>
      <c r="AB93" s="51"/>
      <c r="AC93" s="51"/>
    </row>
    <row r="94" ht="15.75" customHeight="1">
      <c r="A94" s="49"/>
      <c r="B94" s="34"/>
      <c r="C94" s="34"/>
      <c r="D94" s="54"/>
      <c r="E94" s="54"/>
      <c r="F94" s="54"/>
      <c r="G94" s="49"/>
      <c r="H94" s="54"/>
      <c r="I94" s="54"/>
      <c r="J94" s="34"/>
      <c r="K94" s="49"/>
      <c r="L94" s="49"/>
      <c r="M94" s="49"/>
      <c r="N94" s="49"/>
      <c r="O94" s="50"/>
      <c r="P94" s="49"/>
      <c r="Q94" s="49"/>
      <c r="R94" s="49"/>
      <c r="S94" s="38"/>
      <c r="T94" s="49"/>
      <c r="U94" s="49"/>
      <c r="V94" s="49"/>
      <c r="W94" s="34"/>
      <c r="X94" s="51"/>
      <c r="Y94" s="51"/>
      <c r="Z94" s="51"/>
      <c r="AA94" s="51"/>
      <c r="AB94" s="51"/>
      <c r="AC94" s="51"/>
    </row>
    <row r="95" ht="15.75" customHeight="1">
      <c r="A95" s="49"/>
      <c r="B95" s="34"/>
      <c r="C95" s="34"/>
      <c r="D95" s="54"/>
      <c r="E95" s="54"/>
      <c r="F95" s="54"/>
      <c r="G95" s="49"/>
      <c r="H95" s="54"/>
      <c r="I95" s="54"/>
      <c r="J95" s="34"/>
      <c r="K95" s="49"/>
      <c r="L95" s="49"/>
      <c r="M95" s="49"/>
      <c r="N95" s="49"/>
      <c r="O95" s="50"/>
      <c r="P95" s="49"/>
      <c r="Q95" s="49"/>
      <c r="R95" s="49"/>
      <c r="S95" s="38"/>
      <c r="T95" s="49"/>
      <c r="U95" s="49"/>
      <c r="V95" s="49"/>
      <c r="W95" s="34"/>
      <c r="X95" s="51"/>
      <c r="Y95" s="51"/>
      <c r="Z95" s="51"/>
      <c r="AA95" s="51"/>
      <c r="AB95" s="51"/>
      <c r="AC95" s="51"/>
    </row>
    <row r="96" ht="15.75" customHeight="1">
      <c r="A96" s="49"/>
      <c r="B96" s="34"/>
      <c r="C96" s="34"/>
      <c r="D96" s="54"/>
      <c r="E96" s="54"/>
      <c r="F96" s="54"/>
      <c r="G96" s="49"/>
      <c r="H96" s="54"/>
      <c r="I96" s="54"/>
      <c r="J96" s="34"/>
      <c r="K96" s="49"/>
      <c r="L96" s="49"/>
      <c r="M96" s="49"/>
      <c r="N96" s="49"/>
      <c r="O96" s="50"/>
      <c r="P96" s="49"/>
      <c r="Q96" s="49"/>
      <c r="R96" s="49"/>
      <c r="S96" s="38"/>
      <c r="T96" s="49"/>
      <c r="U96" s="49"/>
      <c r="V96" s="49"/>
      <c r="W96" s="34"/>
      <c r="X96" s="51"/>
      <c r="Y96" s="51"/>
      <c r="Z96" s="51"/>
      <c r="AA96" s="51"/>
      <c r="AB96" s="51"/>
      <c r="AC96" s="51"/>
    </row>
    <row r="97" ht="15.75" customHeight="1">
      <c r="A97" s="49"/>
      <c r="B97" s="34"/>
      <c r="C97" s="34"/>
      <c r="D97" s="54"/>
      <c r="E97" s="54"/>
      <c r="F97" s="54"/>
      <c r="G97" s="49"/>
      <c r="H97" s="54"/>
      <c r="I97" s="54"/>
      <c r="J97" s="34"/>
      <c r="K97" s="49"/>
      <c r="L97" s="49"/>
      <c r="M97" s="49"/>
      <c r="N97" s="49"/>
      <c r="O97" s="50"/>
      <c r="P97" s="49"/>
      <c r="Q97" s="49"/>
      <c r="R97" s="49"/>
      <c r="S97" s="38"/>
      <c r="T97" s="49"/>
      <c r="U97" s="49"/>
      <c r="V97" s="49"/>
      <c r="W97" s="34"/>
      <c r="X97" s="51"/>
      <c r="Y97" s="51"/>
      <c r="Z97" s="51"/>
      <c r="AA97" s="51"/>
      <c r="AB97" s="51"/>
      <c r="AC97" s="51"/>
    </row>
    <row r="98" ht="15.75" customHeight="1">
      <c r="A98" s="49"/>
      <c r="B98" s="34"/>
      <c r="C98" s="34"/>
      <c r="D98" s="54"/>
      <c r="E98" s="54"/>
      <c r="F98" s="54"/>
      <c r="G98" s="49"/>
      <c r="H98" s="54"/>
      <c r="I98" s="54"/>
      <c r="J98" s="34"/>
      <c r="K98" s="49"/>
      <c r="L98" s="49"/>
      <c r="M98" s="49"/>
      <c r="N98" s="49"/>
      <c r="O98" s="50"/>
      <c r="P98" s="49"/>
      <c r="Q98" s="49"/>
      <c r="R98" s="49"/>
      <c r="S98" s="38"/>
      <c r="T98" s="49"/>
      <c r="U98" s="49"/>
      <c r="V98" s="49"/>
      <c r="W98" s="34"/>
      <c r="X98" s="51"/>
      <c r="Y98" s="51"/>
      <c r="Z98" s="51"/>
      <c r="AA98" s="51"/>
      <c r="AB98" s="51"/>
      <c r="AC98" s="51"/>
    </row>
    <row r="99" ht="15.75" customHeight="1">
      <c r="A99" s="49"/>
      <c r="B99" s="34"/>
      <c r="C99" s="34"/>
      <c r="D99" s="54"/>
      <c r="E99" s="54"/>
      <c r="F99" s="54"/>
      <c r="G99" s="49"/>
      <c r="H99" s="54"/>
      <c r="I99" s="54"/>
      <c r="J99" s="34"/>
      <c r="K99" s="49"/>
      <c r="L99" s="49"/>
      <c r="M99" s="49"/>
      <c r="N99" s="49"/>
      <c r="O99" s="50"/>
      <c r="P99" s="49"/>
      <c r="Q99" s="49"/>
      <c r="R99" s="49"/>
      <c r="S99" s="38"/>
      <c r="T99" s="49"/>
      <c r="U99" s="49"/>
      <c r="V99" s="49"/>
      <c r="W99" s="34"/>
      <c r="X99" s="51"/>
      <c r="Y99" s="51"/>
      <c r="Z99" s="51"/>
      <c r="AA99" s="51"/>
      <c r="AB99" s="51"/>
      <c r="AC99" s="51"/>
    </row>
    <row r="100" ht="15.75" customHeight="1">
      <c r="A100" s="49"/>
      <c r="B100" s="34"/>
      <c r="C100" s="34"/>
      <c r="D100" s="54"/>
      <c r="E100" s="54"/>
      <c r="F100" s="54"/>
      <c r="G100" s="49"/>
      <c r="H100" s="54"/>
      <c r="I100" s="54"/>
      <c r="J100" s="34"/>
      <c r="K100" s="49"/>
      <c r="L100" s="49"/>
      <c r="M100" s="49"/>
      <c r="N100" s="49"/>
      <c r="O100" s="50"/>
      <c r="P100" s="49"/>
      <c r="Q100" s="49"/>
      <c r="R100" s="49"/>
      <c r="S100" s="38"/>
      <c r="T100" s="49"/>
      <c r="U100" s="49"/>
      <c r="V100" s="49"/>
      <c r="W100" s="34"/>
      <c r="X100" s="51"/>
      <c r="Y100" s="51"/>
      <c r="Z100" s="51"/>
      <c r="AA100" s="51"/>
      <c r="AB100" s="51"/>
      <c r="AC100" s="51"/>
    </row>
    <row r="101" ht="15.75" customHeight="1">
      <c r="A101" s="49"/>
      <c r="B101" s="34"/>
      <c r="C101" s="34"/>
      <c r="D101" s="54"/>
      <c r="E101" s="54"/>
      <c r="F101" s="54"/>
      <c r="G101" s="49"/>
      <c r="H101" s="54"/>
      <c r="I101" s="54"/>
      <c r="J101" s="34"/>
      <c r="K101" s="49"/>
      <c r="L101" s="49"/>
      <c r="M101" s="49"/>
      <c r="N101" s="49"/>
      <c r="O101" s="50"/>
      <c r="P101" s="49"/>
      <c r="Q101" s="49"/>
      <c r="R101" s="49"/>
      <c r="S101" s="38"/>
      <c r="T101" s="49"/>
      <c r="U101" s="49"/>
      <c r="V101" s="49"/>
      <c r="W101" s="34"/>
      <c r="X101" s="51"/>
      <c r="Y101" s="51"/>
      <c r="Z101" s="51"/>
      <c r="AA101" s="51"/>
      <c r="AB101" s="51"/>
      <c r="AC101" s="51"/>
    </row>
    <row r="102" ht="15.75" customHeight="1">
      <c r="A102" s="49"/>
      <c r="B102" s="34"/>
      <c r="C102" s="34"/>
      <c r="D102" s="54"/>
      <c r="E102" s="54"/>
      <c r="F102" s="54"/>
      <c r="G102" s="49"/>
      <c r="H102" s="54"/>
      <c r="I102" s="54"/>
      <c r="J102" s="34"/>
      <c r="K102" s="49"/>
      <c r="L102" s="49"/>
      <c r="M102" s="49"/>
      <c r="N102" s="49"/>
      <c r="O102" s="50"/>
      <c r="P102" s="49"/>
      <c r="Q102" s="49"/>
      <c r="R102" s="49"/>
      <c r="S102" s="38"/>
      <c r="T102" s="49"/>
      <c r="U102" s="49"/>
      <c r="V102" s="49"/>
      <c r="W102" s="34"/>
      <c r="X102" s="51"/>
      <c r="Y102" s="51"/>
      <c r="Z102" s="51"/>
      <c r="AA102" s="51"/>
      <c r="AB102" s="51"/>
      <c r="AC102" s="51"/>
    </row>
    <row r="103" ht="15.75" customHeight="1">
      <c r="A103" s="49"/>
      <c r="B103" s="34"/>
      <c r="C103" s="34"/>
      <c r="D103" s="54"/>
      <c r="E103" s="54"/>
      <c r="F103" s="54"/>
      <c r="G103" s="49"/>
      <c r="H103" s="54"/>
      <c r="I103" s="54"/>
      <c r="J103" s="34"/>
      <c r="K103" s="49"/>
      <c r="L103" s="49"/>
      <c r="M103" s="49"/>
      <c r="N103" s="49"/>
      <c r="O103" s="50"/>
      <c r="P103" s="49"/>
      <c r="Q103" s="49"/>
      <c r="R103" s="49"/>
      <c r="S103" s="38"/>
      <c r="T103" s="49"/>
      <c r="U103" s="49"/>
      <c r="V103" s="49"/>
      <c r="W103" s="34"/>
      <c r="X103" s="51"/>
      <c r="Y103" s="51"/>
      <c r="Z103" s="51"/>
      <c r="AA103" s="51"/>
      <c r="AB103" s="51"/>
      <c r="AC103" s="51"/>
    </row>
    <row r="104" ht="15.75" customHeight="1">
      <c r="A104" s="49"/>
      <c r="B104" s="34"/>
      <c r="C104" s="34"/>
      <c r="D104" s="54"/>
      <c r="E104" s="54"/>
      <c r="F104" s="54"/>
      <c r="G104" s="49"/>
      <c r="H104" s="54"/>
      <c r="I104" s="54"/>
      <c r="J104" s="34"/>
      <c r="K104" s="49"/>
      <c r="L104" s="49"/>
      <c r="M104" s="49"/>
      <c r="N104" s="49"/>
      <c r="O104" s="50"/>
      <c r="P104" s="49"/>
      <c r="Q104" s="49"/>
      <c r="R104" s="49"/>
      <c r="S104" s="38"/>
      <c r="T104" s="49"/>
      <c r="U104" s="49"/>
      <c r="V104" s="49"/>
      <c r="W104" s="34"/>
      <c r="X104" s="51"/>
      <c r="Y104" s="51"/>
      <c r="Z104" s="51"/>
      <c r="AA104" s="51"/>
      <c r="AB104" s="51"/>
      <c r="AC104" s="51"/>
    </row>
    <row r="105" ht="15.75" customHeight="1">
      <c r="A105" s="49"/>
      <c r="B105" s="34"/>
      <c r="C105" s="34"/>
      <c r="D105" s="54"/>
      <c r="E105" s="54"/>
      <c r="F105" s="54"/>
      <c r="G105" s="49"/>
      <c r="H105" s="54"/>
      <c r="I105" s="54"/>
      <c r="J105" s="34"/>
      <c r="K105" s="49"/>
      <c r="L105" s="49"/>
      <c r="M105" s="49"/>
      <c r="N105" s="49"/>
      <c r="O105" s="50"/>
      <c r="P105" s="49"/>
      <c r="Q105" s="49"/>
      <c r="R105" s="49"/>
      <c r="S105" s="38"/>
      <c r="T105" s="49"/>
      <c r="U105" s="49"/>
      <c r="V105" s="49"/>
      <c r="W105" s="34"/>
      <c r="X105" s="51"/>
      <c r="Y105" s="51"/>
      <c r="Z105" s="51"/>
      <c r="AA105" s="51"/>
      <c r="AB105" s="51"/>
      <c r="AC105" s="51"/>
    </row>
    <row r="106" ht="15.75" customHeight="1">
      <c r="A106" s="49"/>
      <c r="B106" s="34"/>
      <c r="C106" s="34"/>
      <c r="D106" s="54"/>
      <c r="E106" s="54"/>
      <c r="F106" s="54"/>
      <c r="G106" s="49"/>
      <c r="H106" s="54"/>
      <c r="I106" s="54"/>
      <c r="J106" s="34"/>
      <c r="K106" s="49"/>
      <c r="L106" s="49"/>
      <c r="M106" s="49"/>
      <c r="N106" s="49"/>
      <c r="O106" s="50"/>
      <c r="P106" s="49"/>
      <c r="Q106" s="49"/>
      <c r="R106" s="49"/>
      <c r="S106" s="38"/>
      <c r="T106" s="49"/>
      <c r="U106" s="49"/>
      <c r="V106" s="49"/>
      <c r="W106" s="34"/>
      <c r="X106" s="51"/>
      <c r="Y106" s="51"/>
      <c r="Z106" s="51"/>
      <c r="AA106" s="51"/>
      <c r="AB106" s="51"/>
      <c r="AC106" s="51"/>
    </row>
    <row r="107" ht="15.75" customHeight="1">
      <c r="A107" s="49"/>
      <c r="B107" s="34"/>
      <c r="C107" s="34"/>
      <c r="D107" s="54"/>
      <c r="E107" s="54"/>
      <c r="F107" s="54"/>
      <c r="G107" s="49"/>
      <c r="H107" s="54"/>
      <c r="I107" s="54"/>
      <c r="J107" s="34"/>
      <c r="K107" s="49"/>
      <c r="L107" s="49"/>
      <c r="M107" s="49"/>
      <c r="N107" s="49"/>
      <c r="O107" s="50"/>
      <c r="P107" s="49"/>
      <c r="Q107" s="49"/>
      <c r="R107" s="49"/>
      <c r="S107" s="38"/>
      <c r="T107" s="49"/>
      <c r="U107" s="49"/>
      <c r="V107" s="49"/>
      <c r="W107" s="34"/>
      <c r="X107" s="51"/>
      <c r="Y107" s="51"/>
      <c r="Z107" s="51"/>
      <c r="AA107" s="51"/>
      <c r="AB107" s="51"/>
      <c r="AC107" s="51"/>
    </row>
    <row r="108" ht="15.75" customHeight="1">
      <c r="A108" s="49"/>
      <c r="B108" s="34"/>
      <c r="C108" s="34"/>
      <c r="D108" s="54"/>
      <c r="E108" s="54"/>
      <c r="F108" s="54"/>
      <c r="G108" s="49"/>
      <c r="H108" s="54"/>
      <c r="I108" s="54"/>
      <c r="J108" s="34"/>
      <c r="K108" s="49"/>
      <c r="L108" s="49"/>
      <c r="M108" s="49"/>
      <c r="N108" s="49"/>
      <c r="O108" s="50"/>
      <c r="P108" s="49"/>
      <c r="Q108" s="49"/>
      <c r="R108" s="49"/>
      <c r="S108" s="38"/>
      <c r="T108" s="49"/>
      <c r="U108" s="49"/>
      <c r="V108" s="49"/>
      <c r="W108" s="34"/>
      <c r="X108" s="51"/>
      <c r="Y108" s="51"/>
      <c r="Z108" s="51"/>
      <c r="AA108" s="51"/>
      <c r="AB108" s="51"/>
      <c r="AC108" s="51"/>
    </row>
    <row r="109" ht="15.75" customHeight="1">
      <c r="A109" s="49"/>
      <c r="B109" s="34"/>
      <c r="C109" s="34"/>
      <c r="D109" s="54"/>
      <c r="E109" s="54"/>
      <c r="F109" s="54"/>
      <c r="G109" s="49"/>
      <c r="H109" s="54"/>
      <c r="I109" s="54"/>
      <c r="J109" s="34"/>
      <c r="K109" s="49"/>
      <c r="L109" s="49"/>
      <c r="M109" s="49"/>
      <c r="N109" s="49"/>
      <c r="O109" s="50"/>
      <c r="P109" s="49"/>
      <c r="Q109" s="49"/>
      <c r="R109" s="49"/>
      <c r="S109" s="38"/>
      <c r="T109" s="49"/>
      <c r="U109" s="49"/>
      <c r="V109" s="49"/>
      <c r="W109" s="34"/>
      <c r="X109" s="51"/>
      <c r="Y109" s="51"/>
      <c r="Z109" s="51"/>
      <c r="AA109" s="51"/>
      <c r="AB109" s="51"/>
      <c r="AC109" s="51"/>
    </row>
    <row r="110" ht="15.75" customHeight="1">
      <c r="A110" s="49"/>
      <c r="B110" s="34"/>
      <c r="C110" s="34"/>
      <c r="D110" s="54"/>
      <c r="E110" s="54"/>
      <c r="F110" s="54"/>
      <c r="G110" s="49"/>
      <c r="H110" s="54"/>
      <c r="I110" s="54"/>
      <c r="J110" s="34"/>
      <c r="K110" s="49"/>
      <c r="L110" s="49"/>
      <c r="M110" s="49"/>
      <c r="N110" s="49"/>
      <c r="O110" s="50"/>
      <c r="P110" s="49"/>
      <c r="Q110" s="49"/>
      <c r="R110" s="49"/>
      <c r="S110" s="38"/>
      <c r="T110" s="49"/>
      <c r="U110" s="49"/>
      <c r="V110" s="49"/>
      <c r="W110" s="34"/>
      <c r="X110" s="51"/>
      <c r="Y110" s="51"/>
      <c r="Z110" s="51"/>
      <c r="AA110" s="51"/>
      <c r="AB110" s="51"/>
      <c r="AC110" s="51"/>
    </row>
    <row r="111" ht="15.75" customHeight="1">
      <c r="A111" s="49"/>
      <c r="B111" s="34"/>
      <c r="C111" s="34"/>
      <c r="D111" s="54"/>
      <c r="E111" s="54"/>
      <c r="F111" s="54"/>
      <c r="G111" s="49"/>
      <c r="H111" s="54"/>
      <c r="I111" s="54"/>
      <c r="J111" s="34"/>
      <c r="K111" s="49"/>
      <c r="L111" s="49"/>
      <c r="M111" s="49"/>
      <c r="N111" s="49"/>
      <c r="O111" s="50"/>
      <c r="P111" s="49"/>
      <c r="Q111" s="49"/>
      <c r="R111" s="49"/>
      <c r="S111" s="38"/>
      <c r="T111" s="49"/>
      <c r="U111" s="49"/>
      <c r="V111" s="49"/>
      <c r="W111" s="34"/>
      <c r="X111" s="51"/>
      <c r="Y111" s="51"/>
      <c r="Z111" s="51"/>
      <c r="AA111" s="51"/>
      <c r="AB111" s="51"/>
      <c r="AC111" s="51"/>
    </row>
    <row r="112" ht="15.75" customHeight="1">
      <c r="A112" s="49"/>
      <c r="B112" s="34"/>
      <c r="C112" s="34"/>
      <c r="D112" s="54"/>
      <c r="E112" s="54"/>
      <c r="F112" s="54"/>
      <c r="G112" s="49"/>
      <c r="H112" s="54"/>
      <c r="I112" s="54"/>
      <c r="J112" s="34"/>
      <c r="K112" s="49"/>
      <c r="L112" s="49"/>
      <c r="M112" s="49"/>
      <c r="N112" s="49"/>
      <c r="O112" s="50"/>
      <c r="P112" s="49"/>
      <c r="Q112" s="49"/>
      <c r="R112" s="49"/>
      <c r="S112" s="38"/>
      <c r="T112" s="49"/>
      <c r="U112" s="49"/>
      <c r="V112" s="49"/>
      <c r="W112" s="34"/>
      <c r="X112" s="51"/>
      <c r="Y112" s="51"/>
      <c r="Z112" s="51"/>
      <c r="AA112" s="51"/>
      <c r="AB112" s="51"/>
      <c r="AC112" s="51"/>
    </row>
    <row r="113" ht="15.75" customHeight="1">
      <c r="A113" s="49"/>
      <c r="B113" s="34"/>
      <c r="C113" s="34"/>
      <c r="D113" s="54"/>
      <c r="E113" s="54"/>
      <c r="F113" s="54"/>
      <c r="G113" s="49"/>
      <c r="H113" s="54"/>
      <c r="I113" s="54"/>
      <c r="J113" s="34"/>
      <c r="K113" s="49"/>
      <c r="L113" s="49"/>
      <c r="M113" s="49"/>
      <c r="N113" s="49"/>
      <c r="O113" s="50"/>
      <c r="P113" s="49"/>
      <c r="Q113" s="49"/>
      <c r="R113" s="49"/>
      <c r="S113" s="38"/>
      <c r="T113" s="49"/>
      <c r="U113" s="49"/>
      <c r="V113" s="49"/>
      <c r="W113" s="34"/>
      <c r="X113" s="51"/>
      <c r="Y113" s="51"/>
      <c r="Z113" s="51"/>
      <c r="AA113" s="51"/>
      <c r="AB113" s="51"/>
      <c r="AC113" s="51"/>
    </row>
    <row r="114" ht="15.75" customHeight="1">
      <c r="A114" s="49"/>
      <c r="B114" s="34"/>
      <c r="C114" s="34"/>
      <c r="D114" s="54"/>
      <c r="E114" s="54"/>
      <c r="F114" s="54"/>
      <c r="G114" s="49"/>
      <c r="H114" s="54"/>
      <c r="I114" s="54"/>
      <c r="J114" s="34"/>
      <c r="K114" s="49"/>
      <c r="L114" s="49"/>
      <c r="M114" s="49"/>
      <c r="N114" s="49"/>
      <c r="O114" s="50"/>
      <c r="P114" s="49"/>
      <c r="Q114" s="49"/>
      <c r="R114" s="49"/>
      <c r="S114" s="38"/>
      <c r="T114" s="49"/>
      <c r="U114" s="49"/>
      <c r="V114" s="49"/>
      <c r="W114" s="34"/>
      <c r="X114" s="51"/>
      <c r="Y114" s="51"/>
      <c r="Z114" s="51"/>
      <c r="AA114" s="51"/>
      <c r="AB114" s="51"/>
      <c r="AC114" s="51"/>
    </row>
    <row r="115" ht="15.75" customHeight="1">
      <c r="A115" s="49"/>
      <c r="B115" s="34"/>
      <c r="C115" s="34"/>
      <c r="D115" s="54"/>
      <c r="E115" s="54"/>
      <c r="F115" s="54"/>
      <c r="G115" s="49"/>
      <c r="H115" s="54"/>
      <c r="I115" s="54"/>
      <c r="J115" s="34"/>
      <c r="K115" s="49"/>
      <c r="L115" s="49"/>
      <c r="M115" s="49"/>
      <c r="N115" s="49"/>
      <c r="O115" s="50"/>
      <c r="P115" s="49"/>
      <c r="Q115" s="49"/>
      <c r="R115" s="49"/>
      <c r="S115" s="38"/>
      <c r="T115" s="49"/>
      <c r="U115" s="49"/>
      <c r="V115" s="49"/>
      <c r="W115" s="34"/>
      <c r="X115" s="51"/>
      <c r="Y115" s="51"/>
      <c r="Z115" s="51"/>
      <c r="AA115" s="51"/>
      <c r="AB115" s="51"/>
      <c r="AC115" s="51"/>
    </row>
    <row r="116" ht="15.75" customHeight="1">
      <c r="A116" s="49"/>
      <c r="B116" s="34"/>
      <c r="C116" s="34"/>
      <c r="D116" s="54"/>
      <c r="E116" s="54"/>
      <c r="F116" s="54"/>
      <c r="G116" s="49"/>
      <c r="H116" s="54"/>
      <c r="I116" s="54"/>
      <c r="J116" s="34"/>
      <c r="K116" s="49"/>
      <c r="L116" s="49"/>
      <c r="M116" s="49"/>
      <c r="N116" s="49"/>
      <c r="O116" s="50"/>
      <c r="P116" s="49"/>
      <c r="Q116" s="49"/>
      <c r="R116" s="49"/>
      <c r="S116" s="38"/>
      <c r="T116" s="49"/>
      <c r="U116" s="49"/>
      <c r="V116" s="49"/>
      <c r="W116" s="34"/>
      <c r="X116" s="51"/>
      <c r="Y116" s="51"/>
      <c r="Z116" s="51"/>
      <c r="AA116" s="51"/>
      <c r="AB116" s="51"/>
      <c r="AC116" s="51"/>
    </row>
    <row r="117" ht="15.75" customHeight="1">
      <c r="A117" s="49"/>
      <c r="B117" s="34"/>
      <c r="C117" s="34"/>
      <c r="D117" s="54"/>
      <c r="E117" s="54"/>
      <c r="F117" s="54"/>
      <c r="G117" s="49"/>
      <c r="H117" s="54"/>
      <c r="I117" s="54"/>
      <c r="J117" s="34"/>
      <c r="K117" s="49"/>
      <c r="L117" s="49"/>
      <c r="M117" s="49"/>
      <c r="N117" s="49"/>
      <c r="O117" s="50"/>
      <c r="P117" s="49"/>
      <c r="Q117" s="49"/>
      <c r="R117" s="49"/>
      <c r="S117" s="38"/>
      <c r="T117" s="49"/>
      <c r="U117" s="49"/>
      <c r="V117" s="49"/>
      <c r="W117" s="34"/>
      <c r="X117" s="51"/>
      <c r="Y117" s="51"/>
      <c r="Z117" s="51"/>
      <c r="AA117" s="51"/>
      <c r="AB117" s="51"/>
      <c r="AC117" s="51"/>
    </row>
    <row r="118" ht="15.75" customHeight="1">
      <c r="A118" s="49"/>
      <c r="B118" s="34"/>
      <c r="C118" s="34"/>
      <c r="D118" s="54"/>
      <c r="E118" s="54"/>
      <c r="F118" s="54"/>
      <c r="G118" s="49"/>
      <c r="H118" s="54"/>
      <c r="I118" s="54"/>
      <c r="J118" s="34"/>
      <c r="K118" s="49"/>
      <c r="L118" s="49"/>
      <c r="M118" s="49"/>
      <c r="N118" s="49"/>
      <c r="O118" s="50"/>
      <c r="P118" s="49"/>
      <c r="Q118" s="49"/>
      <c r="R118" s="49"/>
      <c r="S118" s="38"/>
      <c r="T118" s="49"/>
      <c r="U118" s="49"/>
      <c r="V118" s="49"/>
      <c r="W118" s="34"/>
      <c r="X118" s="51"/>
      <c r="Y118" s="51"/>
      <c r="Z118" s="51"/>
      <c r="AA118" s="51"/>
      <c r="AB118" s="51"/>
      <c r="AC118" s="51"/>
    </row>
    <row r="119" ht="15.75" customHeight="1">
      <c r="A119" s="49"/>
      <c r="B119" s="34"/>
      <c r="C119" s="34"/>
      <c r="D119" s="54"/>
      <c r="E119" s="54"/>
      <c r="F119" s="54"/>
      <c r="G119" s="49"/>
      <c r="H119" s="54"/>
      <c r="I119" s="54"/>
      <c r="J119" s="34"/>
      <c r="K119" s="49"/>
      <c r="L119" s="49"/>
      <c r="M119" s="49"/>
      <c r="N119" s="49"/>
      <c r="O119" s="50"/>
      <c r="P119" s="49"/>
      <c r="Q119" s="49"/>
      <c r="R119" s="49"/>
      <c r="S119" s="38"/>
      <c r="T119" s="49"/>
      <c r="U119" s="49"/>
      <c r="V119" s="49"/>
      <c r="W119" s="34"/>
      <c r="X119" s="51"/>
      <c r="Y119" s="51"/>
      <c r="Z119" s="51"/>
      <c r="AA119" s="51"/>
      <c r="AB119" s="51"/>
      <c r="AC119" s="51"/>
    </row>
    <row r="120" ht="15.75" customHeight="1">
      <c r="A120" s="49"/>
      <c r="B120" s="34"/>
      <c r="C120" s="34"/>
      <c r="D120" s="54"/>
      <c r="E120" s="54"/>
      <c r="F120" s="54"/>
      <c r="G120" s="49"/>
      <c r="H120" s="54"/>
      <c r="I120" s="54"/>
      <c r="J120" s="34"/>
      <c r="K120" s="49"/>
      <c r="L120" s="49"/>
      <c r="M120" s="49"/>
      <c r="N120" s="49"/>
      <c r="O120" s="50"/>
      <c r="P120" s="49"/>
      <c r="Q120" s="49"/>
      <c r="R120" s="49"/>
      <c r="S120" s="38"/>
      <c r="T120" s="49"/>
      <c r="U120" s="49"/>
      <c r="V120" s="49"/>
      <c r="W120" s="34"/>
      <c r="X120" s="51"/>
      <c r="Y120" s="51"/>
      <c r="Z120" s="51"/>
      <c r="AA120" s="51"/>
      <c r="AB120" s="51"/>
      <c r="AC120" s="51"/>
    </row>
    <row r="121" ht="15.75" customHeight="1">
      <c r="A121" s="49"/>
      <c r="B121" s="34"/>
      <c r="C121" s="34"/>
      <c r="D121" s="54"/>
      <c r="E121" s="54"/>
      <c r="F121" s="54"/>
      <c r="G121" s="49"/>
      <c r="H121" s="54"/>
      <c r="I121" s="54"/>
      <c r="J121" s="34"/>
      <c r="K121" s="49"/>
      <c r="L121" s="49"/>
      <c r="M121" s="49"/>
      <c r="N121" s="49"/>
      <c r="O121" s="50"/>
      <c r="P121" s="49"/>
      <c r="Q121" s="49"/>
      <c r="R121" s="49"/>
      <c r="S121" s="38"/>
      <c r="T121" s="49"/>
      <c r="U121" s="49"/>
      <c r="V121" s="49"/>
      <c r="W121" s="34"/>
      <c r="X121" s="51"/>
      <c r="Y121" s="51"/>
      <c r="Z121" s="51"/>
      <c r="AA121" s="51"/>
      <c r="AB121" s="51"/>
      <c r="AC121" s="51"/>
    </row>
    <row r="122" ht="15.75" customHeight="1">
      <c r="A122" s="49"/>
      <c r="B122" s="34"/>
      <c r="C122" s="34"/>
      <c r="D122" s="54"/>
      <c r="E122" s="54"/>
      <c r="F122" s="54"/>
      <c r="G122" s="49"/>
      <c r="H122" s="54"/>
      <c r="I122" s="54"/>
      <c r="J122" s="34"/>
      <c r="K122" s="49"/>
      <c r="L122" s="49"/>
      <c r="M122" s="49"/>
      <c r="N122" s="49"/>
      <c r="O122" s="50"/>
      <c r="P122" s="49"/>
      <c r="Q122" s="49"/>
      <c r="R122" s="49"/>
      <c r="S122" s="38"/>
      <c r="T122" s="49"/>
      <c r="U122" s="49"/>
      <c r="V122" s="49"/>
      <c r="W122" s="34"/>
      <c r="X122" s="51"/>
      <c r="Y122" s="51"/>
      <c r="Z122" s="51"/>
      <c r="AA122" s="51"/>
      <c r="AB122" s="51"/>
      <c r="AC122" s="51"/>
    </row>
    <row r="123" ht="15.75" customHeight="1">
      <c r="A123" s="49"/>
      <c r="B123" s="34"/>
      <c r="C123" s="34"/>
      <c r="D123" s="54"/>
      <c r="E123" s="54"/>
      <c r="F123" s="54"/>
      <c r="G123" s="49"/>
      <c r="H123" s="54"/>
      <c r="I123" s="54"/>
      <c r="J123" s="34"/>
      <c r="K123" s="49"/>
      <c r="L123" s="49"/>
      <c r="M123" s="49"/>
      <c r="N123" s="49"/>
      <c r="O123" s="50"/>
      <c r="P123" s="49"/>
      <c r="Q123" s="49"/>
      <c r="R123" s="49"/>
      <c r="S123" s="38"/>
      <c r="T123" s="49"/>
      <c r="U123" s="49"/>
      <c r="V123" s="49"/>
      <c r="W123" s="34"/>
      <c r="X123" s="51"/>
      <c r="Y123" s="51"/>
      <c r="Z123" s="51"/>
      <c r="AA123" s="51"/>
      <c r="AB123" s="51"/>
      <c r="AC123" s="51"/>
    </row>
    <row r="124" ht="15.75" customHeight="1">
      <c r="A124" s="49"/>
      <c r="B124" s="34"/>
      <c r="C124" s="34"/>
      <c r="D124" s="54"/>
      <c r="E124" s="54"/>
      <c r="F124" s="54"/>
      <c r="G124" s="49"/>
      <c r="H124" s="54"/>
      <c r="I124" s="54"/>
      <c r="J124" s="34"/>
      <c r="K124" s="49"/>
      <c r="L124" s="49"/>
      <c r="M124" s="49"/>
      <c r="N124" s="49"/>
      <c r="O124" s="50"/>
      <c r="P124" s="49"/>
      <c r="Q124" s="49"/>
      <c r="R124" s="49"/>
      <c r="S124" s="38"/>
      <c r="T124" s="49"/>
      <c r="U124" s="49"/>
      <c r="V124" s="49"/>
      <c r="W124" s="34"/>
      <c r="X124" s="51"/>
      <c r="Y124" s="51"/>
      <c r="Z124" s="51"/>
      <c r="AA124" s="51"/>
      <c r="AB124" s="51"/>
      <c r="AC124" s="51"/>
    </row>
    <row r="125" ht="15.75" customHeight="1">
      <c r="A125" s="49"/>
      <c r="B125" s="34"/>
      <c r="C125" s="34"/>
      <c r="D125" s="54"/>
      <c r="E125" s="54"/>
      <c r="F125" s="54"/>
      <c r="G125" s="49"/>
      <c r="H125" s="54"/>
      <c r="I125" s="54"/>
      <c r="J125" s="34"/>
      <c r="K125" s="49"/>
      <c r="L125" s="49"/>
      <c r="M125" s="49"/>
      <c r="N125" s="49"/>
      <c r="O125" s="50"/>
      <c r="P125" s="49"/>
      <c r="Q125" s="49"/>
      <c r="R125" s="49"/>
      <c r="S125" s="38"/>
      <c r="T125" s="49"/>
      <c r="U125" s="49"/>
      <c r="V125" s="49"/>
      <c r="W125" s="34"/>
      <c r="X125" s="51"/>
      <c r="Y125" s="51"/>
      <c r="Z125" s="51"/>
      <c r="AA125" s="51"/>
      <c r="AB125" s="51"/>
      <c r="AC125" s="51"/>
    </row>
    <row r="126" ht="15.75" customHeight="1">
      <c r="A126" s="49"/>
      <c r="B126" s="34"/>
      <c r="C126" s="34"/>
      <c r="D126" s="54"/>
      <c r="E126" s="54"/>
      <c r="F126" s="54"/>
      <c r="G126" s="49"/>
      <c r="H126" s="54"/>
      <c r="I126" s="54"/>
      <c r="J126" s="34"/>
      <c r="K126" s="49"/>
      <c r="L126" s="49"/>
      <c r="M126" s="49"/>
      <c r="N126" s="49"/>
      <c r="O126" s="50"/>
      <c r="P126" s="49"/>
      <c r="Q126" s="49"/>
      <c r="R126" s="49"/>
      <c r="S126" s="38"/>
      <c r="T126" s="49"/>
      <c r="U126" s="49"/>
      <c r="V126" s="49"/>
      <c r="W126" s="34"/>
      <c r="X126" s="51"/>
      <c r="Y126" s="51"/>
      <c r="Z126" s="51"/>
      <c r="AA126" s="51"/>
      <c r="AB126" s="51"/>
      <c r="AC126" s="51"/>
    </row>
    <row r="127" ht="15.75" customHeight="1">
      <c r="A127" s="49"/>
      <c r="B127" s="34"/>
      <c r="C127" s="34"/>
      <c r="D127" s="54"/>
      <c r="E127" s="54"/>
      <c r="F127" s="54"/>
      <c r="G127" s="49"/>
      <c r="H127" s="54"/>
      <c r="I127" s="54"/>
      <c r="J127" s="34"/>
      <c r="K127" s="49"/>
      <c r="L127" s="49"/>
      <c r="M127" s="49"/>
      <c r="N127" s="49"/>
      <c r="O127" s="50"/>
      <c r="P127" s="49"/>
      <c r="Q127" s="49"/>
      <c r="R127" s="49"/>
      <c r="S127" s="38"/>
      <c r="T127" s="49"/>
      <c r="U127" s="49"/>
      <c r="V127" s="49"/>
      <c r="W127" s="34"/>
      <c r="X127" s="51"/>
      <c r="Y127" s="51"/>
      <c r="Z127" s="51"/>
      <c r="AA127" s="51"/>
      <c r="AB127" s="51"/>
      <c r="AC127" s="51"/>
    </row>
    <row r="128" ht="15.75" customHeight="1">
      <c r="A128" s="49"/>
      <c r="B128" s="34"/>
      <c r="C128" s="34"/>
      <c r="D128" s="54"/>
      <c r="E128" s="54"/>
      <c r="F128" s="54"/>
      <c r="G128" s="49"/>
      <c r="H128" s="54"/>
      <c r="I128" s="54"/>
      <c r="J128" s="34"/>
      <c r="K128" s="49"/>
      <c r="L128" s="49"/>
      <c r="M128" s="49"/>
      <c r="N128" s="49"/>
      <c r="O128" s="50"/>
      <c r="P128" s="49"/>
      <c r="Q128" s="49"/>
      <c r="R128" s="49"/>
      <c r="S128" s="38"/>
      <c r="T128" s="49"/>
      <c r="U128" s="49"/>
      <c r="V128" s="49"/>
      <c r="W128" s="34"/>
      <c r="X128" s="51"/>
      <c r="Y128" s="51"/>
      <c r="Z128" s="51"/>
      <c r="AA128" s="51"/>
      <c r="AB128" s="51"/>
      <c r="AC128" s="51"/>
    </row>
    <row r="129" ht="15.75" customHeight="1">
      <c r="A129" s="49"/>
      <c r="B129" s="34"/>
      <c r="C129" s="34"/>
      <c r="D129" s="54"/>
      <c r="E129" s="54"/>
      <c r="F129" s="54"/>
      <c r="G129" s="49"/>
      <c r="H129" s="54"/>
      <c r="I129" s="54"/>
      <c r="J129" s="34"/>
      <c r="K129" s="49"/>
      <c r="L129" s="49"/>
      <c r="M129" s="49"/>
      <c r="N129" s="49"/>
      <c r="O129" s="50"/>
      <c r="P129" s="49"/>
      <c r="Q129" s="49"/>
      <c r="R129" s="49"/>
      <c r="S129" s="38"/>
      <c r="T129" s="49"/>
      <c r="U129" s="49"/>
      <c r="V129" s="49"/>
      <c r="W129" s="34"/>
      <c r="X129" s="51"/>
      <c r="Y129" s="51"/>
      <c r="Z129" s="51"/>
      <c r="AA129" s="51"/>
      <c r="AB129" s="51"/>
      <c r="AC129" s="51"/>
    </row>
    <row r="130" ht="15.75" customHeight="1">
      <c r="A130" s="49"/>
      <c r="B130" s="34"/>
      <c r="C130" s="34"/>
      <c r="D130" s="54"/>
      <c r="E130" s="54"/>
      <c r="F130" s="54"/>
      <c r="G130" s="49"/>
      <c r="H130" s="54"/>
      <c r="I130" s="54"/>
      <c r="J130" s="34"/>
      <c r="K130" s="49"/>
      <c r="L130" s="49"/>
      <c r="M130" s="49"/>
      <c r="N130" s="49"/>
      <c r="O130" s="50"/>
      <c r="P130" s="49"/>
      <c r="Q130" s="49"/>
      <c r="R130" s="49"/>
      <c r="S130" s="38"/>
      <c r="T130" s="49"/>
      <c r="U130" s="49"/>
      <c r="V130" s="49"/>
      <c r="W130" s="34"/>
      <c r="X130" s="51"/>
      <c r="Y130" s="51"/>
      <c r="Z130" s="51"/>
      <c r="AA130" s="51"/>
      <c r="AB130" s="51"/>
      <c r="AC130" s="51"/>
    </row>
    <row r="131" ht="15.75" customHeight="1">
      <c r="A131" s="49"/>
      <c r="B131" s="34"/>
      <c r="C131" s="34"/>
      <c r="D131" s="54"/>
      <c r="E131" s="54"/>
      <c r="F131" s="54"/>
      <c r="G131" s="49"/>
      <c r="H131" s="54"/>
      <c r="I131" s="54"/>
      <c r="J131" s="34"/>
      <c r="K131" s="49"/>
      <c r="L131" s="49"/>
      <c r="M131" s="49"/>
      <c r="N131" s="49"/>
      <c r="O131" s="50"/>
      <c r="P131" s="49"/>
      <c r="Q131" s="49"/>
      <c r="R131" s="49"/>
      <c r="S131" s="38"/>
      <c r="T131" s="49"/>
      <c r="U131" s="49"/>
      <c r="V131" s="49"/>
      <c r="W131" s="34"/>
      <c r="X131" s="51"/>
      <c r="Y131" s="51"/>
      <c r="Z131" s="51"/>
      <c r="AA131" s="51"/>
      <c r="AB131" s="51"/>
      <c r="AC131" s="51"/>
    </row>
    <row r="132" ht="15.75" customHeight="1">
      <c r="A132" s="49"/>
      <c r="B132" s="34"/>
      <c r="C132" s="34"/>
      <c r="D132" s="54"/>
      <c r="E132" s="54"/>
      <c r="F132" s="54"/>
      <c r="G132" s="49"/>
      <c r="H132" s="54"/>
      <c r="I132" s="54"/>
      <c r="J132" s="34"/>
      <c r="K132" s="49"/>
      <c r="L132" s="49"/>
      <c r="M132" s="49"/>
      <c r="N132" s="49"/>
      <c r="O132" s="50"/>
      <c r="P132" s="49"/>
      <c r="Q132" s="49"/>
      <c r="R132" s="49"/>
      <c r="S132" s="38"/>
      <c r="T132" s="49"/>
      <c r="U132" s="49"/>
      <c r="V132" s="49"/>
      <c r="W132" s="34"/>
      <c r="X132" s="51"/>
      <c r="Y132" s="51"/>
      <c r="Z132" s="51"/>
      <c r="AA132" s="51"/>
      <c r="AB132" s="51"/>
      <c r="AC132" s="51"/>
    </row>
    <row r="133" ht="15.75" customHeight="1">
      <c r="A133" s="49"/>
      <c r="B133" s="34"/>
      <c r="C133" s="34"/>
      <c r="D133" s="54"/>
      <c r="E133" s="54"/>
      <c r="F133" s="54"/>
      <c r="G133" s="49"/>
      <c r="H133" s="54"/>
      <c r="I133" s="54"/>
      <c r="J133" s="34"/>
      <c r="K133" s="49"/>
      <c r="L133" s="49"/>
      <c r="M133" s="49"/>
      <c r="N133" s="49"/>
      <c r="O133" s="50"/>
      <c r="P133" s="49"/>
      <c r="Q133" s="49"/>
      <c r="R133" s="49"/>
      <c r="S133" s="38"/>
      <c r="T133" s="49"/>
      <c r="U133" s="49"/>
      <c r="V133" s="49"/>
      <c r="W133" s="34"/>
      <c r="X133" s="51"/>
      <c r="Y133" s="51"/>
      <c r="Z133" s="51"/>
      <c r="AA133" s="51"/>
      <c r="AB133" s="51"/>
      <c r="AC133" s="51"/>
    </row>
    <row r="134" ht="15.75" customHeight="1">
      <c r="A134" s="49"/>
      <c r="B134" s="34"/>
      <c r="C134" s="34"/>
      <c r="D134" s="54"/>
      <c r="E134" s="54"/>
      <c r="F134" s="54"/>
      <c r="G134" s="49"/>
      <c r="H134" s="54"/>
      <c r="I134" s="54"/>
      <c r="J134" s="34"/>
      <c r="K134" s="49"/>
      <c r="L134" s="49"/>
      <c r="M134" s="49"/>
      <c r="N134" s="49"/>
      <c r="O134" s="50"/>
      <c r="P134" s="49"/>
      <c r="Q134" s="49"/>
      <c r="R134" s="49"/>
      <c r="S134" s="38"/>
      <c r="T134" s="49"/>
      <c r="U134" s="49"/>
      <c r="V134" s="49"/>
      <c r="W134" s="34"/>
      <c r="X134" s="51"/>
      <c r="Y134" s="51"/>
      <c r="Z134" s="51"/>
      <c r="AA134" s="51"/>
      <c r="AB134" s="51"/>
      <c r="AC134" s="51"/>
    </row>
    <row r="135" ht="15.75" customHeight="1">
      <c r="A135" s="49"/>
      <c r="B135" s="34"/>
      <c r="C135" s="34"/>
      <c r="D135" s="54"/>
      <c r="E135" s="54"/>
      <c r="F135" s="54"/>
      <c r="G135" s="49"/>
      <c r="H135" s="54"/>
      <c r="I135" s="54"/>
      <c r="J135" s="34"/>
      <c r="K135" s="49"/>
      <c r="L135" s="49"/>
      <c r="M135" s="49"/>
      <c r="N135" s="49"/>
      <c r="O135" s="50"/>
      <c r="P135" s="49"/>
      <c r="Q135" s="49"/>
      <c r="R135" s="49"/>
      <c r="S135" s="38"/>
      <c r="T135" s="49"/>
      <c r="U135" s="49"/>
      <c r="V135" s="49"/>
      <c r="W135" s="34"/>
      <c r="X135" s="51"/>
      <c r="Y135" s="51"/>
      <c r="Z135" s="51"/>
      <c r="AA135" s="51"/>
      <c r="AB135" s="51"/>
      <c r="AC135" s="51"/>
    </row>
    <row r="136" ht="15.75" customHeight="1">
      <c r="A136" s="49"/>
      <c r="B136" s="34"/>
      <c r="C136" s="34"/>
      <c r="D136" s="54"/>
      <c r="E136" s="54"/>
      <c r="F136" s="54"/>
      <c r="G136" s="49"/>
      <c r="H136" s="54"/>
      <c r="I136" s="54"/>
      <c r="J136" s="34"/>
      <c r="K136" s="49"/>
      <c r="L136" s="49"/>
      <c r="M136" s="49"/>
      <c r="N136" s="49"/>
      <c r="O136" s="50"/>
      <c r="P136" s="49"/>
      <c r="Q136" s="49"/>
      <c r="R136" s="49"/>
      <c r="S136" s="38"/>
      <c r="T136" s="49"/>
      <c r="U136" s="49"/>
      <c r="V136" s="49"/>
      <c r="W136" s="34"/>
      <c r="X136" s="51"/>
      <c r="Y136" s="51"/>
      <c r="Z136" s="51"/>
      <c r="AA136" s="51"/>
      <c r="AB136" s="51"/>
      <c r="AC136" s="51"/>
    </row>
    <row r="137" ht="15.75" customHeight="1">
      <c r="A137" s="49"/>
      <c r="B137" s="34"/>
      <c r="C137" s="34"/>
      <c r="D137" s="54"/>
      <c r="E137" s="54"/>
      <c r="F137" s="54"/>
      <c r="G137" s="49"/>
      <c r="H137" s="54"/>
      <c r="I137" s="54"/>
      <c r="J137" s="34"/>
      <c r="K137" s="49"/>
      <c r="L137" s="49"/>
      <c r="M137" s="49"/>
      <c r="N137" s="49"/>
      <c r="O137" s="50"/>
      <c r="P137" s="49"/>
      <c r="Q137" s="49"/>
      <c r="R137" s="49"/>
      <c r="S137" s="38"/>
      <c r="T137" s="49"/>
      <c r="U137" s="49"/>
      <c r="V137" s="49"/>
      <c r="W137" s="34"/>
      <c r="X137" s="51"/>
      <c r="Y137" s="51"/>
      <c r="Z137" s="51"/>
      <c r="AA137" s="51"/>
      <c r="AB137" s="51"/>
      <c r="AC137" s="51"/>
    </row>
    <row r="138" ht="15.75" customHeight="1">
      <c r="A138" s="49"/>
      <c r="B138" s="34"/>
      <c r="C138" s="34"/>
      <c r="D138" s="54"/>
      <c r="E138" s="54"/>
      <c r="F138" s="54"/>
      <c r="G138" s="49"/>
      <c r="H138" s="54"/>
      <c r="I138" s="54"/>
      <c r="J138" s="34"/>
      <c r="K138" s="49"/>
      <c r="L138" s="49"/>
      <c r="M138" s="49"/>
      <c r="N138" s="49"/>
      <c r="O138" s="50"/>
      <c r="P138" s="49"/>
      <c r="Q138" s="49"/>
      <c r="R138" s="49"/>
      <c r="S138" s="38"/>
      <c r="T138" s="49"/>
      <c r="U138" s="49"/>
      <c r="V138" s="49"/>
      <c r="W138" s="34"/>
      <c r="X138" s="51"/>
      <c r="Y138" s="51"/>
      <c r="Z138" s="51"/>
      <c r="AA138" s="51"/>
      <c r="AB138" s="51"/>
      <c r="AC138" s="51"/>
    </row>
    <row r="139" ht="15.75" customHeight="1">
      <c r="A139" s="49"/>
      <c r="B139" s="34"/>
      <c r="C139" s="34"/>
      <c r="D139" s="54"/>
      <c r="E139" s="54"/>
      <c r="F139" s="54"/>
      <c r="G139" s="49"/>
      <c r="H139" s="54"/>
      <c r="I139" s="54"/>
      <c r="J139" s="34"/>
      <c r="K139" s="49"/>
      <c r="L139" s="49"/>
      <c r="M139" s="49"/>
      <c r="N139" s="49"/>
      <c r="O139" s="50"/>
      <c r="P139" s="49"/>
      <c r="Q139" s="49"/>
      <c r="R139" s="49"/>
      <c r="S139" s="38"/>
      <c r="T139" s="49"/>
      <c r="U139" s="49"/>
      <c r="V139" s="49"/>
      <c r="W139" s="34"/>
      <c r="X139" s="51"/>
      <c r="Y139" s="51"/>
      <c r="Z139" s="51"/>
      <c r="AA139" s="51"/>
      <c r="AB139" s="51"/>
      <c r="AC139" s="51"/>
    </row>
    <row r="140" ht="15.75" customHeight="1">
      <c r="A140" s="49"/>
      <c r="B140" s="34"/>
      <c r="C140" s="34"/>
      <c r="D140" s="54"/>
      <c r="E140" s="54"/>
      <c r="F140" s="54"/>
      <c r="G140" s="49"/>
      <c r="H140" s="54"/>
      <c r="I140" s="54"/>
      <c r="J140" s="34"/>
      <c r="K140" s="49"/>
      <c r="L140" s="49"/>
      <c r="M140" s="49"/>
      <c r="N140" s="49"/>
      <c r="O140" s="50"/>
      <c r="P140" s="49"/>
      <c r="Q140" s="49"/>
      <c r="R140" s="49"/>
      <c r="S140" s="38"/>
      <c r="T140" s="49"/>
      <c r="U140" s="49"/>
      <c r="V140" s="49"/>
      <c r="W140" s="34"/>
      <c r="X140" s="51"/>
      <c r="Y140" s="51"/>
      <c r="Z140" s="51"/>
      <c r="AA140" s="51"/>
      <c r="AB140" s="51"/>
      <c r="AC140" s="51"/>
    </row>
    <row r="141" ht="15.75" customHeight="1">
      <c r="A141" s="49"/>
      <c r="B141" s="34"/>
      <c r="C141" s="34"/>
      <c r="D141" s="54"/>
      <c r="E141" s="54"/>
      <c r="F141" s="54"/>
      <c r="G141" s="49"/>
      <c r="H141" s="54"/>
      <c r="I141" s="54"/>
      <c r="J141" s="34"/>
      <c r="K141" s="49"/>
      <c r="L141" s="49"/>
      <c r="M141" s="49"/>
      <c r="N141" s="49"/>
      <c r="O141" s="50"/>
      <c r="P141" s="49"/>
      <c r="Q141" s="49"/>
      <c r="R141" s="49"/>
      <c r="S141" s="38"/>
      <c r="T141" s="49"/>
      <c r="U141" s="49"/>
      <c r="V141" s="49"/>
      <c r="W141" s="34"/>
      <c r="X141" s="51"/>
      <c r="Y141" s="51"/>
      <c r="Z141" s="51"/>
      <c r="AA141" s="51"/>
      <c r="AB141" s="51"/>
      <c r="AC141" s="51"/>
    </row>
    <row r="142" ht="15.75" customHeight="1">
      <c r="A142" s="49"/>
      <c r="B142" s="34"/>
      <c r="C142" s="34"/>
      <c r="D142" s="54"/>
      <c r="E142" s="54"/>
      <c r="F142" s="54"/>
      <c r="G142" s="49"/>
      <c r="H142" s="54"/>
      <c r="I142" s="54"/>
      <c r="J142" s="34"/>
      <c r="K142" s="49"/>
      <c r="L142" s="49"/>
      <c r="M142" s="49"/>
      <c r="N142" s="49"/>
      <c r="O142" s="50"/>
      <c r="P142" s="49"/>
      <c r="Q142" s="49"/>
      <c r="R142" s="49"/>
      <c r="S142" s="38"/>
      <c r="T142" s="49"/>
      <c r="U142" s="49"/>
      <c r="V142" s="49"/>
      <c r="W142" s="34"/>
      <c r="X142" s="51"/>
      <c r="Y142" s="51"/>
      <c r="Z142" s="51"/>
      <c r="AA142" s="51"/>
      <c r="AB142" s="51"/>
      <c r="AC142" s="51"/>
    </row>
    <row r="143" ht="15.75" customHeight="1">
      <c r="A143" s="49"/>
      <c r="B143" s="34"/>
      <c r="C143" s="34"/>
      <c r="D143" s="54"/>
      <c r="E143" s="54"/>
      <c r="F143" s="54"/>
      <c r="G143" s="49"/>
      <c r="H143" s="54"/>
      <c r="I143" s="54"/>
      <c r="J143" s="34"/>
      <c r="K143" s="49"/>
      <c r="L143" s="49"/>
      <c r="M143" s="49"/>
      <c r="N143" s="49"/>
      <c r="O143" s="50"/>
      <c r="P143" s="49"/>
      <c r="Q143" s="49"/>
      <c r="R143" s="49"/>
      <c r="S143" s="38"/>
      <c r="T143" s="49"/>
      <c r="U143" s="49"/>
      <c r="V143" s="49"/>
      <c r="W143" s="34"/>
      <c r="X143" s="51"/>
      <c r="Y143" s="51"/>
      <c r="Z143" s="51"/>
      <c r="AA143" s="51"/>
      <c r="AB143" s="51"/>
      <c r="AC143" s="51"/>
    </row>
    <row r="144" ht="15.75" customHeight="1">
      <c r="A144" s="49"/>
      <c r="B144" s="34"/>
      <c r="C144" s="34"/>
      <c r="D144" s="54"/>
      <c r="E144" s="54"/>
      <c r="F144" s="54"/>
      <c r="G144" s="49"/>
      <c r="H144" s="54"/>
      <c r="I144" s="54"/>
      <c r="J144" s="34"/>
      <c r="K144" s="49"/>
      <c r="L144" s="49"/>
      <c r="M144" s="49"/>
      <c r="N144" s="49"/>
      <c r="O144" s="50"/>
      <c r="P144" s="49"/>
      <c r="Q144" s="49"/>
      <c r="R144" s="49"/>
      <c r="S144" s="38"/>
      <c r="T144" s="49"/>
      <c r="U144" s="49"/>
      <c r="V144" s="49"/>
      <c r="W144" s="34"/>
      <c r="X144" s="51"/>
      <c r="Y144" s="51"/>
      <c r="Z144" s="51"/>
      <c r="AA144" s="51"/>
      <c r="AB144" s="51"/>
      <c r="AC144" s="51"/>
    </row>
    <row r="145" ht="15.75" customHeight="1">
      <c r="A145" s="49"/>
      <c r="B145" s="34"/>
      <c r="C145" s="34"/>
      <c r="D145" s="54"/>
      <c r="E145" s="54"/>
      <c r="F145" s="54"/>
      <c r="G145" s="49"/>
      <c r="H145" s="54"/>
      <c r="I145" s="54"/>
      <c r="J145" s="34"/>
      <c r="K145" s="49"/>
      <c r="L145" s="49"/>
      <c r="M145" s="49"/>
      <c r="N145" s="49"/>
      <c r="O145" s="50"/>
      <c r="P145" s="49"/>
      <c r="Q145" s="49"/>
      <c r="R145" s="49"/>
      <c r="S145" s="38"/>
      <c r="T145" s="49"/>
      <c r="U145" s="49"/>
      <c r="V145" s="49"/>
      <c r="W145" s="34"/>
      <c r="X145" s="51"/>
      <c r="Y145" s="51"/>
      <c r="Z145" s="51"/>
      <c r="AA145" s="51"/>
      <c r="AB145" s="51"/>
      <c r="AC145" s="51"/>
    </row>
    <row r="146" ht="15.75" customHeight="1">
      <c r="A146" s="49"/>
      <c r="B146" s="34"/>
      <c r="C146" s="34"/>
      <c r="D146" s="54"/>
      <c r="E146" s="54"/>
      <c r="F146" s="54"/>
      <c r="G146" s="49"/>
      <c r="H146" s="54"/>
      <c r="I146" s="54"/>
      <c r="J146" s="34"/>
      <c r="K146" s="49"/>
      <c r="L146" s="49"/>
      <c r="M146" s="49"/>
      <c r="N146" s="49"/>
      <c r="O146" s="50"/>
      <c r="P146" s="49"/>
      <c r="Q146" s="49"/>
      <c r="R146" s="49"/>
      <c r="S146" s="38"/>
      <c r="T146" s="49"/>
      <c r="U146" s="49"/>
      <c r="V146" s="49"/>
      <c r="W146" s="34"/>
      <c r="X146" s="51"/>
      <c r="Y146" s="51"/>
      <c r="Z146" s="51"/>
      <c r="AA146" s="51"/>
      <c r="AB146" s="51"/>
      <c r="AC146" s="51"/>
    </row>
    <row r="147" ht="15.75" customHeight="1">
      <c r="A147" s="49"/>
      <c r="B147" s="34"/>
      <c r="C147" s="34"/>
      <c r="D147" s="54"/>
      <c r="E147" s="54"/>
      <c r="F147" s="54"/>
      <c r="G147" s="49"/>
      <c r="H147" s="54"/>
      <c r="I147" s="54"/>
      <c r="J147" s="34"/>
      <c r="K147" s="49"/>
      <c r="L147" s="49"/>
      <c r="M147" s="49"/>
      <c r="N147" s="49"/>
      <c r="O147" s="50"/>
      <c r="P147" s="49"/>
      <c r="Q147" s="49"/>
      <c r="R147" s="49"/>
      <c r="S147" s="38"/>
      <c r="T147" s="49"/>
      <c r="U147" s="49"/>
      <c r="V147" s="49"/>
      <c r="W147" s="34"/>
      <c r="X147" s="51"/>
      <c r="Y147" s="51"/>
      <c r="Z147" s="51"/>
      <c r="AA147" s="51"/>
      <c r="AB147" s="51"/>
      <c r="AC147" s="51"/>
    </row>
    <row r="148" ht="15.75" customHeight="1">
      <c r="A148" s="49"/>
      <c r="B148" s="34"/>
      <c r="C148" s="34"/>
      <c r="D148" s="54"/>
      <c r="E148" s="54"/>
      <c r="F148" s="54"/>
      <c r="G148" s="49"/>
      <c r="H148" s="54"/>
      <c r="I148" s="54"/>
      <c r="J148" s="34"/>
      <c r="K148" s="49"/>
      <c r="L148" s="49"/>
      <c r="M148" s="49"/>
      <c r="N148" s="49"/>
      <c r="O148" s="50"/>
      <c r="P148" s="49"/>
      <c r="Q148" s="49"/>
      <c r="R148" s="49"/>
      <c r="S148" s="38"/>
      <c r="T148" s="49"/>
      <c r="U148" s="49"/>
      <c r="V148" s="49"/>
      <c r="W148" s="34"/>
      <c r="X148" s="51"/>
      <c r="Y148" s="51"/>
      <c r="Z148" s="51"/>
      <c r="AA148" s="51"/>
      <c r="AB148" s="51"/>
      <c r="AC148" s="51"/>
    </row>
    <row r="149" ht="15.75" customHeight="1">
      <c r="A149" s="49"/>
      <c r="B149" s="34"/>
      <c r="C149" s="34"/>
      <c r="D149" s="54"/>
      <c r="E149" s="54"/>
      <c r="F149" s="54"/>
      <c r="G149" s="49"/>
      <c r="H149" s="54"/>
      <c r="I149" s="54"/>
      <c r="J149" s="34"/>
      <c r="K149" s="49"/>
      <c r="L149" s="49"/>
      <c r="M149" s="49"/>
      <c r="N149" s="49"/>
      <c r="O149" s="50"/>
      <c r="P149" s="49"/>
      <c r="Q149" s="49"/>
      <c r="R149" s="49"/>
      <c r="S149" s="38"/>
      <c r="T149" s="49"/>
      <c r="U149" s="49"/>
      <c r="V149" s="49"/>
      <c r="W149" s="34"/>
      <c r="X149" s="51"/>
      <c r="Y149" s="51"/>
      <c r="Z149" s="51"/>
      <c r="AA149" s="51"/>
      <c r="AB149" s="51"/>
      <c r="AC149" s="51"/>
    </row>
    <row r="150" ht="15.75" customHeight="1">
      <c r="A150" s="49"/>
      <c r="B150" s="34"/>
      <c r="C150" s="34"/>
      <c r="D150" s="54"/>
      <c r="E150" s="54"/>
      <c r="F150" s="54"/>
      <c r="G150" s="49"/>
      <c r="H150" s="54"/>
      <c r="I150" s="54"/>
      <c r="J150" s="34"/>
      <c r="K150" s="49"/>
      <c r="L150" s="49"/>
      <c r="M150" s="49"/>
      <c r="N150" s="49"/>
      <c r="O150" s="50"/>
      <c r="P150" s="49"/>
      <c r="Q150" s="49"/>
      <c r="R150" s="49"/>
      <c r="S150" s="38"/>
      <c r="T150" s="49"/>
      <c r="U150" s="49"/>
      <c r="V150" s="49"/>
      <c r="W150" s="34"/>
      <c r="X150" s="51"/>
      <c r="Y150" s="51"/>
      <c r="Z150" s="51"/>
      <c r="AA150" s="51"/>
      <c r="AB150" s="51"/>
      <c r="AC150" s="51"/>
    </row>
    <row r="151" ht="15.75" customHeight="1">
      <c r="A151" s="49"/>
      <c r="B151" s="34"/>
      <c r="C151" s="34"/>
      <c r="D151" s="54"/>
      <c r="E151" s="54"/>
      <c r="F151" s="54"/>
      <c r="G151" s="49"/>
      <c r="H151" s="54"/>
      <c r="I151" s="54"/>
      <c r="J151" s="34"/>
      <c r="K151" s="49"/>
      <c r="L151" s="49"/>
      <c r="M151" s="49"/>
      <c r="N151" s="49"/>
      <c r="O151" s="50"/>
      <c r="P151" s="49"/>
      <c r="Q151" s="49"/>
      <c r="R151" s="49"/>
      <c r="S151" s="38"/>
      <c r="T151" s="49"/>
      <c r="U151" s="49"/>
      <c r="V151" s="49"/>
      <c r="W151" s="34"/>
      <c r="X151" s="51"/>
      <c r="Y151" s="51"/>
      <c r="Z151" s="51"/>
      <c r="AA151" s="51"/>
      <c r="AB151" s="51"/>
      <c r="AC151" s="51"/>
    </row>
    <row r="152" ht="15.75" customHeight="1">
      <c r="A152" s="49"/>
      <c r="B152" s="34"/>
      <c r="C152" s="34"/>
      <c r="D152" s="54"/>
      <c r="E152" s="54"/>
      <c r="F152" s="54"/>
      <c r="G152" s="49"/>
      <c r="H152" s="54"/>
      <c r="I152" s="54"/>
      <c r="J152" s="34"/>
      <c r="K152" s="49"/>
      <c r="L152" s="49"/>
      <c r="M152" s="49"/>
      <c r="N152" s="49"/>
      <c r="O152" s="50"/>
      <c r="P152" s="49"/>
      <c r="Q152" s="49"/>
      <c r="R152" s="49"/>
      <c r="S152" s="38"/>
      <c r="T152" s="49"/>
      <c r="U152" s="49"/>
      <c r="V152" s="49"/>
      <c r="W152" s="34"/>
      <c r="X152" s="51"/>
      <c r="Y152" s="51"/>
      <c r="Z152" s="51"/>
      <c r="AA152" s="51"/>
      <c r="AB152" s="51"/>
      <c r="AC152" s="51"/>
    </row>
    <row r="153" ht="15.75" customHeight="1">
      <c r="A153" s="49"/>
      <c r="B153" s="34"/>
      <c r="C153" s="34"/>
      <c r="D153" s="54"/>
      <c r="E153" s="54"/>
      <c r="F153" s="54"/>
      <c r="G153" s="49"/>
      <c r="H153" s="54"/>
      <c r="I153" s="54"/>
      <c r="J153" s="34"/>
      <c r="K153" s="49"/>
      <c r="L153" s="49"/>
      <c r="M153" s="49"/>
      <c r="N153" s="49"/>
      <c r="O153" s="50"/>
      <c r="P153" s="49"/>
      <c r="Q153" s="49"/>
      <c r="R153" s="49"/>
      <c r="S153" s="38"/>
      <c r="T153" s="49"/>
      <c r="U153" s="49"/>
      <c r="V153" s="49"/>
      <c r="W153" s="34"/>
      <c r="X153" s="51"/>
      <c r="Y153" s="51"/>
      <c r="Z153" s="51"/>
      <c r="AA153" s="51"/>
      <c r="AB153" s="51"/>
      <c r="AC153" s="51"/>
    </row>
    <row r="154" ht="15.75" customHeight="1">
      <c r="A154" s="49"/>
      <c r="B154" s="34"/>
      <c r="C154" s="34"/>
      <c r="D154" s="54"/>
      <c r="E154" s="54"/>
      <c r="F154" s="54"/>
      <c r="G154" s="49"/>
      <c r="H154" s="54"/>
      <c r="I154" s="54"/>
      <c r="J154" s="34"/>
      <c r="K154" s="49"/>
      <c r="L154" s="49"/>
      <c r="M154" s="49"/>
      <c r="N154" s="49"/>
      <c r="O154" s="50"/>
      <c r="P154" s="49"/>
      <c r="Q154" s="49"/>
      <c r="R154" s="49"/>
      <c r="S154" s="38"/>
      <c r="T154" s="49"/>
      <c r="U154" s="49"/>
      <c r="V154" s="49"/>
      <c r="W154" s="34"/>
      <c r="X154" s="51"/>
      <c r="Y154" s="51"/>
      <c r="Z154" s="51"/>
      <c r="AA154" s="51"/>
      <c r="AB154" s="51"/>
      <c r="AC154" s="51"/>
    </row>
    <row r="155" ht="15.75" customHeight="1">
      <c r="A155" s="49"/>
      <c r="B155" s="34"/>
      <c r="C155" s="34"/>
      <c r="D155" s="54"/>
      <c r="E155" s="54"/>
      <c r="F155" s="54"/>
      <c r="G155" s="49"/>
      <c r="H155" s="54"/>
      <c r="I155" s="54"/>
      <c r="J155" s="34"/>
      <c r="K155" s="49"/>
      <c r="L155" s="49"/>
      <c r="M155" s="49"/>
      <c r="N155" s="49"/>
      <c r="O155" s="50"/>
      <c r="P155" s="49"/>
      <c r="Q155" s="49"/>
      <c r="R155" s="49"/>
      <c r="S155" s="38"/>
      <c r="T155" s="49"/>
      <c r="U155" s="49"/>
      <c r="V155" s="49"/>
      <c r="W155" s="34"/>
      <c r="X155" s="51"/>
      <c r="Y155" s="51"/>
      <c r="Z155" s="51"/>
      <c r="AA155" s="51"/>
      <c r="AB155" s="51"/>
      <c r="AC155" s="51"/>
    </row>
    <row r="156" ht="15.75" customHeight="1">
      <c r="A156" s="49"/>
      <c r="B156" s="34"/>
      <c r="C156" s="34"/>
      <c r="D156" s="54"/>
      <c r="E156" s="54"/>
      <c r="F156" s="54"/>
      <c r="G156" s="49"/>
      <c r="H156" s="54"/>
      <c r="I156" s="54"/>
      <c r="J156" s="34"/>
      <c r="K156" s="49"/>
      <c r="L156" s="49"/>
      <c r="M156" s="49"/>
      <c r="N156" s="49"/>
      <c r="O156" s="50"/>
      <c r="P156" s="49"/>
      <c r="Q156" s="49"/>
      <c r="R156" s="49"/>
      <c r="S156" s="38"/>
      <c r="T156" s="49"/>
      <c r="U156" s="49"/>
      <c r="V156" s="49"/>
      <c r="W156" s="34"/>
      <c r="X156" s="51"/>
      <c r="Y156" s="51"/>
      <c r="Z156" s="51"/>
      <c r="AA156" s="51"/>
      <c r="AB156" s="51"/>
      <c r="AC156" s="51"/>
    </row>
    <row r="157" ht="15.75" customHeight="1">
      <c r="A157" s="49"/>
      <c r="B157" s="34"/>
      <c r="C157" s="34"/>
      <c r="D157" s="54"/>
      <c r="E157" s="54"/>
      <c r="F157" s="54"/>
      <c r="G157" s="49"/>
      <c r="H157" s="54"/>
      <c r="I157" s="54"/>
      <c r="J157" s="34"/>
      <c r="K157" s="49"/>
      <c r="L157" s="49"/>
      <c r="M157" s="49"/>
      <c r="N157" s="49"/>
      <c r="O157" s="50"/>
      <c r="P157" s="49"/>
      <c r="Q157" s="49"/>
      <c r="R157" s="49"/>
      <c r="S157" s="38"/>
      <c r="T157" s="49"/>
      <c r="U157" s="49"/>
      <c r="V157" s="49"/>
      <c r="W157" s="34"/>
      <c r="X157" s="51"/>
      <c r="Y157" s="51"/>
      <c r="Z157" s="51"/>
      <c r="AA157" s="51"/>
      <c r="AB157" s="51"/>
      <c r="AC157" s="51"/>
    </row>
    <row r="158" ht="15.75" customHeight="1">
      <c r="A158" s="49"/>
      <c r="B158" s="34"/>
      <c r="C158" s="34"/>
      <c r="D158" s="54"/>
      <c r="E158" s="54"/>
      <c r="F158" s="54"/>
      <c r="G158" s="49"/>
      <c r="H158" s="54"/>
      <c r="I158" s="54"/>
      <c r="J158" s="34"/>
      <c r="K158" s="49"/>
      <c r="L158" s="49"/>
      <c r="M158" s="49"/>
      <c r="N158" s="49"/>
      <c r="O158" s="50"/>
      <c r="P158" s="49"/>
      <c r="Q158" s="49"/>
      <c r="R158" s="49"/>
      <c r="S158" s="38"/>
      <c r="T158" s="49"/>
      <c r="U158" s="49"/>
      <c r="V158" s="49"/>
      <c r="W158" s="34"/>
      <c r="X158" s="51"/>
      <c r="Y158" s="51"/>
      <c r="Z158" s="51"/>
      <c r="AA158" s="51"/>
      <c r="AB158" s="51"/>
      <c r="AC158" s="51"/>
    </row>
    <row r="159" ht="15.75" customHeight="1">
      <c r="A159" s="49"/>
      <c r="B159" s="34"/>
      <c r="C159" s="34"/>
      <c r="D159" s="54"/>
      <c r="E159" s="54"/>
      <c r="F159" s="54"/>
      <c r="G159" s="49"/>
      <c r="H159" s="54"/>
      <c r="I159" s="54"/>
      <c r="J159" s="34"/>
      <c r="K159" s="49"/>
      <c r="L159" s="49"/>
      <c r="M159" s="49"/>
      <c r="N159" s="49"/>
      <c r="O159" s="50"/>
      <c r="P159" s="49"/>
      <c r="Q159" s="49"/>
      <c r="R159" s="49"/>
      <c r="S159" s="38"/>
      <c r="T159" s="49"/>
      <c r="U159" s="49"/>
      <c r="V159" s="49"/>
      <c r="W159" s="34"/>
      <c r="X159" s="51"/>
      <c r="Y159" s="51"/>
      <c r="Z159" s="51"/>
      <c r="AA159" s="51"/>
      <c r="AB159" s="51"/>
      <c r="AC159" s="51"/>
    </row>
    <row r="160" ht="15.75" customHeight="1">
      <c r="A160" s="49"/>
      <c r="B160" s="34"/>
      <c r="C160" s="34"/>
      <c r="D160" s="54"/>
      <c r="E160" s="54"/>
      <c r="F160" s="54"/>
      <c r="G160" s="49"/>
      <c r="H160" s="54"/>
      <c r="I160" s="54"/>
      <c r="J160" s="34"/>
      <c r="K160" s="49"/>
      <c r="L160" s="49"/>
      <c r="M160" s="49"/>
      <c r="N160" s="49"/>
      <c r="O160" s="50"/>
      <c r="P160" s="49"/>
      <c r="Q160" s="49"/>
      <c r="R160" s="49"/>
      <c r="S160" s="38"/>
      <c r="T160" s="49"/>
      <c r="U160" s="49"/>
      <c r="V160" s="49"/>
      <c r="W160" s="34"/>
      <c r="X160" s="51"/>
      <c r="Y160" s="51"/>
      <c r="Z160" s="51"/>
      <c r="AA160" s="51"/>
      <c r="AB160" s="51"/>
      <c r="AC160" s="51"/>
    </row>
    <row r="161" ht="15.75" customHeight="1">
      <c r="A161" s="49"/>
      <c r="B161" s="34"/>
      <c r="C161" s="34"/>
      <c r="D161" s="54"/>
      <c r="E161" s="54"/>
      <c r="F161" s="54"/>
      <c r="G161" s="49"/>
      <c r="H161" s="54"/>
      <c r="I161" s="54"/>
      <c r="J161" s="34"/>
      <c r="K161" s="49"/>
      <c r="L161" s="49"/>
      <c r="M161" s="49"/>
      <c r="N161" s="49"/>
      <c r="O161" s="50"/>
      <c r="P161" s="49"/>
      <c r="Q161" s="49"/>
      <c r="R161" s="49"/>
      <c r="S161" s="38"/>
      <c r="T161" s="49"/>
      <c r="U161" s="49"/>
      <c r="V161" s="49"/>
      <c r="W161" s="34"/>
      <c r="X161" s="51"/>
      <c r="Y161" s="51"/>
      <c r="Z161" s="51"/>
      <c r="AA161" s="51"/>
      <c r="AB161" s="51"/>
      <c r="AC161" s="51"/>
    </row>
    <row r="162" ht="15.75" customHeight="1">
      <c r="A162" s="49"/>
      <c r="B162" s="34"/>
      <c r="C162" s="34"/>
      <c r="D162" s="54"/>
      <c r="E162" s="54"/>
      <c r="F162" s="54"/>
      <c r="G162" s="49"/>
      <c r="H162" s="54"/>
      <c r="I162" s="54"/>
      <c r="J162" s="34"/>
      <c r="K162" s="49"/>
      <c r="L162" s="49"/>
      <c r="M162" s="49"/>
      <c r="N162" s="49"/>
      <c r="O162" s="50"/>
      <c r="P162" s="49"/>
      <c r="Q162" s="49"/>
      <c r="R162" s="49"/>
      <c r="S162" s="38"/>
      <c r="T162" s="49"/>
      <c r="U162" s="49"/>
      <c r="V162" s="49"/>
      <c r="W162" s="34"/>
      <c r="X162" s="51"/>
      <c r="Y162" s="51"/>
      <c r="Z162" s="51"/>
      <c r="AA162" s="51"/>
      <c r="AB162" s="51"/>
      <c r="AC162" s="51"/>
    </row>
    <row r="163" ht="15.75" customHeight="1">
      <c r="A163" s="49"/>
      <c r="B163" s="34"/>
      <c r="C163" s="34"/>
      <c r="D163" s="54"/>
      <c r="E163" s="54"/>
      <c r="F163" s="54"/>
      <c r="G163" s="49"/>
      <c r="H163" s="54"/>
      <c r="I163" s="54"/>
      <c r="J163" s="34"/>
      <c r="K163" s="49"/>
      <c r="L163" s="49"/>
      <c r="M163" s="49"/>
      <c r="N163" s="49"/>
      <c r="O163" s="50"/>
      <c r="P163" s="49"/>
      <c r="Q163" s="49"/>
      <c r="R163" s="49"/>
      <c r="S163" s="38"/>
      <c r="T163" s="49"/>
      <c r="U163" s="49"/>
      <c r="V163" s="49"/>
      <c r="W163" s="34"/>
      <c r="X163" s="51"/>
      <c r="Y163" s="51"/>
      <c r="Z163" s="51"/>
      <c r="AA163" s="51"/>
      <c r="AB163" s="51"/>
      <c r="AC163" s="51"/>
    </row>
    <row r="164" ht="15.75" customHeight="1">
      <c r="A164" s="49"/>
      <c r="B164" s="34"/>
      <c r="C164" s="34"/>
      <c r="D164" s="54"/>
      <c r="E164" s="54"/>
      <c r="F164" s="54"/>
      <c r="G164" s="49"/>
      <c r="H164" s="54"/>
      <c r="I164" s="54"/>
      <c r="J164" s="34"/>
      <c r="K164" s="49"/>
      <c r="L164" s="49"/>
      <c r="M164" s="49"/>
      <c r="N164" s="49"/>
      <c r="O164" s="50"/>
      <c r="P164" s="49"/>
      <c r="Q164" s="49"/>
      <c r="R164" s="49"/>
      <c r="S164" s="38"/>
      <c r="T164" s="49"/>
      <c r="U164" s="49"/>
      <c r="V164" s="49"/>
      <c r="W164" s="34"/>
      <c r="X164" s="51"/>
      <c r="Y164" s="51"/>
      <c r="Z164" s="51"/>
      <c r="AA164" s="51"/>
      <c r="AB164" s="51"/>
      <c r="AC164" s="51"/>
    </row>
    <row r="165" ht="15.75" customHeight="1">
      <c r="A165" s="49"/>
      <c r="B165" s="34"/>
      <c r="C165" s="34"/>
      <c r="D165" s="54"/>
      <c r="E165" s="54"/>
      <c r="F165" s="54"/>
      <c r="G165" s="49"/>
      <c r="H165" s="54"/>
      <c r="I165" s="54"/>
      <c r="J165" s="34"/>
      <c r="K165" s="49"/>
      <c r="L165" s="49"/>
      <c r="M165" s="49"/>
      <c r="N165" s="49"/>
      <c r="O165" s="50"/>
      <c r="P165" s="49"/>
      <c r="Q165" s="49"/>
      <c r="R165" s="49"/>
      <c r="S165" s="38"/>
      <c r="T165" s="49"/>
      <c r="U165" s="49"/>
      <c r="V165" s="49"/>
      <c r="W165" s="34"/>
      <c r="X165" s="51"/>
      <c r="Y165" s="51"/>
      <c r="Z165" s="51"/>
      <c r="AA165" s="51"/>
      <c r="AB165" s="51"/>
      <c r="AC165" s="51"/>
    </row>
    <row r="166" ht="15.75" customHeight="1">
      <c r="A166" s="49"/>
      <c r="B166" s="34"/>
      <c r="C166" s="34"/>
      <c r="D166" s="54"/>
      <c r="E166" s="54"/>
      <c r="F166" s="54"/>
      <c r="G166" s="49"/>
      <c r="H166" s="54"/>
      <c r="I166" s="54"/>
      <c r="J166" s="34"/>
      <c r="K166" s="49"/>
      <c r="L166" s="49"/>
      <c r="M166" s="49"/>
      <c r="N166" s="49"/>
      <c r="O166" s="50"/>
      <c r="P166" s="49"/>
      <c r="Q166" s="49"/>
      <c r="R166" s="49"/>
      <c r="S166" s="38"/>
      <c r="T166" s="49"/>
      <c r="U166" s="49"/>
      <c r="V166" s="49"/>
      <c r="W166" s="34"/>
      <c r="X166" s="51"/>
      <c r="Y166" s="51"/>
      <c r="Z166" s="51"/>
      <c r="AA166" s="51"/>
      <c r="AB166" s="51"/>
      <c r="AC166" s="51"/>
    </row>
    <row r="167" ht="15.75" customHeight="1">
      <c r="A167" s="49"/>
      <c r="B167" s="34"/>
      <c r="C167" s="34"/>
      <c r="D167" s="54"/>
      <c r="E167" s="54"/>
      <c r="F167" s="54"/>
      <c r="G167" s="49"/>
      <c r="H167" s="54"/>
      <c r="I167" s="54"/>
      <c r="J167" s="34"/>
      <c r="K167" s="49"/>
      <c r="L167" s="49"/>
      <c r="M167" s="49"/>
      <c r="N167" s="49"/>
      <c r="O167" s="50"/>
      <c r="P167" s="49"/>
      <c r="Q167" s="49"/>
      <c r="R167" s="49"/>
      <c r="S167" s="38"/>
      <c r="T167" s="49"/>
      <c r="U167" s="49"/>
      <c r="V167" s="49"/>
      <c r="W167" s="34"/>
      <c r="X167" s="51"/>
      <c r="Y167" s="51"/>
      <c r="Z167" s="51"/>
      <c r="AA167" s="51"/>
      <c r="AB167" s="51"/>
      <c r="AC167" s="51"/>
    </row>
    <row r="168" ht="15.75" customHeight="1">
      <c r="A168" s="49"/>
      <c r="B168" s="34"/>
      <c r="C168" s="34"/>
      <c r="D168" s="54"/>
      <c r="E168" s="54"/>
      <c r="F168" s="54"/>
      <c r="G168" s="49"/>
      <c r="H168" s="54"/>
      <c r="I168" s="54"/>
      <c r="J168" s="34"/>
      <c r="K168" s="49"/>
      <c r="L168" s="49"/>
      <c r="M168" s="49"/>
      <c r="N168" s="49"/>
      <c r="O168" s="50"/>
      <c r="P168" s="49"/>
      <c r="Q168" s="49"/>
      <c r="R168" s="49"/>
      <c r="S168" s="38"/>
      <c r="T168" s="49"/>
      <c r="U168" s="49"/>
      <c r="V168" s="49"/>
      <c r="W168" s="34"/>
      <c r="X168" s="51"/>
      <c r="Y168" s="51"/>
      <c r="Z168" s="51"/>
      <c r="AA168" s="51"/>
      <c r="AB168" s="51"/>
      <c r="AC168" s="51"/>
    </row>
    <row r="169" ht="15.75" customHeight="1">
      <c r="A169" s="49"/>
      <c r="B169" s="34"/>
      <c r="C169" s="34"/>
      <c r="D169" s="54"/>
      <c r="E169" s="54"/>
      <c r="F169" s="54"/>
      <c r="G169" s="49"/>
      <c r="H169" s="54"/>
      <c r="I169" s="54"/>
      <c r="J169" s="34"/>
      <c r="K169" s="49"/>
      <c r="L169" s="49"/>
      <c r="M169" s="49"/>
      <c r="N169" s="49"/>
      <c r="O169" s="50"/>
      <c r="P169" s="49"/>
      <c r="Q169" s="49"/>
      <c r="R169" s="49"/>
      <c r="S169" s="38"/>
      <c r="T169" s="49"/>
      <c r="U169" s="49"/>
      <c r="V169" s="49"/>
      <c r="W169" s="34"/>
      <c r="X169" s="51"/>
      <c r="Y169" s="51"/>
      <c r="Z169" s="51"/>
      <c r="AA169" s="51"/>
      <c r="AB169" s="51"/>
      <c r="AC169" s="51"/>
    </row>
    <row r="170" ht="15.75" customHeight="1">
      <c r="A170" s="49"/>
      <c r="B170" s="34"/>
      <c r="C170" s="34"/>
      <c r="D170" s="54"/>
      <c r="E170" s="54"/>
      <c r="F170" s="54"/>
      <c r="G170" s="49"/>
      <c r="H170" s="54"/>
      <c r="I170" s="54"/>
      <c r="J170" s="34"/>
      <c r="K170" s="49"/>
      <c r="L170" s="49"/>
      <c r="M170" s="49"/>
      <c r="N170" s="49"/>
      <c r="O170" s="50"/>
      <c r="P170" s="49"/>
      <c r="Q170" s="49"/>
      <c r="R170" s="49"/>
      <c r="S170" s="38"/>
      <c r="T170" s="49"/>
      <c r="U170" s="49"/>
      <c r="V170" s="49"/>
      <c r="W170" s="34"/>
      <c r="X170" s="51"/>
      <c r="Y170" s="51"/>
      <c r="Z170" s="51"/>
      <c r="AA170" s="51"/>
      <c r="AB170" s="51"/>
      <c r="AC170" s="51"/>
    </row>
    <row r="171" ht="15.75" customHeight="1">
      <c r="A171" s="49"/>
      <c r="B171" s="34"/>
      <c r="C171" s="34"/>
      <c r="D171" s="54"/>
      <c r="E171" s="54"/>
      <c r="F171" s="54"/>
      <c r="G171" s="49"/>
      <c r="H171" s="54"/>
      <c r="I171" s="54"/>
      <c r="J171" s="34"/>
      <c r="K171" s="49"/>
      <c r="L171" s="49"/>
      <c r="M171" s="49"/>
      <c r="N171" s="49"/>
      <c r="O171" s="50"/>
      <c r="P171" s="49"/>
      <c r="Q171" s="49"/>
      <c r="R171" s="49"/>
      <c r="S171" s="38"/>
      <c r="T171" s="49"/>
      <c r="U171" s="49"/>
      <c r="V171" s="49"/>
      <c r="W171" s="34"/>
      <c r="X171" s="51"/>
      <c r="Y171" s="51"/>
      <c r="Z171" s="51"/>
      <c r="AA171" s="51"/>
      <c r="AB171" s="51"/>
      <c r="AC171" s="51"/>
    </row>
    <row r="172" ht="15.75" customHeight="1">
      <c r="A172" s="49"/>
      <c r="B172" s="34"/>
      <c r="C172" s="34"/>
      <c r="D172" s="54"/>
      <c r="E172" s="54"/>
      <c r="F172" s="54"/>
      <c r="G172" s="49"/>
      <c r="H172" s="54"/>
      <c r="I172" s="54"/>
      <c r="J172" s="34"/>
      <c r="K172" s="49"/>
      <c r="L172" s="49"/>
      <c r="M172" s="49"/>
      <c r="N172" s="49"/>
      <c r="O172" s="50"/>
      <c r="P172" s="49"/>
      <c r="Q172" s="49"/>
      <c r="R172" s="49"/>
      <c r="S172" s="38"/>
      <c r="T172" s="49"/>
      <c r="U172" s="49"/>
      <c r="V172" s="49"/>
      <c r="W172" s="34"/>
      <c r="X172" s="51"/>
      <c r="Y172" s="51"/>
      <c r="Z172" s="51"/>
      <c r="AA172" s="51"/>
      <c r="AB172" s="51"/>
      <c r="AC172" s="51"/>
    </row>
    <row r="173" ht="15.75" customHeight="1">
      <c r="A173" s="49"/>
      <c r="B173" s="34"/>
      <c r="C173" s="34"/>
      <c r="D173" s="54"/>
      <c r="E173" s="54"/>
      <c r="F173" s="54"/>
      <c r="G173" s="49"/>
      <c r="H173" s="54"/>
      <c r="I173" s="54"/>
      <c r="J173" s="34"/>
      <c r="K173" s="49"/>
      <c r="L173" s="49"/>
      <c r="M173" s="49"/>
      <c r="N173" s="49"/>
      <c r="O173" s="50"/>
      <c r="P173" s="49"/>
      <c r="Q173" s="49"/>
      <c r="R173" s="49"/>
      <c r="S173" s="38"/>
      <c r="T173" s="49"/>
      <c r="U173" s="49"/>
      <c r="V173" s="49"/>
      <c r="W173" s="34"/>
      <c r="X173" s="51"/>
      <c r="Y173" s="51"/>
      <c r="Z173" s="51"/>
      <c r="AA173" s="51"/>
      <c r="AB173" s="51"/>
      <c r="AC173" s="51"/>
    </row>
    <row r="174" ht="15.75" customHeight="1">
      <c r="A174" s="49"/>
      <c r="B174" s="34"/>
      <c r="C174" s="34"/>
      <c r="D174" s="54"/>
      <c r="E174" s="54"/>
      <c r="F174" s="54"/>
      <c r="G174" s="49"/>
      <c r="H174" s="54"/>
      <c r="I174" s="54"/>
      <c r="J174" s="34"/>
      <c r="K174" s="49"/>
      <c r="L174" s="49"/>
      <c r="M174" s="49"/>
      <c r="N174" s="49"/>
      <c r="O174" s="50"/>
      <c r="P174" s="49"/>
      <c r="Q174" s="49"/>
      <c r="R174" s="49"/>
      <c r="S174" s="38"/>
      <c r="T174" s="49"/>
      <c r="U174" s="49"/>
      <c r="V174" s="49"/>
      <c r="W174" s="34"/>
      <c r="X174" s="51"/>
      <c r="Y174" s="51"/>
      <c r="Z174" s="51"/>
      <c r="AA174" s="51"/>
      <c r="AB174" s="51"/>
      <c r="AC174" s="51"/>
    </row>
    <row r="175" ht="15.75" customHeight="1">
      <c r="A175" s="49"/>
      <c r="B175" s="34"/>
      <c r="C175" s="34"/>
      <c r="D175" s="54"/>
      <c r="E175" s="54"/>
      <c r="F175" s="54"/>
      <c r="G175" s="49"/>
      <c r="H175" s="54"/>
      <c r="I175" s="54"/>
      <c r="J175" s="34"/>
      <c r="K175" s="49"/>
      <c r="L175" s="49"/>
      <c r="M175" s="49"/>
      <c r="N175" s="49"/>
      <c r="O175" s="50"/>
      <c r="P175" s="49"/>
      <c r="Q175" s="49"/>
      <c r="R175" s="49"/>
      <c r="S175" s="38"/>
      <c r="T175" s="49"/>
      <c r="U175" s="49"/>
      <c r="V175" s="49"/>
      <c r="W175" s="34"/>
      <c r="X175" s="51"/>
      <c r="Y175" s="51"/>
      <c r="Z175" s="51"/>
      <c r="AA175" s="51"/>
      <c r="AB175" s="51"/>
      <c r="AC175" s="51"/>
    </row>
    <row r="176" ht="15.75" customHeight="1">
      <c r="A176" s="49"/>
      <c r="B176" s="34"/>
      <c r="C176" s="34"/>
      <c r="D176" s="54"/>
      <c r="E176" s="54"/>
      <c r="F176" s="54"/>
      <c r="G176" s="49"/>
      <c r="H176" s="54"/>
      <c r="I176" s="54"/>
      <c r="J176" s="34"/>
      <c r="K176" s="49"/>
      <c r="L176" s="49"/>
      <c r="M176" s="49"/>
      <c r="N176" s="49"/>
      <c r="O176" s="50"/>
      <c r="P176" s="49"/>
      <c r="Q176" s="49"/>
      <c r="R176" s="49"/>
      <c r="S176" s="38"/>
      <c r="T176" s="49"/>
      <c r="U176" s="49"/>
      <c r="V176" s="49"/>
      <c r="W176" s="34"/>
      <c r="X176" s="51"/>
      <c r="Y176" s="51"/>
      <c r="Z176" s="51"/>
      <c r="AA176" s="51"/>
      <c r="AB176" s="51"/>
      <c r="AC176" s="51"/>
    </row>
    <row r="177" ht="15.75" customHeight="1">
      <c r="A177" s="49"/>
      <c r="B177" s="34"/>
      <c r="C177" s="34"/>
      <c r="D177" s="54"/>
      <c r="E177" s="54"/>
      <c r="F177" s="54"/>
      <c r="G177" s="49"/>
      <c r="H177" s="54"/>
      <c r="I177" s="54"/>
      <c r="J177" s="34"/>
      <c r="K177" s="49"/>
      <c r="L177" s="49"/>
      <c r="M177" s="49"/>
      <c r="N177" s="49"/>
      <c r="O177" s="50"/>
      <c r="P177" s="49"/>
      <c r="Q177" s="49"/>
      <c r="R177" s="49"/>
      <c r="S177" s="38"/>
      <c r="T177" s="49"/>
      <c r="U177" s="49"/>
      <c r="V177" s="49"/>
      <c r="W177" s="34"/>
      <c r="X177" s="51"/>
      <c r="Y177" s="51"/>
      <c r="Z177" s="51"/>
      <c r="AA177" s="51"/>
      <c r="AB177" s="51"/>
      <c r="AC177" s="51"/>
    </row>
    <row r="178" ht="15.75" customHeight="1">
      <c r="A178" s="49"/>
      <c r="B178" s="34"/>
      <c r="C178" s="34"/>
      <c r="D178" s="54"/>
      <c r="E178" s="54"/>
      <c r="F178" s="54"/>
      <c r="G178" s="49"/>
      <c r="H178" s="54"/>
      <c r="I178" s="54"/>
      <c r="J178" s="34"/>
      <c r="K178" s="49"/>
      <c r="L178" s="49"/>
      <c r="M178" s="49"/>
      <c r="N178" s="49"/>
      <c r="O178" s="50"/>
      <c r="P178" s="49"/>
      <c r="Q178" s="49"/>
      <c r="R178" s="49"/>
      <c r="S178" s="38"/>
      <c r="T178" s="49"/>
      <c r="U178" s="49"/>
      <c r="V178" s="49"/>
      <c r="W178" s="34"/>
      <c r="X178" s="51"/>
      <c r="Y178" s="51"/>
      <c r="Z178" s="51"/>
      <c r="AA178" s="51"/>
      <c r="AB178" s="51"/>
      <c r="AC178" s="51"/>
    </row>
    <row r="179" ht="15.75" customHeight="1">
      <c r="A179" s="49"/>
      <c r="B179" s="34"/>
      <c r="C179" s="34"/>
      <c r="D179" s="54"/>
      <c r="E179" s="54"/>
      <c r="F179" s="54"/>
      <c r="G179" s="49"/>
      <c r="H179" s="54"/>
      <c r="I179" s="54"/>
      <c r="J179" s="34"/>
      <c r="K179" s="49"/>
      <c r="L179" s="49"/>
      <c r="M179" s="49"/>
      <c r="N179" s="49"/>
      <c r="O179" s="50"/>
      <c r="P179" s="49"/>
      <c r="Q179" s="49"/>
      <c r="R179" s="49"/>
      <c r="S179" s="38"/>
      <c r="T179" s="49"/>
      <c r="U179" s="49"/>
      <c r="V179" s="49"/>
      <c r="W179" s="34"/>
      <c r="X179" s="51"/>
      <c r="Y179" s="51"/>
      <c r="Z179" s="51"/>
      <c r="AA179" s="51"/>
      <c r="AB179" s="51"/>
      <c r="AC179" s="51"/>
    </row>
    <row r="180" ht="15.75" customHeight="1">
      <c r="A180" s="49"/>
      <c r="B180" s="34"/>
      <c r="C180" s="34"/>
      <c r="D180" s="54"/>
      <c r="E180" s="54"/>
      <c r="F180" s="54"/>
      <c r="G180" s="49"/>
      <c r="H180" s="54"/>
      <c r="I180" s="54"/>
      <c r="J180" s="34"/>
      <c r="K180" s="49"/>
      <c r="L180" s="49"/>
      <c r="M180" s="49"/>
      <c r="N180" s="49"/>
      <c r="O180" s="50"/>
      <c r="P180" s="49"/>
      <c r="Q180" s="49"/>
      <c r="R180" s="49"/>
      <c r="S180" s="38"/>
      <c r="T180" s="49"/>
      <c r="U180" s="49"/>
      <c r="V180" s="49"/>
      <c r="W180" s="34"/>
      <c r="X180" s="51"/>
      <c r="Y180" s="51"/>
      <c r="Z180" s="51"/>
      <c r="AA180" s="51"/>
      <c r="AB180" s="51"/>
      <c r="AC180" s="51"/>
    </row>
    <row r="181" ht="15.75" customHeight="1">
      <c r="A181" s="49"/>
      <c r="B181" s="34"/>
      <c r="C181" s="34"/>
      <c r="D181" s="54"/>
      <c r="E181" s="54"/>
      <c r="F181" s="54"/>
      <c r="G181" s="49"/>
      <c r="H181" s="54"/>
      <c r="I181" s="54"/>
      <c r="J181" s="34"/>
      <c r="K181" s="49"/>
      <c r="L181" s="49"/>
      <c r="M181" s="49"/>
      <c r="N181" s="49"/>
      <c r="O181" s="50"/>
      <c r="P181" s="49"/>
      <c r="Q181" s="49"/>
      <c r="R181" s="49"/>
      <c r="S181" s="38"/>
      <c r="T181" s="49"/>
      <c r="U181" s="49"/>
      <c r="V181" s="49"/>
      <c r="W181" s="34"/>
      <c r="X181" s="51"/>
      <c r="Y181" s="51"/>
      <c r="Z181" s="51"/>
      <c r="AA181" s="51"/>
      <c r="AB181" s="51"/>
      <c r="AC181" s="51"/>
    </row>
    <row r="182" ht="15.75" customHeight="1">
      <c r="A182" s="49"/>
      <c r="B182" s="34"/>
      <c r="C182" s="34"/>
      <c r="D182" s="54"/>
      <c r="E182" s="54"/>
      <c r="F182" s="54"/>
      <c r="G182" s="49"/>
      <c r="H182" s="54"/>
      <c r="I182" s="54"/>
      <c r="J182" s="34"/>
      <c r="K182" s="49"/>
      <c r="L182" s="49"/>
      <c r="M182" s="49"/>
      <c r="N182" s="49"/>
      <c r="O182" s="50"/>
      <c r="P182" s="49"/>
      <c r="Q182" s="49"/>
      <c r="R182" s="49"/>
      <c r="S182" s="38"/>
      <c r="T182" s="49"/>
      <c r="U182" s="49"/>
      <c r="V182" s="49"/>
      <c r="W182" s="34"/>
      <c r="X182" s="51"/>
      <c r="Y182" s="51"/>
      <c r="Z182" s="51"/>
      <c r="AA182" s="51"/>
      <c r="AB182" s="51"/>
      <c r="AC182" s="51"/>
    </row>
    <row r="183" ht="15.75" customHeight="1">
      <c r="A183" s="49"/>
      <c r="B183" s="34"/>
      <c r="C183" s="34"/>
      <c r="D183" s="54"/>
      <c r="E183" s="54"/>
      <c r="F183" s="54"/>
      <c r="G183" s="49"/>
      <c r="H183" s="54"/>
      <c r="I183" s="54"/>
      <c r="J183" s="34"/>
      <c r="K183" s="49"/>
      <c r="L183" s="49"/>
      <c r="M183" s="49"/>
      <c r="N183" s="49"/>
      <c r="O183" s="50"/>
      <c r="P183" s="49"/>
      <c r="Q183" s="49"/>
      <c r="R183" s="49"/>
      <c r="S183" s="38"/>
      <c r="T183" s="49"/>
      <c r="U183" s="49"/>
      <c r="V183" s="49"/>
      <c r="W183" s="34"/>
      <c r="X183" s="51"/>
      <c r="Y183" s="51"/>
      <c r="Z183" s="51"/>
      <c r="AA183" s="51"/>
      <c r="AB183" s="51"/>
      <c r="AC183" s="51"/>
    </row>
    <row r="184" ht="15.75" customHeight="1">
      <c r="A184" s="49"/>
      <c r="B184" s="34"/>
      <c r="C184" s="34"/>
      <c r="D184" s="54"/>
      <c r="E184" s="54"/>
      <c r="F184" s="54"/>
      <c r="G184" s="49"/>
      <c r="H184" s="54"/>
      <c r="I184" s="54"/>
      <c r="J184" s="34"/>
      <c r="K184" s="49"/>
      <c r="L184" s="49"/>
      <c r="M184" s="49"/>
      <c r="N184" s="49"/>
      <c r="O184" s="50"/>
      <c r="P184" s="49"/>
      <c r="Q184" s="49"/>
      <c r="R184" s="49"/>
      <c r="S184" s="38"/>
      <c r="T184" s="49"/>
      <c r="U184" s="49"/>
      <c r="V184" s="49"/>
      <c r="W184" s="34"/>
      <c r="X184" s="51"/>
      <c r="Y184" s="51"/>
      <c r="Z184" s="51"/>
      <c r="AA184" s="51"/>
      <c r="AB184" s="51"/>
      <c r="AC184" s="51"/>
    </row>
    <row r="185" ht="15.75" customHeight="1">
      <c r="A185" s="49"/>
      <c r="B185" s="34"/>
      <c r="C185" s="34"/>
      <c r="D185" s="54"/>
      <c r="E185" s="54"/>
      <c r="F185" s="54"/>
      <c r="G185" s="49"/>
      <c r="H185" s="54"/>
      <c r="I185" s="54"/>
      <c r="J185" s="34"/>
      <c r="K185" s="49"/>
      <c r="L185" s="49"/>
      <c r="M185" s="49"/>
      <c r="N185" s="49"/>
      <c r="O185" s="50"/>
      <c r="P185" s="49"/>
      <c r="Q185" s="49"/>
      <c r="R185" s="49"/>
      <c r="S185" s="38"/>
      <c r="T185" s="49"/>
      <c r="U185" s="49"/>
      <c r="V185" s="49"/>
      <c r="W185" s="34"/>
      <c r="X185" s="51"/>
      <c r="Y185" s="51"/>
      <c r="Z185" s="51"/>
      <c r="AA185" s="51"/>
      <c r="AB185" s="51"/>
      <c r="AC185" s="51"/>
    </row>
    <row r="186" ht="15.75" customHeight="1">
      <c r="A186" s="49"/>
      <c r="B186" s="34"/>
      <c r="C186" s="34"/>
      <c r="D186" s="54"/>
      <c r="E186" s="54"/>
      <c r="F186" s="54"/>
      <c r="G186" s="49"/>
      <c r="H186" s="54"/>
      <c r="I186" s="54"/>
      <c r="J186" s="34"/>
      <c r="K186" s="49"/>
      <c r="L186" s="49"/>
      <c r="M186" s="49"/>
      <c r="N186" s="49"/>
      <c r="O186" s="50"/>
      <c r="P186" s="49"/>
      <c r="Q186" s="49"/>
      <c r="R186" s="49"/>
      <c r="S186" s="38"/>
      <c r="T186" s="49"/>
      <c r="U186" s="49"/>
      <c r="V186" s="49"/>
      <c r="W186" s="34"/>
      <c r="X186" s="51"/>
      <c r="Y186" s="51"/>
      <c r="Z186" s="51"/>
      <c r="AA186" s="51"/>
      <c r="AB186" s="51"/>
      <c r="AC186" s="51"/>
    </row>
    <row r="187" ht="15.75" customHeight="1">
      <c r="A187" s="49"/>
      <c r="B187" s="34"/>
      <c r="C187" s="34"/>
      <c r="D187" s="54"/>
      <c r="E187" s="54"/>
      <c r="F187" s="54"/>
      <c r="G187" s="49"/>
      <c r="H187" s="54"/>
      <c r="I187" s="54"/>
      <c r="J187" s="34"/>
      <c r="K187" s="49"/>
      <c r="L187" s="49"/>
      <c r="M187" s="49"/>
      <c r="N187" s="49"/>
      <c r="O187" s="50"/>
      <c r="P187" s="49"/>
      <c r="Q187" s="49"/>
      <c r="R187" s="49"/>
      <c r="S187" s="38"/>
      <c r="T187" s="49"/>
      <c r="U187" s="49"/>
      <c r="V187" s="49"/>
      <c r="W187" s="34"/>
      <c r="X187" s="51"/>
      <c r="Y187" s="51"/>
      <c r="Z187" s="51"/>
      <c r="AA187" s="51"/>
      <c r="AB187" s="51"/>
      <c r="AC187" s="51"/>
    </row>
    <row r="188" ht="15.75" customHeight="1">
      <c r="A188" s="49"/>
      <c r="B188" s="34"/>
      <c r="C188" s="34"/>
      <c r="D188" s="54"/>
      <c r="E188" s="54"/>
      <c r="F188" s="54"/>
      <c r="G188" s="49"/>
      <c r="H188" s="54"/>
      <c r="I188" s="54"/>
      <c r="J188" s="34"/>
      <c r="K188" s="49"/>
      <c r="L188" s="49"/>
      <c r="M188" s="49"/>
      <c r="N188" s="49"/>
      <c r="O188" s="50"/>
      <c r="P188" s="49"/>
      <c r="Q188" s="49"/>
      <c r="R188" s="49"/>
      <c r="S188" s="38"/>
      <c r="T188" s="49"/>
      <c r="U188" s="49"/>
      <c r="V188" s="49"/>
      <c r="W188" s="34"/>
      <c r="X188" s="51"/>
      <c r="Y188" s="51"/>
      <c r="Z188" s="51"/>
      <c r="AA188" s="51"/>
      <c r="AB188" s="51"/>
      <c r="AC188" s="51"/>
    </row>
    <row r="189" ht="15.75" customHeight="1">
      <c r="A189" s="49"/>
      <c r="B189" s="34"/>
      <c r="C189" s="34"/>
      <c r="D189" s="54"/>
      <c r="E189" s="54"/>
      <c r="F189" s="54"/>
      <c r="G189" s="49"/>
      <c r="H189" s="54"/>
      <c r="I189" s="54"/>
      <c r="J189" s="34"/>
      <c r="K189" s="49"/>
      <c r="L189" s="49"/>
      <c r="M189" s="49"/>
      <c r="N189" s="49"/>
      <c r="O189" s="50"/>
      <c r="P189" s="49"/>
      <c r="Q189" s="49"/>
      <c r="R189" s="49"/>
      <c r="S189" s="38"/>
      <c r="T189" s="49"/>
      <c r="U189" s="49"/>
      <c r="V189" s="49"/>
      <c r="W189" s="34"/>
      <c r="X189" s="51"/>
      <c r="Y189" s="51"/>
      <c r="Z189" s="51"/>
      <c r="AA189" s="51"/>
      <c r="AB189" s="51"/>
      <c r="AC189" s="51"/>
    </row>
    <row r="190" ht="15.75" customHeight="1">
      <c r="A190" s="49"/>
      <c r="B190" s="34"/>
      <c r="C190" s="34"/>
      <c r="D190" s="54"/>
      <c r="E190" s="54"/>
      <c r="F190" s="54"/>
      <c r="G190" s="49"/>
      <c r="H190" s="54"/>
      <c r="I190" s="54"/>
      <c r="J190" s="34"/>
      <c r="K190" s="49"/>
      <c r="L190" s="49"/>
      <c r="M190" s="49"/>
      <c r="N190" s="49"/>
      <c r="O190" s="50"/>
      <c r="P190" s="49"/>
      <c r="Q190" s="49"/>
      <c r="R190" s="49"/>
      <c r="S190" s="38"/>
      <c r="T190" s="49"/>
      <c r="U190" s="49"/>
      <c r="V190" s="49"/>
      <c r="W190" s="34"/>
      <c r="X190" s="51"/>
      <c r="Y190" s="51"/>
      <c r="Z190" s="51"/>
      <c r="AA190" s="51"/>
      <c r="AB190" s="51"/>
      <c r="AC190" s="51"/>
    </row>
    <row r="191" ht="15.75" customHeight="1">
      <c r="A191" s="49"/>
      <c r="B191" s="34"/>
      <c r="C191" s="34"/>
      <c r="D191" s="54"/>
      <c r="E191" s="54"/>
      <c r="F191" s="54"/>
      <c r="G191" s="49"/>
      <c r="H191" s="54"/>
      <c r="I191" s="54"/>
      <c r="J191" s="34"/>
      <c r="K191" s="49"/>
      <c r="L191" s="49"/>
      <c r="M191" s="49"/>
      <c r="N191" s="49"/>
      <c r="O191" s="50"/>
      <c r="P191" s="49"/>
      <c r="Q191" s="49"/>
      <c r="R191" s="49"/>
      <c r="S191" s="38"/>
      <c r="T191" s="49"/>
      <c r="U191" s="49"/>
      <c r="V191" s="49"/>
      <c r="W191" s="34"/>
      <c r="X191" s="51"/>
      <c r="Y191" s="51"/>
      <c r="Z191" s="51"/>
      <c r="AA191" s="51"/>
      <c r="AB191" s="51"/>
      <c r="AC191" s="51"/>
    </row>
    <row r="192" ht="15.75" customHeight="1">
      <c r="A192" s="49"/>
      <c r="B192" s="34"/>
      <c r="C192" s="34"/>
      <c r="D192" s="54"/>
      <c r="E192" s="54"/>
      <c r="F192" s="54"/>
      <c r="G192" s="49"/>
      <c r="H192" s="54"/>
      <c r="I192" s="54"/>
      <c r="J192" s="34"/>
      <c r="K192" s="49"/>
      <c r="L192" s="49"/>
      <c r="M192" s="49"/>
      <c r="N192" s="49"/>
      <c r="O192" s="50"/>
      <c r="P192" s="49"/>
      <c r="Q192" s="49"/>
      <c r="R192" s="49"/>
      <c r="S192" s="38"/>
      <c r="T192" s="49"/>
      <c r="U192" s="49"/>
      <c r="V192" s="49"/>
      <c r="W192" s="34"/>
      <c r="X192" s="51"/>
      <c r="Y192" s="51"/>
      <c r="Z192" s="51"/>
      <c r="AA192" s="51"/>
      <c r="AB192" s="51"/>
      <c r="AC192" s="51"/>
    </row>
    <row r="193" ht="15.75" customHeight="1">
      <c r="A193" s="49"/>
      <c r="B193" s="34"/>
      <c r="C193" s="34"/>
      <c r="D193" s="54"/>
      <c r="E193" s="54"/>
      <c r="F193" s="54"/>
      <c r="G193" s="49"/>
      <c r="H193" s="54"/>
      <c r="I193" s="54"/>
      <c r="J193" s="34"/>
      <c r="K193" s="49"/>
      <c r="L193" s="49"/>
      <c r="M193" s="49"/>
      <c r="N193" s="49"/>
      <c r="O193" s="50"/>
      <c r="P193" s="49"/>
      <c r="Q193" s="49"/>
      <c r="R193" s="49"/>
      <c r="S193" s="38"/>
      <c r="T193" s="49"/>
      <c r="U193" s="49"/>
      <c r="V193" s="49"/>
      <c r="W193" s="34"/>
      <c r="X193" s="51"/>
      <c r="Y193" s="51"/>
      <c r="Z193" s="51"/>
      <c r="AA193" s="51"/>
      <c r="AB193" s="51"/>
      <c r="AC193" s="51"/>
    </row>
    <row r="194" ht="15.75" customHeight="1">
      <c r="A194" s="49"/>
      <c r="B194" s="34"/>
      <c r="C194" s="34"/>
      <c r="D194" s="54"/>
      <c r="E194" s="54"/>
      <c r="F194" s="54"/>
      <c r="G194" s="49"/>
      <c r="H194" s="54"/>
      <c r="I194" s="54"/>
      <c r="J194" s="34"/>
      <c r="K194" s="49"/>
      <c r="L194" s="49"/>
      <c r="M194" s="49"/>
      <c r="N194" s="49"/>
      <c r="O194" s="50"/>
      <c r="P194" s="49"/>
      <c r="Q194" s="49"/>
      <c r="R194" s="49"/>
      <c r="S194" s="38"/>
      <c r="T194" s="49"/>
      <c r="U194" s="49"/>
      <c r="V194" s="49"/>
      <c r="W194" s="34"/>
      <c r="X194" s="51"/>
      <c r="Y194" s="51"/>
      <c r="Z194" s="51"/>
      <c r="AA194" s="51"/>
      <c r="AB194" s="51"/>
      <c r="AC194" s="51"/>
    </row>
    <row r="195" ht="15.75" customHeight="1">
      <c r="A195" s="49"/>
      <c r="B195" s="34"/>
      <c r="C195" s="34"/>
      <c r="D195" s="54"/>
      <c r="E195" s="54"/>
      <c r="F195" s="54"/>
      <c r="G195" s="49"/>
      <c r="H195" s="54"/>
      <c r="I195" s="54"/>
      <c r="J195" s="34"/>
      <c r="K195" s="49"/>
      <c r="L195" s="49"/>
      <c r="M195" s="49"/>
      <c r="N195" s="49"/>
      <c r="O195" s="50"/>
      <c r="P195" s="49"/>
      <c r="Q195" s="49"/>
      <c r="R195" s="49"/>
      <c r="S195" s="38"/>
      <c r="T195" s="49"/>
      <c r="U195" s="49"/>
      <c r="V195" s="49"/>
      <c r="W195" s="34"/>
      <c r="X195" s="51"/>
      <c r="Y195" s="51"/>
      <c r="Z195" s="51"/>
      <c r="AA195" s="51"/>
      <c r="AB195" s="51"/>
      <c r="AC195" s="51"/>
    </row>
    <row r="196" ht="15.75" customHeight="1">
      <c r="A196" s="49"/>
      <c r="B196" s="34"/>
      <c r="C196" s="34"/>
      <c r="D196" s="54"/>
      <c r="E196" s="54"/>
      <c r="F196" s="54"/>
      <c r="G196" s="49"/>
      <c r="H196" s="54"/>
      <c r="I196" s="54"/>
      <c r="J196" s="34"/>
      <c r="K196" s="49"/>
      <c r="L196" s="49"/>
      <c r="M196" s="49"/>
      <c r="N196" s="49"/>
      <c r="O196" s="50"/>
      <c r="P196" s="49"/>
      <c r="Q196" s="49"/>
      <c r="R196" s="49"/>
      <c r="S196" s="38"/>
      <c r="T196" s="49"/>
      <c r="U196" s="49"/>
      <c r="V196" s="49"/>
      <c r="W196" s="34"/>
      <c r="X196" s="51"/>
      <c r="Y196" s="51"/>
      <c r="Z196" s="51"/>
      <c r="AA196" s="51"/>
      <c r="AB196" s="51"/>
      <c r="AC196" s="51"/>
    </row>
    <row r="197" ht="15.75" customHeight="1">
      <c r="A197" s="49"/>
      <c r="B197" s="34"/>
      <c r="C197" s="34"/>
      <c r="D197" s="54"/>
      <c r="E197" s="54"/>
      <c r="F197" s="54"/>
      <c r="G197" s="49"/>
      <c r="H197" s="54"/>
      <c r="I197" s="54"/>
      <c r="J197" s="34"/>
      <c r="K197" s="49"/>
      <c r="L197" s="49"/>
      <c r="M197" s="49"/>
      <c r="N197" s="49"/>
      <c r="O197" s="50"/>
      <c r="P197" s="49"/>
      <c r="Q197" s="49"/>
      <c r="R197" s="49"/>
      <c r="S197" s="38"/>
      <c r="T197" s="49"/>
      <c r="U197" s="49"/>
      <c r="V197" s="49"/>
      <c r="W197" s="34"/>
      <c r="X197" s="51"/>
      <c r="Y197" s="51"/>
      <c r="Z197" s="51"/>
      <c r="AA197" s="51"/>
      <c r="AB197" s="51"/>
      <c r="AC197" s="51"/>
    </row>
    <row r="198" ht="15.75" customHeight="1">
      <c r="A198" s="49"/>
      <c r="B198" s="34"/>
      <c r="C198" s="34"/>
      <c r="D198" s="54"/>
      <c r="E198" s="54"/>
      <c r="F198" s="54"/>
      <c r="G198" s="49"/>
      <c r="H198" s="54"/>
      <c r="I198" s="54"/>
      <c r="J198" s="34"/>
      <c r="K198" s="49"/>
      <c r="L198" s="49"/>
      <c r="M198" s="49"/>
      <c r="N198" s="49"/>
      <c r="O198" s="50"/>
      <c r="P198" s="49"/>
      <c r="Q198" s="49"/>
      <c r="R198" s="49"/>
      <c r="S198" s="38"/>
      <c r="T198" s="49"/>
      <c r="U198" s="49"/>
      <c r="V198" s="49"/>
      <c r="W198" s="34"/>
      <c r="X198" s="51"/>
      <c r="Y198" s="51"/>
      <c r="Z198" s="51"/>
      <c r="AA198" s="51"/>
      <c r="AB198" s="51"/>
      <c r="AC198" s="51"/>
    </row>
    <row r="199" ht="15.75" customHeight="1">
      <c r="A199" s="49"/>
      <c r="B199" s="34"/>
      <c r="C199" s="34"/>
      <c r="D199" s="54"/>
      <c r="E199" s="54"/>
      <c r="F199" s="54"/>
      <c r="G199" s="49"/>
      <c r="H199" s="54"/>
      <c r="I199" s="54"/>
      <c r="J199" s="34"/>
      <c r="K199" s="49"/>
      <c r="L199" s="49"/>
      <c r="M199" s="49"/>
      <c r="N199" s="49"/>
      <c r="O199" s="50"/>
      <c r="P199" s="49"/>
      <c r="Q199" s="49"/>
      <c r="R199" s="49"/>
      <c r="S199" s="38"/>
      <c r="T199" s="49"/>
      <c r="U199" s="49"/>
      <c r="V199" s="49"/>
      <c r="W199" s="34"/>
      <c r="X199" s="51"/>
      <c r="Y199" s="51"/>
      <c r="Z199" s="51"/>
      <c r="AA199" s="51"/>
      <c r="AB199" s="51"/>
      <c r="AC199" s="51"/>
    </row>
    <row r="200" ht="15.75" customHeight="1">
      <c r="A200" s="49"/>
      <c r="B200" s="34"/>
      <c r="C200" s="34"/>
      <c r="D200" s="54"/>
      <c r="E200" s="54"/>
      <c r="F200" s="54"/>
      <c r="G200" s="49"/>
      <c r="H200" s="54"/>
      <c r="I200" s="54"/>
      <c r="J200" s="34"/>
      <c r="K200" s="49"/>
      <c r="L200" s="49"/>
      <c r="M200" s="49"/>
      <c r="N200" s="49"/>
      <c r="O200" s="50"/>
      <c r="P200" s="49"/>
      <c r="Q200" s="49"/>
      <c r="R200" s="49"/>
      <c r="S200" s="38"/>
      <c r="T200" s="49"/>
      <c r="U200" s="49"/>
      <c r="V200" s="49"/>
      <c r="W200" s="34"/>
      <c r="X200" s="51"/>
      <c r="Y200" s="51"/>
      <c r="Z200" s="51"/>
      <c r="AA200" s="51"/>
      <c r="AB200" s="51"/>
      <c r="AC200" s="51"/>
    </row>
    <row r="201" ht="15.75" customHeight="1">
      <c r="A201" s="49"/>
      <c r="B201" s="34"/>
      <c r="C201" s="34"/>
      <c r="D201" s="54"/>
      <c r="E201" s="54"/>
      <c r="F201" s="54"/>
      <c r="G201" s="49"/>
      <c r="H201" s="54"/>
      <c r="I201" s="54"/>
      <c r="J201" s="34"/>
      <c r="K201" s="49"/>
      <c r="L201" s="49"/>
      <c r="M201" s="49"/>
      <c r="N201" s="49"/>
      <c r="O201" s="50"/>
      <c r="P201" s="49"/>
      <c r="Q201" s="49"/>
      <c r="R201" s="49"/>
      <c r="S201" s="38"/>
      <c r="T201" s="49"/>
      <c r="U201" s="49"/>
      <c r="V201" s="49"/>
      <c r="W201" s="34"/>
      <c r="X201" s="51"/>
      <c r="Y201" s="51"/>
      <c r="Z201" s="51"/>
      <c r="AA201" s="51"/>
      <c r="AB201" s="51"/>
      <c r="AC201" s="51"/>
    </row>
    <row r="202" ht="15.75" customHeight="1">
      <c r="A202" s="49"/>
      <c r="B202" s="34"/>
      <c r="C202" s="34"/>
      <c r="D202" s="54"/>
      <c r="E202" s="54"/>
      <c r="F202" s="54"/>
      <c r="G202" s="49"/>
      <c r="H202" s="54"/>
      <c r="I202" s="54"/>
      <c r="J202" s="34"/>
      <c r="K202" s="49"/>
      <c r="L202" s="49"/>
      <c r="M202" s="49"/>
      <c r="N202" s="49"/>
      <c r="O202" s="50"/>
      <c r="P202" s="49"/>
      <c r="Q202" s="49"/>
      <c r="R202" s="49"/>
      <c r="S202" s="38"/>
      <c r="T202" s="49"/>
      <c r="U202" s="49"/>
      <c r="V202" s="49"/>
      <c r="W202" s="34"/>
      <c r="X202" s="51"/>
      <c r="Y202" s="51"/>
      <c r="Z202" s="51"/>
      <c r="AA202" s="51"/>
      <c r="AB202" s="51"/>
      <c r="AC202" s="51"/>
    </row>
    <row r="203" ht="15.75" customHeight="1">
      <c r="A203" s="49"/>
      <c r="B203" s="34"/>
      <c r="C203" s="34"/>
      <c r="D203" s="54"/>
      <c r="E203" s="54"/>
      <c r="F203" s="54"/>
      <c r="G203" s="49"/>
      <c r="H203" s="54"/>
      <c r="I203" s="54"/>
      <c r="J203" s="34"/>
      <c r="K203" s="49"/>
      <c r="L203" s="49"/>
      <c r="M203" s="49"/>
      <c r="N203" s="49"/>
      <c r="O203" s="50"/>
      <c r="P203" s="49"/>
      <c r="Q203" s="49"/>
      <c r="R203" s="49"/>
      <c r="S203" s="38"/>
      <c r="T203" s="49"/>
      <c r="U203" s="49"/>
      <c r="V203" s="49"/>
      <c r="W203" s="34"/>
      <c r="X203" s="51"/>
      <c r="Y203" s="51"/>
      <c r="Z203" s="51"/>
      <c r="AA203" s="51"/>
      <c r="AB203" s="51"/>
      <c r="AC203" s="51"/>
    </row>
    <row r="204" ht="15.75" customHeight="1">
      <c r="A204" s="49"/>
      <c r="B204" s="34"/>
      <c r="C204" s="34"/>
      <c r="D204" s="54"/>
      <c r="E204" s="54"/>
      <c r="F204" s="54"/>
      <c r="G204" s="49"/>
      <c r="H204" s="54"/>
      <c r="I204" s="54"/>
      <c r="J204" s="34"/>
      <c r="K204" s="49"/>
      <c r="L204" s="49"/>
      <c r="M204" s="49"/>
      <c r="N204" s="49"/>
      <c r="O204" s="50"/>
      <c r="P204" s="49"/>
      <c r="Q204" s="49"/>
      <c r="R204" s="49"/>
      <c r="S204" s="38"/>
      <c r="T204" s="49"/>
      <c r="U204" s="49"/>
      <c r="V204" s="49"/>
      <c r="W204" s="34"/>
      <c r="X204" s="51"/>
      <c r="Y204" s="51"/>
      <c r="Z204" s="51"/>
      <c r="AA204" s="51"/>
      <c r="AB204" s="51"/>
      <c r="AC204" s="51"/>
    </row>
    <row r="205" ht="15.75" customHeight="1">
      <c r="A205" s="49"/>
      <c r="B205" s="34"/>
      <c r="C205" s="34"/>
      <c r="D205" s="54"/>
      <c r="E205" s="54"/>
      <c r="F205" s="54"/>
      <c r="G205" s="49"/>
      <c r="H205" s="54"/>
      <c r="I205" s="54"/>
      <c r="J205" s="34"/>
      <c r="K205" s="49"/>
      <c r="L205" s="49"/>
      <c r="M205" s="49"/>
      <c r="N205" s="49"/>
      <c r="O205" s="50"/>
      <c r="P205" s="49"/>
      <c r="Q205" s="49"/>
      <c r="R205" s="49"/>
      <c r="S205" s="38"/>
      <c r="T205" s="49"/>
      <c r="U205" s="49"/>
      <c r="V205" s="49"/>
      <c r="W205" s="34"/>
      <c r="X205" s="51"/>
      <c r="Y205" s="51"/>
      <c r="Z205" s="51"/>
      <c r="AA205" s="51"/>
      <c r="AB205" s="51"/>
      <c r="AC205" s="51"/>
    </row>
    <row r="206" ht="15.75" customHeight="1">
      <c r="A206" s="49"/>
      <c r="B206" s="34"/>
      <c r="C206" s="34"/>
      <c r="D206" s="54"/>
      <c r="E206" s="54"/>
      <c r="F206" s="54"/>
      <c r="G206" s="49"/>
      <c r="H206" s="54"/>
      <c r="I206" s="54"/>
      <c r="J206" s="34"/>
      <c r="K206" s="49"/>
      <c r="L206" s="49"/>
      <c r="M206" s="49"/>
      <c r="N206" s="49"/>
      <c r="O206" s="50"/>
      <c r="P206" s="49"/>
      <c r="Q206" s="49"/>
      <c r="R206" s="49"/>
      <c r="S206" s="38"/>
      <c r="T206" s="49"/>
      <c r="U206" s="49"/>
      <c r="V206" s="49"/>
      <c r="W206" s="34"/>
      <c r="X206" s="51"/>
      <c r="Y206" s="51"/>
      <c r="Z206" s="51"/>
      <c r="AA206" s="51"/>
      <c r="AB206" s="51"/>
      <c r="AC206" s="51"/>
    </row>
    <row r="207" ht="15.75" customHeight="1">
      <c r="A207" s="49"/>
      <c r="B207" s="34"/>
      <c r="C207" s="34"/>
      <c r="D207" s="54"/>
      <c r="E207" s="54"/>
      <c r="F207" s="54"/>
      <c r="G207" s="49"/>
      <c r="H207" s="54"/>
      <c r="I207" s="54"/>
      <c r="J207" s="34"/>
      <c r="K207" s="49"/>
      <c r="L207" s="49"/>
      <c r="M207" s="49"/>
      <c r="N207" s="49"/>
      <c r="O207" s="50"/>
      <c r="P207" s="49"/>
      <c r="Q207" s="49"/>
      <c r="R207" s="49"/>
      <c r="S207" s="38"/>
      <c r="T207" s="49"/>
      <c r="U207" s="49"/>
      <c r="V207" s="49"/>
      <c r="W207" s="34"/>
      <c r="X207" s="51"/>
      <c r="Y207" s="51"/>
      <c r="Z207" s="51"/>
      <c r="AA207" s="51"/>
      <c r="AB207" s="51"/>
      <c r="AC207" s="51"/>
    </row>
    <row r="208" ht="15.75" customHeight="1">
      <c r="A208" s="49"/>
      <c r="B208" s="34"/>
      <c r="C208" s="34"/>
      <c r="D208" s="54"/>
      <c r="E208" s="54"/>
      <c r="F208" s="54"/>
      <c r="G208" s="49"/>
      <c r="H208" s="54"/>
      <c r="I208" s="54"/>
      <c r="J208" s="34"/>
      <c r="K208" s="49"/>
      <c r="L208" s="49"/>
      <c r="M208" s="49"/>
      <c r="N208" s="49"/>
      <c r="O208" s="50"/>
      <c r="P208" s="49"/>
      <c r="Q208" s="49"/>
      <c r="R208" s="49"/>
      <c r="S208" s="38"/>
      <c r="T208" s="49"/>
      <c r="U208" s="49"/>
      <c r="V208" s="49"/>
      <c r="W208" s="34"/>
      <c r="X208" s="51"/>
      <c r="Y208" s="51"/>
      <c r="Z208" s="51"/>
      <c r="AA208" s="51"/>
      <c r="AB208" s="51"/>
      <c r="AC208" s="51"/>
    </row>
    <row r="209" ht="15.75" customHeight="1">
      <c r="A209" s="49"/>
      <c r="B209" s="34"/>
      <c r="C209" s="34"/>
      <c r="D209" s="54"/>
      <c r="E209" s="54"/>
      <c r="F209" s="54"/>
      <c r="G209" s="49"/>
      <c r="H209" s="54"/>
      <c r="I209" s="54"/>
      <c r="J209" s="34"/>
      <c r="K209" s="49"/>
      <c r="L209" s="49"/>
      <c r="M209" s="49"/>
      <c r="N209" s="49"/>
      <c r="O209" s="50"/>
      <c r="P209" s="49"/>
      <c r="Q209" s="49"/>
      <c r="R209" s="49"/>
      <c r="S209" s="38"/>
      <c r="T209" s="49"/>
      <c r="U209" s="49"/>
      <c r="V209" s="49"/>
      <c r="W209" s="34"/>
      <c r="X209" s="51"/>
      <c r="Y209" s="51"/>
      <c r="Z209" s="51"/>
      <c r="AA209" s="51"/>
      <c r="AB209" s="51"/>
      <c r="AC209" s="51"/>
    </row>
    <row r="210" ht="15.75" customHeight="1">
      <c r="A210" s="49"/>
      <c r="B210" s="34"/>
      <c r="C210" s="34"/>
      <c r="D210" s="54"/>
      <c r="E210" s="54"/>
      <c r="F210" s="54"/>
      <c r="G210" s="49"/>
      <c r="H210" s="54"/>
      <c r="I210" s="54"/>
      <c r="J210" s="34"/>
      <c r="K210" s="49"/>
      <c r="L210" s="49"/>
      <c r="M210" s="49"/>
      <c r="N210" s="49"/>
      <c r="O210" s="50"/>
      <c r="P210" s="49"/>
      <c r="Q210" s="49"/>
      <c r="R210" s="49"/>
      <c r="S210" s="38"/>
      <c r="T210" s="49"/>
      <c r="U210" s="49"/>
      <c r="V210" s="49"/>
      <c r="W210" s="34"/>
      <c r="X210" s="51"/>
      <c r="Y210" s="51"/>
      <c r="Z210" s="51"/>
      <c r="AA210" s="51"/>
      <c r="AB210" s="51"/>
      <c r="AC210" s="51"/>
    </row>
    <row r="211" ht="15.75" customHeight="1">
      <c r="A211" s="49"/>
      <c r="B211" s="34"/>
      <c r="C211" s="34"/>
      <c r="D211" s="54"/>
      <c r="E211" s="54"/>
      <c r="F211" s="54"/>
      <c r="G211" s="49"/>
      <c r="H211" s="54"/>
      <c r="I211" s="54"/>
      <c r="J211" s="34"/>
      <c r="K211" s="49"/>
      <c r="L211" s="49"/>
      <c r="M211" s="49"/>
      <c r="N211" s="49"/>
      <c r="O211" s="50"/>
      <c r="P211" s="49"/>
      <c r="Q211" s="49"/>
      <c r="R211" s="49"/>
      <c r="S211" s="38"/>
      <c r="T211" s="49"/>
      <c r="U211" s="49"/>
      <c r="V211" s="49"/>
      <c r="W211" s="34"/>
      <c r="X211" s="51"/>
      <c r="Y211" s="51"/>
      <c r="Z211" s="51"/>
      <c r="AA211" s="51"/>
      <c r="AB211" s="51"/>
      <c r="AC211" s="51"/>
    </row>
    <row r="212" ht="15.75" customHeight="1">
      <c r="A212" s="49"/>
      <c r="B212" s="34"/>
      <c r="C212" s="34"/>
      <c r="D212" s="54"/>
      <c r="E212" s="54"/>
      <c r="F212" s="54"/>
      <c r="G212" s="49"/>
      <c r="H212" s="54"/>
      <c r="I212" s="54"/>
      <c r="J212" s="34"/>
      <c r="K212" s="49"/>
      <c r="L212" s="49"/>
      <c r="M212" s="49"/>
      <c r="N212" s="49"/>
      <c r="O212" s="50"/>
      <c r="P212" s="49"/>
      <c r="Q212" s="49"/>
      <c r="R212" s="49"/>
      <c r="S212" s="38"/>
      <c r="T212" s="49"/>
      <c r="U212" s="49"/>
      <c r="V212" s="49"/>
      <c r="W212" s="34"/>
      <c r="X212" s="51"/>
      <c r="Y212" s="51"/>
      <c r="Z212" s="51"/>
      <c r="AA212" s="51"/>
      <c r="AB212" s="51"/>
      <c r="AC212" s="51"/>
    </row>
    <row r="213" ht="15.75" customHeight="1">
      <c r="A213" s="49"/>
      <c r="B213" s="34"/>
      <c r="C213" s="34"/>
      <c r="D213" s="54"/>
      <c r="E213" s="54"/>
      <c r="F213" s="54"/>
      <c r="G213" s="49"/>
      <c r="H213" s="54"/>
      <c r="I213" s="54"/>
      <c r="J213" s="34"/>
      <c r="K213" s="49"/>
      <c r="L213" s="49"/>
      <c r="M213" s="49"/>
      <c r="N213" s="49"/>
      <c r="O213" s="50"/>
      <c r="P213" s="49"/>
      <c r="Q213" s="49"/>
      <c r="R213" s="49"/>
      <c r="S213" s="38"/>
      <c r="T213" s="49"/>
      <c r="U213" s="49"/>
      <c r="V213" s="49"/>
      <c r="W213" s="34"/>
      <c r="X213" s="51"/>
      <c r="Y213" s="51"/>
      <c r="Z213" s="51"/>
      <c r="AA213" s="51"/>
      <c r="AB213" s="51"/>
      <c r="AC213" s="51"/>
    </row>
    <row r="214" ht="15.75" customHeight="1">
      <c r="A214" s="49"/>
      <c r="B214" s="34"/>
      <c r="C214" s="34"/>
      <c r="D214" s="54"/>
      <c r="E214" s="54"/>
      <c r="F214" s="54"/>
      <c r="G214" s="49"/>
      <c r="H214" s="54"/>
      <c r="I214" s="54"/>
      <c r="J214" s="34"/>
      <c r="K214" s="49"/>
      <c r="L214" s="49"/>
      <c r="M214" s="49"/>
      <c r="N214" s="49"/>
      <c r="O214" s="50"/>
      <c r="P214" s="49"/>
      <c r="Q214" s="49"/>
      <c r="R214" s="49"/>
      <c r="S214" s="38"/>
      <c r="T214" s="49"/>
      <c r="U214" s="49"/>
      <c r="V214" s="49"/>
      <c r="W214" s="34"/>
      <c r="X214" s="51"/>
      <c r="Y214" s="51"/>
      <c r="Z214" s="51"/>
      <c r="AA214" s="51"/>
      <c r="AB214" s="51"/>
      <c r="AC214" s="51"/>
    </row>
    <row r="215" ht="15.75" customHeight="1">
      <c r="A215" s="49"/>
      <c r="B215" s="34"/>
      <c r="C215" s="34"/>
      <c r="D215" s="54"/>
      <c r="E215" s="54"/>
      <c r="F215" s="54"/>
      <c r="G215" s="49"/>
      <c r="H215" s="54"/>
      <c r="I215" s="54"/>
      <c r="J215" s="34"/>
      <c r="K215" s="49"/>
      <c r="L215" s="49"/>
      <c r="M215" s="49"/>
      <c r="N215" s="49"/>
      <c r="O215" s="50"/>
      <c r="P215" s="49"/>
      <c r="Q215" s="49"/>
      <c r="R215" s="49"/>
      <c r="S215" s="38"/>
      <c r="T215" s="49"/>
      <c r="U215" s="49"/>
      <c r="V215" s="49"/>
      <c r="W215" s="34"/>
      <c r="X215" s="51"/>
      <c r="Y215" s="51"/>
      <c r="Z215" s="51"/>
      <c r="AA215" s="51"/>
      <c r="AB215" s="51"/>
      <c r="AC215" s="51"/>
    </row>
    <row r="216" ht="15.75" customHeight="1">
      <c r="A216" s="49"/>
      <c r="B216" s="34"/>
      <c r="C216" s="34"/>
      <c r="D216" s="54"/>
      <c r="E216" s="54"/>
      <c r="F216" s="54"/>
      <c r="G216" s="49"/>
      <c r="H216" s="54"/>
      <c r="I216" s="54"/>
      <c r="J216" s="34"/>
      <c r="K216" s="49"/>
      <c r="L216" s="49"/>
      <c r="M216" s="49"/>
      <c r="N216" s="49"/>
      <c r="O216" s="50"/>
      <c r="P216" s="49"/>
      <c r="Q216" s="49"/>
      <c r="R216" s="49"/>
      <c r="S216" s="38"/>
      <c r="T216" s="49"/>
      <c r="U216" s="49"/>
      <c r="V216" s="49"/>
      <c r="W216" s="34"/>
      <c r="X216" s="51"/>
      <c r="Y216" s="51"/>
      <c r="Z216" s="51"/>
      <c r="AA216" s="51"/>
      <c r="AB216" s="51"/>
      <c r="AC216" s="51"/>
    </row>
    <row r="217" ht="15.75" customHeight="1">
      <c r="A217" s="49"/>
      <c r="B217" s="34"/>
      <c r="C217" s="34"/>
      <c r="D217" s="54"/>
      <c r="E217" s="54"/>
      <c r="F217" s="54"/>
      <c r="G217" s="49"/>
      <c r="H217" s="54"/>
      <c r="I217" s="54"/>
      <c r="J217" s="34"/>
      <c r="K217" s="49"/>
      <c r="L217" s="49"/>
      <c r="M217" s="49"/>
      <c r="N217" s="49"/>
      <c r="O217" s="50"/>
      <c r="P217" s="49"/>
      <c r="Q217" s="49"/>
      <c r="R217" s="49"/>
      <c r="S217" s="38"/>
      <c r="T217" s="49"/>
      <c r="U217" s="49"/>
      <c r="V217" s="49"/>
      <c r="W217" s="34"/>
      <c r="X217" s="51"/>
      <c r="Y217" s="51"/>
      <c r="Z217" s="51"/>
      <c r="AA217" s="51"/>
      <c r="AB217" s="51"/>
      <c r="AC217" s="51"/>
    </row>
    <row r="218" ht="15.75" customHeight="1">
      <c r="A218" s="49"/>
      <c r="B218" s="34"/>
      <c r="C218" s="34"/>
      <c r="D218" s="54"/>
      <c r="E218" s="54"/>
      <c r="F218" s="54"/>
      <c r="G218" s="49"/>
      <c r="H218" s="54"/>
      <c r="I218" s="54"/>
      <c r="J218" s="34"/>
      <c r="K218" s="49"/>
      <c r="L218" s="49"/>
      <c r="M218" s="49"/>
      <c r="N218" s="49"/>
      <c r="O218" s="50"/>
      <c r="P218" s="49"/>
      <c r="Q218" s="49"/>
      <c r="R218" s="49"/>
      <c r="S218" s="38"/>
      <c r="T218" s="49"/>
      <c r="U218" s="49"/>
      <c r="V218" s="49"/>
      <c r="W218" s="34"/>
      <c r="X218" s="51"/>
      <c r="Y218" s="51"/>
      <c r="Z218" s="51"/>
      <c r="AA218" s="51"/>
      <c r="AB218" s="51"/>
      <c r="AC218" s="51"/>
    </row>
    <row r="219" ht="15.75" customHeight="1">
      <c r="A219" s="49"/>
      <c r="B219" s="34"/>
      <c r="C219" s="34"/>
      <c r="D219" s="54"/>
      <c r="E219" s="54"/>
      <c r="F219" s="54"/>
      <c r="G219" s="49"/>
      <c r="H219" s="54"/>
      <c r="I219" s="54"/>
      <c r="J219" s="34"/>
      <c r="K219" s="49"/>
      <c r="L219" s="49"/>
      <c r="M219" s="49"/>
      <c r="N219" s="49"/>
      <c r="O219" s="50"/>
      <c r="P219" s="49"/>
      <c r="Q219" s="49"/>
      <c r="R219" s="49"/>
      <c r="S219" s="38"/>
      <c r="T219" s="49"/>
      <c r="U219" s="49"/>
      <c r="V219" s="49"/>
      <c r="W219" s="34"/>
      <c r="X219" s="51"/>
      <c r="Y219" s="51"/>
      <c r="Z219" s="51"/>
      <c r="AA219" s="51"/>
      <c r="AB219" s="51"/>
      <c r="AC219" s="51"/>
    </row>
    <row r="220" ht="15.75" customHeight="1">
      <c r="A220" s="49"/>
      <c r="B220" s="34"/>
      <c r="C220" s="34"/>
      <c r="D220" s="54"/>
      <c r="E220" s="54"/>
      <c r="F220" s="54"/>
      <c r="G220" s="49"/>
      <c r="H220" s="54"/>
      <c r="I220" s="54"/>
      <c r="J220" s="34"/>
      <c r="K220" s="49"/>
      <c r="L220" s="49"/>
      <c r="M220" s="49"/>
      <c r="N220" s="49"/>
      <c r="O220" s="50"/>
      <c r="P220" s="49"/>
      <c r="Q220" s="49"/>
      <c r="R220" s="49"/>
      <c r="S220" s="38"/>
      <c r="T220" s="49"/>
      <c r="U220" s="49"/>
      <c r="V220" s="49"/>
      <c r="W220" s="34"/>
      <c r="X220" s="51"/>
      <c r="Y220" s="51"/>
      <c r="Z220" s="51"/>
      <c r="AA220" s="51"/>
      <c r="AB220" s="51"/>
      <c r="AC220" s="51"/>
    </row>
    <row r="221" ht="15.75" customHeight="1">
      <c r="A221" s="49"/>
      <c r="B221" s="34"/>
      <c r="C221" s="34"/>
      <c r="D221" s="54"/>
      <c r="E221" s="54"/>
      <c r="F221" s="54"/>
      <c r="G221" s="49"/>
      <c r="H221" s="54"/>
      <c r="I221" s="54"/>
      <c r="J221" s="34"/>
      <c r="K221" s="49"/>
      <c r="L221" s="49"/>
      <c r="M221" s="49"/>
      <c r="N221" s="49"/>
      <c r="O221" s="50"/>
      <c r="P221" s="49"/>
      <c r="Q221" s="49"/>
      <c r="R221" s="49"/>
      <c r="S221" s="38"/>
      <c r="T221" s="49"/>
      <c r="U221" s="49"/>
      <c r="V221" s="49"/>
      <c r="W221" s="34"/>
      <c r="X221" s="51"/>
      <c r="Y221" s="51"/>
      <c r="Z221" s="51"/>
      <c r="AA221" s="51"/>
      <c r="AB221" s="51"/>
      <c r="AC221" s="51"/>
    </row>
    <row r="222" ht="15.75" customHeight="1">
      <c r="A222" s="49"/>
      <c r="B222" s="34"/>
      <c r="C222" s="34"/>
      <c r="D222" s="54"/>
      <c r="E222" s="54"/>
      <c r="F222" s="54"/>
      <c r="G222" s="49"/>
      <c r="H222" s="54"/>
      <c r="I222" s="54"/>
      <c r="J222" s="34"/>
      <c r="K222" s="49"/>
      <c r="L222" s="49"/>
      <c r="M222" s="49"/>
      <c r="N222" s="49"/>
      <c r="O222" s="50"/>
      <c r="P222" s="49"/>
      <c r="Q222" s="49"/>
      <c r="R222" s="49"/>
      <c r="S222" s="38"/>
      <c r="T222" s="49"/>
      <c r="U222" s="49"/>
      <c r="V222" s="49"/>
      <c r="W222" s="34"/>
      <c r="X222" s="51"/>
      <c r="Y222" s="51"/>
      <c r="Z222" s="51"/>
      <c r="AA222" s="51"/>
      <c r="AB222" s="51"/>
      <c r="AC222" s="51"/>
    </row>
    <row r="223" ht="15.75" customHeight="1">
      <c r="A223" s="49"/>
      <c r="B223" s="34"/>
      <c r="C223" s="34"/>
      <c r="D223" s="54"/>
      <c r="E223" s="54"/>
      <c r="F223" s="54"/>
      <c r="G223" s="49"/>
      <c r="H223" s="54"/>
      <c r="I223" s="54"/>
      <c r="J223" s="34"/>
      <c r="K223" s="49"/>
      <c r="L223" s="49"/>
      <c r="M223" s="49"/>
      <c r="N223" s="49"/>
      <c r="O223" s="50"/>
      <c r="P223" s="49"/>
      <c r="Q223" s="49"/>
      <c r="R223" s="49"/>
      <c r="S223" s="38"/>
      <c r="T223" s="49"/>
      <c r="U223" s="49"/>
      <c r="V223" s="49"/>
      <c r="W223" s="34"/>
      <c r="X223" s="51"/>
      <c r="Y223" s="51"/>
      <c r="Z223" s="51"/>
      <c r="AA223" s="51"/>
      <c r="AB223" s="51"/>
      <c r="AC223" s="51"/>
    </row>
    <row r="224" ht="15.75" customHeight="1">
      <c r="A224" s="49"/>
      <c r="B224" s="34"/>
      <c r="C224" s="34"/>
      <c r="D224" s="54"/>
      <c r="E224" s="54"/>
      <c r="F224" s="54"/>
      <c r="G224" s="49"/>
      <c r="H224" s="54"/>
      <c r="I224" s="54"/>
      <c r="J224" s="34"/>
      <c r="K224" s="49"/>
      <c r="L224" s="49"/>
      <c r="M224" s="49"/>
      <c r="N224" s="49"/>
      <c r="O224" s="50"/>
      <c r="P224" s="49"/>
      <c r="Q224" s="49"/>
      <c r="R224" s="49"/>
      <c r="S224" s="38"/>
      <c r="T224" s="49"/>
      <c r="U224" s="49"/>
      <c r="V224" s="49"/>
      <c r="W224" s="34"/>
      <c r="X224" s="51"/>
      <c r="Y224" s="51"/>
      <c r="Z224" s="51"/>
      <c r="AA224" s="51"/>
      <c r="AB224" s="51"/>
      <c r="AC224" s="51"/>
    </row>
    <row r="225" ht="15.75" customHeight="1">
      <c r="A225" s="49"/>
      <c r="B225" s="34"/>
      <c r="C225" s="34"/>
      <c r="D225" s="54"/>
      <c r="E225" s="54"/>
      <c r="F225" s="54"/>
      <c r="G225" s="49"/>
      <c r="H225" s="54"/>
      <c r="I225" s="54"/>
      <c r="J225" s="34"/>
      <c r="K225" s="49"/>
      <c r="L225" s="49"/>
      <c r="M225" s="49"/>
      <c r="N225" s="49"/>
      <c r="O225" s="50"/>
      <c r="P225" s="49"/>
      <c r="Q225" s="49"/>
      <c r="R225" s="49"/>
      <c r="S225" s="38"/>
      <c r="T225" s="49"/>
      <c r="U225" s="49"/>
      <c r="V225" s="49"/>
      <c r="W225" s="34"/>
      <c r="X225" s="51"/>
      <c r="Y225" s="51"/>
      <c r="Z225" s="51"/>
      <c r="AA225" s="51"/>
      <c r="AB225" s="51"/>
      <c r="AC225" s="51"/>
    </row>
    <row r="226" ht="15.75" customHeight="1">
      <c r="A226" s="49"/>
      <c r="B226" s="34"/>
      <c r="C226" s="34"/>
      <c r="D226" s="54"/>
      <c r="E226" s="54"/>
      <c r="F226" s="54"/>
      <c r="G226" s="49"/>
      <c r="H226" s="54"/>
      <c r="I226" s="54"/>
      <c r="J226" s="34"/>
      <c r="K226" s="49"/>
      <c r="L226" s="49"/>
      <c r="M226" s="49"/>
      <c r="N226" s="49"/>
      <c r="O226" s="50"/>
      <c r="P226" s="49"/>
      <c r="Q226" s="49"/>
      <c r="R226" s="49"/>
      <c r="S226" s="38"/>
      <c r="T226" s="49"/>
      <c r="U226" s="49"/>
      <c r="V226" s="49"/>
      <c r="W226" s="34"/>
      <c r="X226" s="51"/>
      <c r="Y226" s="51"/>
      <c r="Z226" s="51"/>
      <c r="AA226" s="51"/>
      <c r="AB226" s="51"/>
      <c r="AC226" s="51"/>
    </row>
    <row r="227" ht="15.75" customHeight="1">
      <c r="A227" s="49"/>
      <c r="B227" s="34"/>
      <c r="C227" s="34"/>
      <c r="D227" s="54"/>
      <c r="E227" s="54"/>
      <c r="F227" s="54"/>
      <c r="G227" s="49"/>
      <c r="H227" s="54"/>
      <c r="I227" s="54"/>
      <c r="J227" s="34"/>
      <c r="K227" s="49"/>
      <c r="L227" s="49"/>
      <c r="M227" s="49"/>
      <c r="N227" s="49"/>
      <c r="O227" s="50"/>
      <c r="P227" s="49"/>
      <c r="Q227" s="49"/>
      <c r="R227" s="49"/>
      <c r="S227" s="38"/>
      <c r="T227" s="49"/>
      <c r="U227" s="49"/>
      <c r="V227" s="49"/>
      <c r="W227" s="34"/>
      <c r="X227" s="51"/>
      <c r="Y227" s="51"/>
      <c r="Z227" s="51"/>
      <c r="AA227" s="51"/>
      <c r="AB227" s="51"/>
      <c r="AC227" s="51"/>
    </row>
    <row r="228" ht="15.75" customHeight="1">
      <c r="A228" s="49"/>
      <c r="B228" s="34"/>
      <c r="C228" s="34"/>
      <c r="D228" s="54"/>
      <c r="E228" s="54"/>
      <c r="F228" s="54"/>
      <c r="G228" s="49"/>
      <c r="H228" s="54"/>
      <c r="I228" s="54"/>
      <c r="J228" s="34"/>
      <c r="K228" s="49"/>
      <c r="L228" s="49"/>
      <c r="M228" s="49"/>
      <c r="N228" s="49"/>
      <c r="O228" s="50"/>
      <c r="P228" s="49"/>
      <c r="Q228" s="49"/>
      <c r="R228" s="49"/>
      <c r="S228" s="38"/>
      <c r="T228" s="49"/>
      <c r="U228" s="49"/>
      <c r="V228" s="49"/>
      <c r="W228" s="34"/>
      <c r="X228" s="51"/>
      <c r="Y228" s="51"/>
      <c r="Z228" s="51"/>
      <c r="AA228" s="51"/>
      <c r="AB228" s="51"/>
      <c r="AC228" s="51"/>
    </row>
    <row r="229" ht="15.75" customHeight="1">
      <c r="A229" s="49"/>
      <c r="B229" s="34"/>
      <c r="C229" s="34"/>
      <c r="D229" s="54"/>
      <c r="E229" s="54"/>
      <c r="F229" s="54"/>
      <c r="G229" s="49"/>
      <c r="H229" s="54"/>
      <c r="I229" s="54"/>
      <c r="J229" s="34"/>
      <c r="K229" s="49"/>
      <c r="L229" s="49"/>
      <c r="M229" s="49"/>
      <c r="N229" s="49"/>
      <c r="O229" s="50"/>
      <c r="P229" s="49"/>
      <c r="Q229" s="49"/>
      <c r="R229" s="49"/>
      <c r="S229" s="38"/>
      <c r="T229" s="49"/>
      <c r="U229" s="49"/>
      <c r="V229" s="49"/>
      <c r="W229" s="34"/>
      <c r="X229" s="51"/>
      <c r="Y229" s="51"/>
      <c r="Z229" s="51"/>
      <c r="AA229" s="51"/>
      <c r="AB229" s="51"/>
      <c r="AC229" s="51"/>
    </row>
    <row r="230" ht="15.75" customHeight="1">
      <c r="A230" s="49"/>
      <c r="B230" s="34"/>
      <c r="C230" s="34"/>
      <c r="D230" s="54"/>
      <c r="E230" s="54"/>
      <c r="F230" s="54"/>
      <c r="G230" s="49"/>
      <c r="H230" s="54"/>
      <c r="I230" s="54"/>
      <c r="J230" s="34"/>
      <c r="K230" s="49"/>
      <c r="L230" s="49"/>
      <c r="M230" s="49"/>
      <c r="N230" s="49"/>
      <c r="O230" s="50"/>
      <c r="P230" s="49"/>
      <c r="Q230" s="49"/>
      <c r="R230" s="49"/>
      <c r="S230" s="38"/>
      <c r="T230" s="49"/>
      <c r="U230" s="49"/>
      <c r="V230" s="49"/>
      <c r="W230" s="34"/>
      <c r="X230" s="51"/>
      <c r="Y230" s="51"/>
      <c r="Z230" s="51"/>
      <c r="AA230" s="51"/>
      <c r="AB230" s="51"/>
      <c r="AC230" s="51"/>
    </row>
    <row r="231" ht="15.75" customHeight="1">
      <c r="A231" s="49"/>
      <c r="B231" s="34"/>
      <c r="C231" s="34"/>
      <c r="D231" s="54"/>
      <c r="E231" s="54"/>
      <c r="F231" s="54"/>
      <c r="G231" s="49"/>
      <c r="H231" s="54"/>
      <c r="I231" s="54"/>
      <c r="J231" s="34"/>
      <c r="K231" s="49"/>
      <c r="L231" s="49"/>
      <c r="M231" s="49"/>
      <c r="N231" s="49"/>
      <c r="O231" s="50"/>
      <c r="P231" s="49"/>
      <c r="Q231" s="49"/>
      <c r="R231" s="49"/>
      <c r="S231" s="38"/>
      <c r="T231" s="49"/>
      <c r="U231" s="49"/>
      <c r="V231" s="49"/>
      <c r="W231" s="34"/>
      <c r="X231" s="51"/>
      <c r="Y231" s="51"/>
      <c r="Z231" s="51"/>
      <c r="AA231" s="51"/>
      <c r="AB231" s="51"/>
      <c r="AC231" s="51"/>
    </row>
    <row r="232" ht="15.75" customHeight="1">
      <c r="A232" s="49"/>
      <c r="B232" s="34"/>
      <c r="C232" s="34"/>
      <c r="D232" s="54"/>
      <c r="E232" s="54"/>
      <c r="F232" s="54"/>
      <c r="G232" s="49"/>
      <c r="H232" s="54"/>
      <c r="I232" s="54"/>
      <c r="J232" s="34"/>
      <c r="K232" s="49"/>
      <c r="L232" s="49"/>
      <c r="M232" s="49"/>
      <c r="N232" s="49"/>
      <c r="O232" s="50"/>
      <c r="P232" s="49"/>
      <c r="Q232" s="49"/>
      <c r="R232" s="49"/>
      <c r="S232" s="38"/>
      <c r="T232" s="49"/>
      <c r="U232" s="49"/>
      <c r="V232" s="49"/>
      <c r="W232" s="34"/>
      <c r="X232" s="51"/>
      <c r="Y232" s="51"/>
      <c r="Z232" s="51"/>
      <c r="AA232" s="51"/>
      <c r="AB232" s="51"/>
      <c r="AC232" s="51"/>
    </row>
    <row r="233" ht="15.75" customHeight="1">
      <c r="A233" s="49"/>
      <c r="B233" s="34"/>
      <c r="C233" s="34"/>
      <c r="D233" s="54"/>
      <c r="E233" s="54"/>
      <c r="F233" s="54"/>
      <c r="G233" s="49"/>
      <c r="H233" s="54"/>
      <c r="I233" s="54"/>
      <c r="J233" s="34"/>
      <c r="K233" s="49"/>
      <c r="L233" s="49"/>
      <c r="M233" s="49"/>
      <c r="N233" s="49"/>
      <c r="O233" s="50"/>
      <c r="P233" s="49"/>
      <c r="Q233" s="49"/>
      <c r="R233" s="49"/>
      <c r="S233" s="38"/>
      <c r="T233" s="49"/>
      <c r="U233" s="49"/>
      <c r="V233" s="49"/>
      <c r="W233" s="34"/>
      <c r="X233" s="51"/>
      <c r="Y233" s="51"/>
      <c r="Z233" s="51"/>
      <c r="AA233" s="51"/>
      <c r="AB233" s="51"/>
      <c r="AC233" s="51"/>
    </row>
    <row r="234" ht="15.75" customHeight="1">
      <c r="A234" s="49"/>
      <c r="B234" s="34"/>
      <c r="C234" s="34"/>
      <c r="D234" s="54"/>
      <c r="E234" s="54"/>
      <c r="F234" s="54"/>
      <c r="G234" s="49"/>
      <c r="H234" s="54"/>
      <c r="I234" s="54"/>
      <c r="J234" s="34"/>
      <c r="K234" s="49"/>
      <c r="L234" s="49"/>
      <c r="M234" s="49"/>
      <c r="N234" s="49"/>
      <c r="O234" s="50"/>
      <c r="P234" s="49"/>
      <c r="Q234" s="49"/>
      <c r="R234" s="49"/>
      <c r="S234" s="38"/>
      <c r="T234" s="49"/>
      <c r="U234" s="49"/>
      <c r="V234" s="49"/>
      <c r="W234" s="34"/>
      <c r="X234" s="51"/>
      <c r="Y234" s="51"/>
      <c r="Z234" s="51"/>
      <c r="AA234" s="51"/>
      <c r="AB234" s="51"/>
      <c r="AC234" s="51"/>
    </row>
    <row r="235" ht="15.75" customHeight="1">
      <c r="A235" s="49"/>
      <c r="B235" s="34"/>
      <c r="C235" s="34"/>
      <c r="D235" s="54"/>
      <c r="E235" s="54"/>
      <c r="F235" s="54"/>
      <c r="G235" s="49"/>
      <c r="H235" s="54"/>
      <c r="I235" s="54"/>
      <c r="J235" s="34"/>
      <c r="K235" s="49"/>
      <c r="L235" s="49"/>
      <c r="M235" s="49"/>
      <c r="N235" s="49"/>
      <c r="O235" s="50"/>
      <c r="P235" s="49"/>
      <c r="Q235" s="49"/>
      <c r="R235" s="49"/>
      <c r="S235" s="38"/>
      <c r="T235" s="49"/>
      <c r="U235" s="49"/>
      <c r="V235" s="49"/>
      <c r="W235" s="34"/>
      <c r="X235" s="51"/>
      <c r="Y235" s="51"/>
      <c r="Z235" s="51"/>
      <c r="AA235" s="51"/>
      <c r="AB235" s="51"/>
      <c r="AC235" s="51"/>
    </row>
    <row r="236" ht="15.75" customHeight="1">
      <c r="A236" s="49"/>
      <c r="B236" s="34"/>
      <c r="C236" s="34"/>
      <c r="D236" s="54"/>
      <c r="E236" s="54"/>
      <c r="F236" s="54"/>
      <c r="G236" s="49"/>
      <c r="H236" s="54"/>
      <c r="I236" s="54"/>
      <c r="J236" s="34"/>
      <c r="K236" s="49"/>
      <c r="L236" s="49"/>
      <c r="M236" s="49"/>
      <c r="N236" s="49"/>
      <c r="O236" s="50"/>
      <c r="P236" s="49"/>
      <c r="Q236" s="49"/>
      <c r="R236" s="49"/>
      <c r="S236" s="38"/>
      <c r="T236" s="49"/>
      <c r="U236" s="49"/>
      <c r="V236" s="49"/>
      <c r="W236" s="34"/>
      <c r="X236" s="51"/>
      <c r="Y236" s="51"/>
      <c r="Z236" s="51"/>
      <c r="AA236" s="51"/>
      <c r="AB236" s="51"/>
      <c r="AC236" s="51"/>
    </row>
    <row r="237" ht="15.75" customHeight="1">
      <c r="A237" s="49"/>
      <c r="B237" s="34"/>
      <c r="C237" s="34"/>
      <c r="D237" s="54"/>
      <c r="E237" s="54"/>
      <c r="F237" s="54"/>
      <c r="G237" s="49"/>
      <c r="H237" s="54"/>
      <c r="I237" s="54"/>
      <c r="J237" s="34"/>
      <c r="K237" s="49"/>
      <c r="L237" s="49"/>
      <c r="M237" s="49"/>
      <c r="N237" s="49"/>
      <c r="O237" s="50"/>
      <c r="P237" s="49"/>
      <c r="Q237" s="49"/>
      <c r="R237" s="49"/>
      <c r="S237" s="38"/>
      <c r="T237" s="49"/>
      <c r="U237" s="49"/>
      <c r="V237" s="49"/>
      <c r="W237" s="34"/>
      <c r="X237" s="51"/>
      <c r="Y237" s="51"/>
      <c r="Z237" s="51"/>
      <c r="AA237" s="51"/>
      <c r="AB237" s="51"/>
      <c r="AC237" s="51"/>
    </row>
    <row r="238" ht="15.75" customHeight="1">
      <c r="A238" s="49"/>
      <c r="B238" s="34"/>
      <c r="C238" s="34"/>
      <c r="D238" s="54"/>
      <c r="E238" s="54"/>
      <c r="F238" s="54"/>
      <c r="G238" s="49"/>
      <c r="H238" s="54"/>
      <c r="I238" s="54"/>
      <c r="J238" s="34"/>
      <c r="K238" s="49"/>
      <c r="L238" s="49"/>
      <c r="M238" s="49"/>
      <c r="N238" s="49"/>
      <c r="O238" s="50"/>
      <c r="P238" s="49"/>
      <c r="Q238" s="49"/>
      <c r="R238" s="49"/>
      <c r="S238" s="38"/>
      <c r="T238" s="49"/>
      <c r="U238" s="49"/>
      <c r="V238" s="49"/>
      <c r="W238" s="34"/>
      <c r="X238" s="51"/>
      <c r="Y238" s="51"/>
      <c r="Z238" s="51"/>
      <c r="AA238" s="51"/>
      <c r="AB238" s="51"/>
      <c r="AC238" s="51"/>
    </row>
    <row r="239" ht="15.75" customHeight="1">
      <c r="A239" s="49"/>
      <c r="B239" s="34"/>
      <c r="C239" s="34"/>
      <c r="D239" s="54"/>
      <c r="E239" s="54"/>
      <c r="F239" s="54"/>
      <c r="G239" s="49"/>
      <c r="H239" s="54"/>
      <c r="I239" s="54"/>
      <c r="J239" s="34"/>
      <c r="K239" s="49"/>
      <c r="L239" s="49"/>
      <c r="M239" s="49"/>
      <c r="N239" s="49"/>
      <c r="O239" s="50"/>
      <c r="P239" s="49"/>
      <c r="Q239" s="49"/>
      <c r="R239" s="49"/>
      <c r="S239" s="38"/>
      <c r="T239" s="49"/>
      <c r="U239" s="49"/>
      <c r="V239" s="49"/>
      <c r="W239" s="34"/>
      <c r="X239" s="51"/>
      <c r="Y239" s="51"/>
      <c r="Z239" s="51"/>
      <c r="AA239" s="51"/>
      <c r="AB239" s="51"/>
      <c r="AC239" s="51"/>
    </row>
    <row r="240" ht="15.75" customHeight="1">
      <c r="A240" s="49"/>
      <c r="B240" s="34"/>
      <c r="C240" s="34"/>
      <c r="D240" s="54"/>
      <c r="E240" s="54"/>
      <c r="F240" s="54"/>
      <c r="G240" s="49"/>
      <c r="H240" s="54"/>
      <c r="I240" s="54"/>
      <c r="J240" s="34"/>
      <c r="K240" s="49"/>
      <c r="L240" s="49"/>
      <c r="M240" s="49"/>
      <c r="N240" s="49"/>
      <c r="O240" s="50"/>
      <c r="P240" s="49"/>
      <c r="Q240" s="49"/>
      <c r="R240" s="49"/>
      <c r="S240" s="38"/>
      <c r="T240" s="49"/>
      <c r="U240" s="49"/>
      <c r="V240" s="49"/>
      <c r="W240" s="34"/>
      <c r="X240" s="51"/>
      <c r="Y240" s="51"/>
      <c r="Z240" s="51"/>
      <c r="AA240" s="51"/>
      <c r="AB240" s="51"/>
      <c r="AC240" s="51"/>
    </row>
    <row r="241" ht="15.75" customHeight="1">
      <c r="A241" s="49"/>
      <c r="B241" s="34"/>
      <c r="C241" s="34"/>
      <c r="D241" s="54"/>
      <c r="E241" s="54"/>
      <c r="F241" s="54"/>
      <c r="G241" s="49"/>
      <c r="H241" s="54"/>
      <c r="I241" s="54"/>
      <c r="J241" s="34"/>
      <c r="K241" s="49"/>
      <c r="L241" s="49"/>
      <c r="M241" s="49"/>
      <c r="N241" s="49"/>
      <c r="O241" s="50"/>
      <c r="P241" s="49"/>
      <c r="Q241" s="49"/>
      <c r="R241" s="49"/>
      <c r="S241" s="38"/>
      <c r="T241" s="49"/>
      <c r="U241" s="49"/>
      <c r="V241" s="49"/>
      <c r="W241" s="34"/>
      <c r="X241" s="51"/>
      <c r="Y241" s="51"/>
      <c r="Z241" s="51"/>
      <c r="AA241" s="51"/>
      <c r="AB241" s="51"/>
      <c r="AC241" s="51"/>
    </row>
    <row r="242" ht="15.75" customHeight="1">
      <c r="A242" s="49"/>
      <c r="B242" s="34"/>
      <c r="C242" s="34"/>
      <c r="D242" s="54"/>
      <c r="E242" s="54"/>
      <c r="F242" s="54"/>
      <c r="G242" s="49"/>
      <c r="H242" s="54"/>
      <c r="I242" s="54"/>
      <c r="J242" s="34"/>
      <c r="K242" s="49"/>
      <c r="L242" s="49"/>
      <c r="M242" s="49"/>
      <c r="N242" s="49"/>
      <c r="O242" s="50"/>
      <c r="P242" s="49"/>
      <c r="Q242" s="49"/>
      <c r="R242" s="49"/>
      <c r="S242" s="38"/>
      <c r="T242" s="49"/>
      <c r="U242" s="49"/>
      <c r="V242" s="49"/>
      <c r="W242" s="34"/>
      <c r="X242" s="51"/>
      <c r="Y242" s="51"/>
      <c r="Z242" s="51"/>
      <c r="AA242" s="51"/>
      <c r="AB242" s="51"/>
      <c r="AC242" s="51"/>
    </row>
    <row r="243" ht="15.75" customHeight="1">
      <c r="A243" s="49"/>
      <c r="B243" s="34"/>
      <c r="C243" s="34"/>
      <c r="D243" s="54"/>
      <c r="E243" s="54"/>
      <c r="F243" s="54"/>
      <c r="G243" s="49"/>
      <c r="H243" s="54"/>
      <c r="I243" s="54"/>
      <c r="J243" s="34"/>
      <c r="K243" s="49"/>
      <c r="L243" s="49"/>
      <c r="M243" s="49"/>
      <c r="N243" s="49"/>
      <c r="O243" s="50"/>
      <c r="P243" s="49"/>
      <c r="Q243" s="49"/>
      <c r="R243" s="49"/>
      <c r="S243" s="38"/>
      <c r="T243" s="49"/>
      <c r="U243" s="49"/>
      <c r="V243" s="49"/>
      <c r="W243" s="34"/>
      <c r="X243" s="51"/>
      <c r="Y243" s="51"/>
      <c r="Z243" s="51"/>
      <c r="AA243" s="51"/>
      <c r="AB243" s="51"/>
      <c r="AC243" s="51"/>
    </row>
    <row r="244" ht="15.75" customHeight="1">
      <c r="A244" s="49"/>
      <c r="B244" s="34"/>
      <c r="C244" s="34"/>
      <c r="D244" s="54"/>
      <c r="E244" s="54"/>
      <c r="F244" s="54"/>
      <c r="G244" s="49"/>
      <c r="H244" s="54"/>
      <c r="I244" s="54"/>
      <c r="J244" s="34"/>
      <c r="K244" s="49"/>
      <c r="L244" s="49"/>
      <c r="M244" s="49"/>
      <c r="N244" s="49"/>
      <c r="O244" s="50"/>
      <c r="P244" s="49"/>
      <c r="Q244" s="49"/>
      <c r="R244" s="49"/>
      <c r="S244" s="38"/>
      <c r="T244" s="49"/>
      <c r="U244" s="49"/>
      <c r="V244" s="49"/>
      <c r="W244" s="34"/>
      <c r="X244" s="51"/>
      <c r="Y244" s="51"/>
      <c r="Z244" s="51"/>
      <c r="AA244" s="51"/>
      <c r="AB244" s="51"/>
      <c r="AC244" s="51"/>
    </row>
    <row r="245" ht="15.75" customHeight="1">
      <c r="A245" s="49"/>
      <c r="B245" s="34"/>
      <c r="C245" s="34"/>
      <c r="D245" s="54"/>
      <c r="E245" s="54"/>
      <c r="F245" s="54"/>
      <c r="G245" s="49"/>
      <c r="H245" s="54"/>
      <c r="I245" s="54"/>
      <c r="J245" s="34"/>
      <c r="K245" s="49"/>
      <c r="L245" s="49"/>
      <c r="M245" s="49"/>
      <c r="N245" s="49"/>
      <c r="O245" s="50"/>
      <c r="P245" s="49"/>
      <c r="Q245" s="49"/>
      <c r="R245" s="49"/>
      <c r="S245" s="38"/>
      <c r="T245" s="49"/>
      <c r="U245" s="49"/>
      <c r="V245" s="49"/>
      <c r="W245" s="34"/>
      <c r="X245" s="51"/>
      <c r="Y245" s="51"/>
      <c r="Z245" s="51"/>
      <c r="AA245" s="51"/>
      <c r="AB245" s="51"/>
      <c r="AC245" s="51"/>
    </row>
    <row r="246" ht="15.75" customHeight="1">
      <c r="A246" s="49"/>
      <c r="B246" s="34"/>
      <c r="C246" s="34"/>
      <c r="D246" s="54"/>
      <c r="E246" s="54"/>
      <c r="F246" s="54"/>
      <c r="G246" s="49"/>
      <c r="H246" s="54"/>
      <c r="I246" s="54"/>
      <c r="J246" s="34"/>
      <c r="K246" s="49"/>
      <c r="L246" s="49"/>
      <c r="M246" s="49"/>
      <c r="N246" s="49"/>
      <c r="O246" s="50"/>
      <c r="P246" s="49"/>
      <c r="Q246" s="49"/>
      <c r="R246" s="49"/>
      <c r="S246" s="34"/>
      <c r="T246" s="49"/>
      <c r="U246" s="49"/>
      <c r="V246" s="49"/>
      <c r="W246" s="34"/>
      <c r="X246" s="51"/>
      <c r="Y246" s="51"/>
      <c r="Z246" s="51"/>
      <c r="AA246" s="51"/>
      <c r="AB246" s="51"/>
      <c r="AC246" s="51"/>
    </row>
    <row r="247" ht="15.75" customHeight="1">
      <c r="A247" s="49"/>
      <c r="B247" s="34"/>
      <c r="C247" s="34"/>
      <c r="D247" s="54"/>
      <c r="E247" s="54"/>
      <c r="F247" s="54"/>
      <c r="G247" s="49"/>
      <c r="H247" s="54"/>
      <c r="I247" s="54"/>
      <c r="J247" s="34"/>
      <c r="K247" s="49"/>
      <c r="L247" s="49"/>
      <c r="M247" s="49"/>
      <c r="N247" s="49"/>
      <c r="O247" s="50"/>
      <c r="P247" s="49"/>
      <c r="Q247" s="49"/>
      <c r="R247" s="49"/>
      <c r="S247" s="34"/>
      <c r="T247" s="49"/>
      <c r="U247" s="49"/>
      <c r="V247" s="49"/>
      <c r="W247" s="34"/>
      <c r="X247" s="51"/>
      <c r="Y247" s="51"/>
      <c r="Z247" s="51"/>
      <c r="AA247" s="51"/>
      <c r="AB247" s="51"/>
      <c r="AC247" s="51"/>
    </row>
    <row r="248" ht="15.75" customHeight="1">
      <c r="A248" s="49"/>
      <c r="B248" s="34"/>
      <c r="C248" s="34"/>
      <c r="D248" s="54"/>
      <c r="E248" s="54"/>
      <c r="F248" s="54"/>
      <c r="G248" s="49"/>
      <c r="H248" s="54"/>
      <c r="I248" s="54"/>
      <c r="J248" s="34"/>
      <c r="K248" s="49"/>
      <c r="L248" s="49"/>
      <c r="M248" s="49"/>
      <c r="N248" s="49"/>
      <c r="O248" s="50"/>
      <c r="P248" s="49"/>
      <c r="Q248" s="49"/>
      <c r="R248" s="49"/>
      <c r="S248" s="34"/>
      <c r="T248" s="49"/>
      <c r="U248" s="49"/>
      <c r="V248" s="49"/>
      <c r="W248" s="34"/>
      <c r="X248" s="51"/>
      <c r="Y248" s="51"/>
      <c r="Z248" s="51"/>
      <c r="AA248" s="51"/>
      <c r="AB248" s="51"/>
      <c r="AC248" s="51"/>
    </row>
    <row r="249" ht="15.75" customHeight="1">
      <c r="A249" s="56"/>
      <c r="B249" s="57"/>
      <c r="C249" s="58"/>
      <c r="D249" s="56"/>
      <c r="E249" s="56"/>
      <c r="F249" s="56"/>
      <c r="G249" s="56"/>
      <c r="H249" s="56"/>
      <c r="I249" s="56"/>
      <c r="J249" s="56"/>
      <c r="K249" s="56"/>
      <c r="L249" s="56"/>
      <c r="M249" s="56"/>
      <c r="N249" s="56"/>
      <c r="O249" s="59"/>
      <c r="P249" s="56"/>
      <c r="Q249" s="56"/>
      <c r="R249" s="56"/>
      <c r="S249" s="57"/>
      <c r="T249" s="56"/>
      <c r="U249" s="56"/>
      <c r="V249" s="56"/>
      <c r="W249" s="57"/>
      <c r="X249" s="51"/>
      <c r="Y249" s="51"/>
      <c r="Z249" s="51"/>
      <c r="AA249" s="51"/>
      <c r="AB249" s="51"/>
      <c r="AC249" s="51"/>
    </row>
    <row r="250" ht="15.75" customHeight="1">
      <c r="A250" s="56"/>
      <c r="B250" s="57"/>
      <c r="C250" s="58"/>
      <c r="D250" s="56"/>
      <c r="E250" s="56"/>
      <c r="F250" s="56"/>
      <c r="G250" s="56"/>
      <c r="H250" s="56"/>
      <c r="I250" s="56"/>
      <c r="J250" s="56"/>
      <c r="K250" s="56"/>
      <c r="L250" s="56"/>
      <c r="M250" s="56"/>
      <c r="N250" s="56"/>
      <c r="O250" s="59"/>
      <c r="P250" s="56"/>
      <c r="Q250" s="56"/>
      <c r="R250" s="56"/>
      <c r="S250" s="57"/>
      <c r="T250" s="56"/>
      <c r="U250" s="56"/>
      <c r="V250" s="56"/>
      <c r="W250" s="57"/>
      <c r="X250" s="51"/>
      <c r="Y250" s="51"/>
      <c r="Z250" s="51"/>
      <c r="AA250" s="51"/>
      <c r="AB250" s="51"/>
      <c r="AC250" s="51"/>
    </row>
    <row r="251" ht="15.75" customHeight="1">
      <c r="A251" s="56"/>
      <c r="B251" s="57"/>
      <c r="C251" s="58"/>
      <c r="D251" s="56"/>
      <c r="E251" s="56"/>
      <c r="F251" s="56"/>
      <c r="G251" s="56"/>
      <c r="H251" s="56"/>
      <c r="I251" s="56"/>
      <c r="J251" s="56"/>
      <c r="K251" s="56"/>
      <c r="L251" s="56"/>
      <c r="M251" s="56"/>
      <c r="N251" s="56"/>
      <c r="O251" s="59"/>
      <c r="P251" s="56"/>
      <c r="Q251" s="56"/>
      <c r="R251" s="56"/>
      <c r="S251" s="57"/>
      <c r="T251" s="56"/>
      <c r="U251" s="56"/>
      <c r="V251" s="56"/>
      <c r="W251" s="57"/>
      <c r="X251" s="51"/>
      <c r="Y251" s="51"/>
      <c r="Z251" s="51"/>
      <c r="AA251" s="51"/>
      <c r="AB251" s="51"/>
      <c r="AC251" s="51"/>
    </row>
    <row r="252" ht="15.75" customHeight="1">
      <c r="A252" s="56"/>
      <c r="B252" s="57"/>
      <c r="C252" s="58"/>
      <c r="D252" s="56"/>
      <c r="E252" s="56"/>
      <c r="F252" s="56"/>
      <c r="G252" s="56"/>
      <c r="H252" s="56"/>
      <c r="I252" s="56"/>
      <c r="J252" s="56"/>
      <c r="K252" s="56"/>
      <c r="L252" s="56"/>
      <c r="M252" s="56"/>
      <c r="N252" s="56"/>
      <c r="O252" s="59"/>
      <c r="P252" s="56"/>
      <c r="Q252" s="56"/>
      <c r="R252" s="56"/>
      <c r="S252" s="57"/>
      <c r="T252" s="56"/>
      <c r="U252" s="56"/>
      <c r="V252" s="56"/>
      <c r="W252" s="57"/>
      <c r="X252" s="51"/>
      <c r="Y252" s="51"/>
      <c r="Z252" s="51"/>
      <c r="AA252" s="51"/>
      <c r="AB252" s="51"/>
      <c r="AC252" s="51"/>
    </row>
    <row r="253" ht="15.75" customHeight="1">
      <c r="A253" s="56"/>
      <c r="B253" s="57"/>
      <c r="C253" s="58"/>
      <c r="D253" s="56"/>
      <c r="E253" s="56"/>
      <c r="F253" s="56"/>
      <c r="G253" s="56"/>
      <c r="H253" s="56"/>
      <c r="I253" s="56"/>
      <c r="J253" s="56"/>
      <c r="K253" s="56"/>
      <c r="L253" s="56"/>
      <c r="M253" s="56"/>
      <c r="N253" s="56"/>
      <c r="O253" s="59"/>
      <c r="P253" s="56"/>
      <c r="Q253" s="56"/>
      <c r="R253" s="56"/>
      <c r="S253" s="57"/>
      <c r="T253" s="56"/>
      <c r="U253" s="56"/>
      <c r="V253" s="56"/>
      <c r="W253" s="57"/>
      <c r="X253" s="51"/>
      <c r="Y253" s="51"/>
      <c r="Z253" s="51"/>
      <c r="AA253" s="51"/>
      <c r="AB253" s="51"/>
      <c r="AC253" s="51"/>
    </row>
    <row r="254" ht="15.75" customHeight="1">
      <c r="A254" s="56"/>
      <c r="B254" s="57"/>
      <c r="C254" s="58"/>
      <c r="D254" s="56"/>
      <c r="E254" s="56"/>
      <c r="F254" s="56"/>
      <c r="G254" s="56"/>
      <c r="H254" s="56"/>
      <c r="I254" s="56"/>
      <c r="J254" s="56"/>
      <c r="K254" s="56"/>
      <c r="L254" s="56"/>
      <c r="M254" s="56"/>
      <c r="N254" s="56"/>
      <c r="O254" s="59"/>
      <c r="P254" s="56"/>
      <c r="Q254" s="56"/>
      <c r="R254" s="56"/>
      <c r="S254" s="57"/>
      <c r="T254" s="56"/>
      <c r="U254" s="56"/>
      <c r="V254" s="56"/>
      <c r="W254" s="57"/>
      <c r="X254" s="51"/>
      <c r="Y254" s="51"/>
      <c r="Z254" s="51"/>
      <c r="AA254" s="51"/>
      <c r="AB254" s="51"/>
      <c r="AC254" s="51"/>
    </row>
    <row r="255" ht="15.75" customHeight="1">
      <c r="A255" s="56"/>
      <c r="B255" s="57"/>
      <c r="C255" s="58"/>
      <c r="D255" s="56"/>
      <c r="E255" s="56"/>
      <c r="F255" s="56"/>
      <c r="G255" s="56"/>
      <c r="H255" s="56"/>
      <c r="I255" s="56"/>
      <c r="J255" s="56"/>
      <c r="K255" s="56"/>
      <c r="L255" s="56"/>
      <c r="M255" s="56"/>
      <c r="N255" s="56"/>
      <c r="O255" s="59"/>
      <c r="P255" s="56"/>
      <c r="Q255" s="56"/>
      <c r="R255" s="56"/>
      <c r="S255" s="57"/>
      <c r="T255" s="56"/>
      <c r="U255" s="56"/>
      <c r="V255" s="56"/>
      <c r="W255" s="57"/>
      <c r="X255" s="51"/>
      <c r="Y255" s="51"/>
      <c r="Z255" s="51"/>
      <c r="AA255" s="51"/>
      <c r="AB255" s="51"/>
      <c r="AC255" s="51"/>
    </row>
    <row r="256" ht="15.75" customHeight="1">
      <c r="A256" s="56"/>
      <c r="B256" s="57"/>
      <c r="C256" s="58"/>
      <c r="D256" s="56"/>
      <c r="E256" s="56"/>
      <c r="F256" s="56"/>
      <c r="G256" s="56"/>
      <c r="H256" s="56"/>
      <c r="I256" s="56"/>
      <c r="J256" s="56"/>
      <c r="K256" s="56"/>
      <c r="L256" s="56"/>
      <c r="M256" s="56"/>
      <c r="N256" s="56"/>
      <c r="O256" s="59"/>
      <c r="P256" s="56"/>
      <c r="Q256" s="56"/>
      <c r="R256" s="56"/>
      <c r="S256" s="57"/>
      <c r="T256" s="56"/>
      <c r="U256" s="56"/>
      <c r="V256" s="56"/>
      <c r="W256" s="57"/>
      <c r="X256" s="51"/>
      <c r="Y256" s="51"/>
      <c r="Z256" s="51"/>
      <c r="AA256" s="51"/>
      <c r="AB256" s="51"/>
      <c r="AC256" s="51"/>
    </row>
    <row r="257" ht="15.75" customHeight="1">
      <c r="A257" s="56"/>
      <c r="B257" s="57"/>
      <c r="C257" s="58"/>
      <c r="D257" s="56"/>
      <c r="E257" s="56"/>
      <c r="F257" s="56"/>
      <c r="G257" s="56"/>
      <c r="H257" s="56"/>
      <c r="I257" s="56"/>
      <c r="J257" s="56"/>
      <c r="K257" s="56"/>
      <c r="L257" s="56"/>
      <c r="M257" s="56"/>
      <c r="N257" s="56"/>
      <c r="O257" s="59"/>
      <c r="P257" s="56"/>
      <c r="Q257" s="56"/>
      <c r="R257" s="56"/>
      <c r="S257" s="57"/>
      <c r="T257" s="56"/>
      <c r="U257" s="56"/>
      <c r="V257" s="56"/>
      <c r="W257" s="57"/>
      <c r="X257" s="51"/>
      <c r="Y257" s="51"/>
      <c r="Z257" s="51"/>
      <c r="AA257" s="51"/>
      <c r="AB257" s="51"/>
      <c r="AC257" s="51"/>
    </row>
    <row r="258" ht="15.75" customHeight="1">
      <c r="A258" s="56"/>
      <c r="B258" s="57"/>
      <c r="C258" s="58"/>
      <c r="D258" s="56"/>
      <c r="E258" s="56"/>
      <c r="F258" s="56"/>
      <c r="G258" s="56"/>
      <c r="H258" s="56"/>
      <c r="I258" s="56"/>
      <c r="J258" s="56"/>
      <c r="K258" s="56"/>
      <c r="L258" s="56"/>
      <c r="M258" s="56"/>
      <c r="N258" s="56"/>
      <c r="O258" s="59"/>
      <c r="P258" s="56"/>
      <c r="Q258" s="56"/>
      <c r="R258" s="56"/>
      <c r="S258" s="57"/>
      <c r="T258" s="56"/>
      <c r="U258" s="56"/>
      <c r="V258" s="56"/>
      <c r="W258" s="57"/>
      <c r="X258" s="51"/>
      <c r="Y258" s="51"/>
      <c r="Z258" s="51"/>
      <c r="AA258" s="51"/>
      <c r="AB258" s="51"/>
      <c r="AC258" s="51"/>
    </row>
    <row r="259" ht="15.75" customHeight="1">
      <c r="A259" s="56"/>
      <c r="B259" s="57"/>
      <c r="C259" s="58"/>
      <c r="D259" s="56"/>
      <c r="E259" s="56"/>
      <c r="F259" s="56"/>
      <c r="G259" s="56"/>
      <c r="H259" s="56"/>
      <c r="I259" s="56"/>
      <c r="J259" s="56"/>
      <c r="K259" s="56"/>
      <c r="L259" s="56"/>
      <c r="M259" s="56"/>
      <c r="N259" s="56"/>
      <c r="O259" s="59"/>
      <c r="P259" s="56"/>
      <c r="Q259" s="56"/>
      <c r="R259" s="56"/>
      <c r="S259" s="57"/>
      <c r="T259" s="56"/>
      <c r="U259" s="56"/>
      <c r="V259" s="56"/>
      <c r="W259" s="57"/>
      <c r="X259" s="51"/>
      <c r="Y259" s="51"/>
      <c r="Z259" s="51"/>
      <c r="AA259" s="51"/>
      <c r="AB259" s="51"/>
      <c r="AC259" s="51"/>
    </row>
    <row r="260" ht="15.75" customHeight="1">
      <c r="A260" s="56"/>
      <c r="B260" s="57"/>
      <c r="C260" s="58"/>
      <c r="D260" s="56"/>
      <c r="E260" s="56"/>
      <c r="F260" s="56"/>
      <c r="G260" s="56"/>
      <c r="H260" s="56"/>
      <c r="I260" s="56"/>
      <c r="J260" s="56"/>
      <c r="K260" s="56"/>
      <c r="L260" s="56"/>
      <c r="M260" s="56"/>
      <c r="N260" s="56"/>
      <c r="O260" s="59"/>
      <c r="P260" s="56"/>
      <c r="Q260" s="56"/>
      <c r="R260" s="56"/>
      <c r="S260" s="57"/>
      <c r="T260" s="56"/>
      <c r="U260" s="56"/>
      <c r="V260" s="56"/>
      <c r="W260" s="57"/>
      <c r="X260" s="51"/>
      <c r="Y260" s="51"/>
      <c r="Z260" s="51"/>
      <c r="AA260" s="51"/>
      <c r="AB260" s="51"/>
      <c r="AC260" s="51"/>
    </row>
    <row r="261" ht="15.75" customHeight="1">
      <c r="A261" s="56"/>
      <c r="B261" s="57"/>
      <c r="C261" s="58"/>
      <c r="D261" s="56"/>
      <c r="E261" s="56"/>
      <c r="F261" s="56"/>
      <c r="G261" s="56"/>
      <c r="H261" s="56"/>
      <c r="I261" s="56"/>
      <c r="J261" s="56"/>
      <c r="K261" s="56"/>
      <c r="L261" s="56"/>
      <c r="M261" s="56"/>
      <c r="N261" s="56"/>
      <c r="O261" s="59"/>
      <c r="P261" s="56"/>
      <c r="Q261" s="56"/>
      <c r="R261" s="56"/>
      <c r="S261" s="57"/>
      <c r="T261" s="56"/>
      <c r="U261" s="56"/>
      <c r="V261" s="56"/>
      <c r="W261" s="57"/>
      <c r="X261" s="51"/>
      <c r="Y261" s="51"/>
      <c r="Z261" s="51"/>
      <c r="AA261" s="51"/>
      <c r="AB261" s="51"/>
      <c r="AC261" s="51"/>
    </row>
    <row r="262" ht="15.75" customHeight="1">
      <c r="A262" s="56"/>
      <c r="B262" s="57"/>
      <c r="C262" s="58"/>
      <c r="D262" s="56"/>
      <c r="E262" s="56"/>
      <c r="F262" s="56"/>
      <c r="G262" s="56"/>
      <c r="H262" s="56"/>
      <c r="I262" s="56"/>
      <c r="J262" s="56"/>
      <c r="K262" s="56"/>
      <c r="L262" s="56"/>
      <c r="M262" s="56"/>
      <c r="N262" s="56"/>
      <c r="O262" s="59"/>
      <c r="P262" s="56"/>
      <c r="Q262" s="56"/>
      <c r="R262" s="56"/>
      <c r="S262" s="57"/>
      <c r="T262" s="56"/>
      <c r="U262" s="56"/>
      <c r="V262" s="56"/>
      <c r="W262" s="57"/>
      <c r="X262" s="51"/>
      <c r="Y262" s="51"/>
      <c r="Z262" s="51"/>
      <c r="AA262" s="51"/>
      <c r="AB262" s="51"/>
      <c r="AC262" s="51"/>
    </row>
    <row r="263" ht="15.75" customHeight="1">
      <c r="A263" s="56"/>
      <c r="B263" s="57"/>
      <c r="C263" s="58"/>
      <c r="D263" s="56"/>
      <c r="E263" s="56"/>
      <c r="F263" s="56"/>
      <c r="G263" s="56"/>
      <c r="H263" s="56"/>
      <c r="I263" s="56"/>
      <c r="J263" s="56"/>
      <c r="K263" s="56"/>
      <c r="L263" s="56"/>
      <c r="M263" s="56"/>
      <c r="N263" s="56"/>
      <c r="O263" s="59"/>
      <c r="P263" s="56"/>
      <c r="Q263" s="56"/>
      <c r="R263" s="56"/>
      <c r="S263" s="57"/>
      <c r="T263" s="56"/>
      <c r="U263" s="56"/>
      <c r="V263" s="56"/>
      <c r="W263" s="57"/>
      <c r="X263" s="51"/>
      <c r="Y263" s="51"/>
      <c r="Z263" s="51"/>
      <c r="AA263" s="51"/>
      <c r="AB263" s="51"/>
      <c r="AC263" s="51"/>
    </row>
    <row r="264" ht="15.75" customHeight="1">
      <c r="A264" s="56"/>
      <c r="B264" s="57"/>
      <c r="C264" s="58"/>
      <c r="D264" s="56"/>
      <c r="E264" s="56"/>
      <c r="F264" s="56"/>
      <c r="G264" s="56"/>
      <c r="H264" s="56"/>
      <c r="I264" s="56"/>
      <c r="J264" s="56"/>
      <c r="K264" s="56"/>
      <c r="L264" s="56"/>
      <c r="M264" s="56"/>
      <c r="N264" s="56"/>
      <c r="O264" s="59"/>
      <c r="P264" s="56"/>
      <c r="Q264" s="56"/>
      <c r="R264" s="56"/>
      <c r="S264" s="57"/>
      <c r="T264" s="56"/>
      <c r="U264" s="56"/>
      <c r="V264" s="56"/>
      <c r="W264" s="57"/>
      <c r="X264" s="51"/>
      <c r="Y264" s="51"/>
      <c r="Z264" s="51"/>
      <c r="AA264" s="51"/>
      <c r="AB264" s="51"/>
      <c r="AC264" s="51"/>
    </row>
    <row r="265" ht="15.75" customHeight="1">
      <c r="A265" s="56"/>
      <c r="B265" s="57"/>
      <c r="C265" s="58"/>
      <c r="D265" s="56"/>
      <c r="E265" s="56"/>
      <c r="F265" s="56"/>
      <c r="G265" s="56"/>
      <c r="H265" s="56"/>
      <c r="I265" s="56"/>
      <c r="J265" s="56"/>
      <c r="K265" s="56"/>
      <c r="L265" s="56"/>
      <c r="M265" s="56"/>
      <c r="N265" s="56"/>
      <c r="O265" s="59"/>
      <c r="P265" s="56"/>
      <c r="Q265" s="56"/>
      <c r="R265" s="56"/>
      <c r="S265" s="57"/>
      <c r="T265" s="56"/>
      <c r="U265" s="56"/>
      <c r="V265" s="56"/>
      <c r="W265" s="57"/>
      <c r="X265" s="51"/>
      <c r="Y265" s="51"/>
      <c r="Z265" s="51"/>
      <c r="AA265" s="51"/>
      <c r="AB265" s="51"/>
      <c r="AC265" s="51"/>
    </row>
    <row r="266" ht="15.75" customHeight="1">
      <c r="A266" s="56"/>
      <c r="B266" s="57"/>
      <c r="C266" s="58"/>
      <c r="D266" s="56"/>
      <c r="E266" s="56"/>
      <c r="F266" s="56"/>
      <c r="G266" s="56"/>
      <c r="H266" s="56"/>
      <c r="I266" s="56"/>
      <c r="J266" s="56"/>
      <c r="K266" s="56"/>
      <c r="L266" s="56"/>
      <c r="M266" s="56"/>
      <c r="N266" s="56"/>
      <c r="O266" s="59"/>
      <c r="P266" s="56"/>
      <c r="Q266" s="56"/>
      <c r="R266" s="56"/>
      <c r="S266" s="57"/>
      <c r="T266" s="56"/>
      <c r="U266" s="56"/>
      <c r="V266" s="56"/>
      <c r="W266" s="57"/>
      <c r="X266" s="51"/>
      <c r="Y266" s="51"/>
      <c r="Z266" s="51"/>
      <c r="AA266" s="51"/>
      <c r="AB266" s="51"/>
      <c r="AC266" s="51"/>
    </row>
    <row r="267" ht="15.75" customHeight="1">
      <c r="A267" s="56"/>
      <c r="B267" s="57"/>
      <c r="C267" s="58"/>
      <c r="D267" s="56"/>
      <c r="E267" s="56"/>
      <c r="F267" s="56"/>
      <c r="G267" s="56"/>
      <c r="H267" s="56"/>
      <c r="I267" s="56"/>
      <c r="J267" s="56"/>
      <c r="K267" s="56"/>
      <c r="L267" s="56"/>
      <c r="M267" s="56"/>
      <c r="N267" s="56"/>
      <c r="O267" s="59"/>
      <c r="P267" s="56"/>
      <c r="Q267" s="56"/>
      <c r="R267" s="56"/>
      <c r="S267" s="57"/>
      <c r="T267" s="56"/>
      <c r="U267" s="56"/>
      <c r="V267" s="56"/>
      <c r="W267" s="57"/>
      <c r="X267" s="51"/>
      <c r="Y267" s="51"/>
      <c r="Z267" s="51"/>
      <c r="AA267" s="51"/>
      <c r="AB267" s="51"/>
      <c r="AC267" s="51"/>
    </row>
    <row r="268" ht="15.75" customHeight="1">
      <c r="A268" s="56"/>
      <c r="B268" s="57"/>
      <c r="C268" s="58"/>
      <c r="D268" s="56"/>
      <c r="E268" s="56"/>
      <c r="F268" s="56"/>
      <c r="G268" s="56"/>
      <c r="H268" s="56"/>
      <c r="I268" s="56"/>
      <c r="J268" s="56"/>
      <c r="K268" s="56"/>
      <c r="L268" s="56"/>
      <c r="M268" s="56"/>
      <c r="N268" s="56"/>
      <c r="O268" s="59"/>
      <c r="P268" s="56"/>
      <c r="Q268" s="56"/>
      <c r="R268" s="56"/>
      <c r="S268" s="57"/>
      <c r="T268" s="56"/>
      <c r="U268" s="56"/>
      <c r="V268" s="56"/>
      <c r="W268" s="57"/>
      <c r="X268" s="51"/>
      <c r="Y268" s="51"/>
      <c r="Z268" s="51"/>
      <c r="AA268" s="51"/>
      <c r="AB268" s="51"/>
      <c r="AC268" s="51"/>
    </row>
    <row r="269" ht="15.75" customHeight="1">
      <c r="A269" s="56"/>
      <c r="B269" s="57"/>
      <c r="C269" s="58"/>
      <c r="D269" s="56"/>
      <c r="E269" s="56"/>
      <c r="F269" s="56"/>
      <c r="G269" s="56"/>
      <c r="H269" s="56"/>
      <c r="I269" s="56"/>
      <c r="J269" s="56"/>
      <c r="K269" s="56"/>
      <c r="L269" s="56"/>
      <c r="M269" s="56"/>
      <c r="N269" s="56"/>
      <c r="O269" s="59"/>
      <c r="P269" s="56"/>
      <c r="Q269" s="56"/>
      <c r="R269" s="56"/>
      <c r="S269" s="57"/>
      <c r="T269" s="56"/>
      <c r="U269" s="56"/>
      <c r="V269" s="56"/>
      <c r="W269" s="57"/>
      <c r="X269" s="51"/>
      <c r="Y269" s="51"/>
      <c r="Z269" s="51"/>
      <c r="AA269" s="51"/>
      <c r="AB269" s="51"/>
      <c r="AC269" s="51"/>
    </row>
    <row r="270" ht="15.75" customHeight="1">
      <c r="A270" s="56"/>
      <c r="B270" s="57"/>
      <c r="C270" s="58"/>
      <c r="D270" s="56"/>
      <c r="E270" s="56"/>
      <c r="F270" s="56"/>
      <c r="G270" s="56"/>
      <c r="H270" s="56"/>
      <c r="I270" s="56"/>
      <c r="J270" s="56"/>
      <c r="K270" s="56"/>
      <c r="L270" s="56"/>
      <c r="M270" s="56"/>
      <c r="N270" s="56"/>
      <c r="O270" s="59"/>
      <c r="P270" s="56"/>
      <c r="Q270" s="56"/>
      <c r="R270" s="56"/>
      <c r="S270" s="57"/>
      <c r="T270" s="56"/>
      <c r="U270" s="56"/>
      <c r="V270" s="56"/>
      <c r="W270" s="57"/>
      <c r="X270" s="51"/>
      <c r="Y270" s="51"/>
      <c r="Z270" s="51"/>
      <c r="AA270" s="51"/>
      <c r="AB270" s="51"/>
      <c r="AC270" s="51"/>
    </row>
    <row r="271" ht="15.75" customHeight="1">
      <c r="A271" s="56"/>
      <c r="B271" s="57"/>
      <c r="C271" s="58"/>
      <c r="D271" s="56"/>
      <c r="E271" s="56"/>
      <c r="F271" s="56"/>
      <c r="G271" s="56"/>
      <c r="H271" s="56"/>
      <c r="I271" s="56"/>
      <c r="J271" s="56"/>
      <c r="K271" s="56"/>
      <c r="L271" s="56"/>
      <c r="M271" s="56"/>
      <c r="N271" s="56"/>
      <c r="O271" s="59"/>
      <c r="P271" s="56"/>
      <c r="Q271" s="56"/>
      <c r="R271" s="56"/>
      <c r="S271" s="57"/>
      <c r="T271" s="56"/>
      <c r="U271" s="56"/>
      <c r="V271" s="56"/>
      <c r="W271" s="57"/>
      <c r="X271" s="51"/>
      <c r="Y271" s="51"/>
      <c r="Z271" s="51"/>
      <c r="AA271" s="51"/>
      <c r="AB271" s="51"/>
      <c r="AC271" s="51"/>
    </row>
    <row r="272" ht="15.75" customHeight="1">
      <c r="A272" s="56"/>
      <c r="B272" s="57"/>
      <c r="C272" s="58"/>
      <c r="D272" s="56"/>
      <c r="E272" s="56"/>
      <c r="F272" s="56"/>
      <c r="G272" s="56"/>
      <c r="H272" s="56"/>
      <c r="I272" s="56"/>
      <c r="J272" s="56"/>
      <c r="K272" s="56"/>
      <c r="L272" s="56"/>
      <c r="M272" s="56"/>
      <c r="N272" s="56"/>
      <c r="O272" s="59"/>
      <c r="P272" s="56"/>
      <c r="Q272" s="56"/>
      <c r="R272" s="56"/>
      <c r="S272" s="57"/>
      <c r="T272" s="56"/>
      <c r="U272" s="56"/>
      <c r="V272" s="56"/>
      <c r="W272" s="57"/>
      <c r="X272" s="51"/>
      <c r="Y272" s="51"/>
      <c r="Z272" s="51"/>
      <c r="AA272" s="51"/>
      <c r="AB272" s="51"/>
      <c r="AC272" s="51"/>
    </row>
    <row r="273" ht="15.75" customHeight="1">
      <c r="A273" s="56"/>
      <c r="B273" s="57"/>
      <c r="C273" s="58"/>
      <c r="D273" s="56"/>
      <c r="E273" s="56"/>
      <c r="F273" s="56"/>
      <c r="G273" s="56"/>
      <c r="H273" s="56"/>
      <c r="I273" s="56"/>
      <c r="J273" s="56"/>
      <c r="K273" s="56"/>
      <c r="L273" s="56"/>
      <c r="M273" s="56"/>
      <c r="N273" s="56"/>
      <c r="O273" s="59"/>
      <c r="P273" s="56"/>
      <c r="Q273" s="56"/>
      <c r="R273" s="56"/>
      <c r="S273" s="57"/>
      <c r="T273" s="56"/>
      <c r="U273" s="56"/>
      <c r="V273" s="56"/>
      <c r="W273" s="57"/>
      <c r="X273" s="51"/>
      <c r="Y273" s="51"/>
      <c r="Z273" s="51"/>
      <c r="AA273" s="51"/>
      <c r="AB273" s="51"/>
      <c r="AC273" s="51"/>
    </row>
    <row r="274" ht="15.75" customHeight="1">
      <c r="A274" s="56"/>
      <c r="B274" s="57"/>
      <c r="C274" s="58"/>
      <c r="D274" s="56"/>
      <c r="E274" s="56"/>
      <c r="F274" s="56"/>
      <c r="G274" s="56"/>
      <c r="H274" s="56"/>
      <c r="I274" s="56"/>
      <c r="J274" s="56"/>
      <c r="K274" s="56"/>
      <c r="L274" s="56"/>
      <c r="M274" s="56"/>
      <c r="N274" s="56"/>
      <c r="O274" s="59"/>
      <c r="P274" s="56"/>
      <c r="Q274" s="56"/>
      <c r="R274" s="56"/>
      <c r="S274" s="57"/>
      <c r="T274" s="56"/>
      <c r="U274" s="56"/>
      <c r="V274" s="56"/>
      <c r="W274" s="57"/>
      <c r="X274" s="51"/>
      <c r="Y274" s="51"/>
      <c r="Z274" s="51"/>
      <c r="AA274" s="51"/>
      <c r="AB274" s="51"/>
      <c r="AC274" s="51"/>
    </row>
    <row r="275" ht="15.75" customHeight="1">
      <c r="A275" s="56"/>
      <c r="B275" s="57"/>
      <c r="C275" s="58"/>
      <c r="D275" s="56"/>
      <c r="E275" s="56"/>
      <c r="F275" s="56"/>
      <c r="G275" s="56"/>
      <c r="H275" s="56"/>
      <c r="I275" s="56"/>
      <c r="J275" s="56"/>
      <c r="K275" s="56"/>
      <c r="L275" s="56"/>
      <c r="M275" s="56"/>
      <c r="N275" s="56"/>
      <c r="O275" s="59"/>
      <c r="P275" s="56"/>
      <c r="Q275" s="56"/>
      <c r="R275" s="56"/>
      <c r="S275" s="57"/>
      <c r="T275" s="56"/>
      <c r="U275" s="56"/>
      <c r="V275" s="56"/>
      <c r="W275" s="57"/>
      <c r="X275" s="51"/>
      <c r="Y275" s="51"/>
      <c r="Z275" s="51"/>
      <c r="AA275" s="51"/>
      <c r="AB275" s="51"/>
      <c r="AC275" s="51"/>
    </row>
    <row r="276" ht="15.75" customHeight="1">
      <c r="A276" s="56"/>
      <c r="B276" s="57"/>
      <c r="C276" s="58"/>
      <c r="D276" s="56"/>
      <c r="E276" s="56"/>
      <c r="F276" s="56"/>
      <c r="G276" s="56"/>
      <c r="H276" s="56"/>
      <c r="I276" s="56"/>
      <c r="J276" s="56"/>
      <c r="K276" s="56"/>
      <c r="L276" s="56"/>
      <c r="M276" s="56"/>
      <c r="N276" s="56"/>
      <c r="O276" s="59"/>
      <c r="P276" s="56"/>
      <c r="Q276" s="56"/>
      <c r="R276" s="56"/>
      <c r="S276" s="57"/>
      <c r="T276" s="56"/>
      <c r="U276" s="56"/>
      <c r="V276" s="56"/>
      <c r="W276" s="57"/>
      <c r="X276" s="51"/>
      <c r="Y276" s="51"/>
      <c r="Z276" s="51"/>
      <c r="AA276" s="51"/>
      <c r="AB276" s="51"/>
      <c r="AC276" s="51"/>
    </row>
    <row r="277" ht="15.75" customHeight="1">
      <c r="A277" s="56"/>
      <c r="B277" s="57"/>
      <c r="C277" s="58"/>
      <c r="D277" s="56"/>
      <c r="E277" s="56"/>
      <c r="F277" s="56"/>
      <c r="G277" s="56"/>
      <c r="H277" s="56"/>
      <c r="I277" s="56"/>
      <c r="J277" s="56"/>
      <c r="K277" s="56"/>
      <c r="L277" s="56"/>
      <c r="M277" s="56"/>
      <c r="N277" s="56"/>
      <c r="O277" s="59"/>
      <c r="P277" s="56"/>
      <c r="Q277" s="56"/>
      <c r="R277" s="56"/>
      <c r="S277" s="57"/>
      <c r="T277" s="56"/>
      <c r="U277" s="56"/>
      <c r="V277" s="56"/>
      <c r="W277" s="57"/>
      <c r="X277" s="51"/>
      <c r="Y277" s="51"/>
      <c r="Z277" s="51"/>
      <c r="AA277" s="51"/>
      <c r="AB277" s="51"/>
      <c r="AC277" s="51"/>
    </row>
    <row r="278" ht="15.75" customHeight="1">
      <c r="A278" s="56"/>
      <c r="B278" s="57"/>
      <c r="C278" s="58"/>
      <c r="D278" s="56"/>
      <c r="E278" s="56"/>
      <c r="F278" s="56"/>
      <c r="G278" s="56"/>
      <c r="H278" s="56"/>
      <c r="I278" s="56"/>
      <c r="J278" s="56"/>
      <c r="K278" s="56"/>
      <c r="L278" s="56"/>
      <c r="M278" s="56"/>
      <c r="N278" s="56"/>
      <c r="O278" s="59"/>
      <c r="P278" s="56"/>
      <c r="Q278" s="56"/>
      <c r="R278" s="56"/>
      <c r="S278" s="57"/>
      <c r="T278" s="56"/>
      <c r="U278" s="56"/>
      <c r="V278" s="56"/>
      <c r="W278" s="57"/>
      <c r="X278" s="51"/>
      <c r="Y278" s="51"/>
      <c r="Z278" s="51"/>
      <c r="AA278" s="51"/>
      <c r="AB278" s="51"/>
      <c r="AC278" s="51"/>
    </row>
    <row r="279" ht="15.75" customHeight="1">
      <c r="A279" s="56"/>
      <c r="B279" s="57"/>
      <c r="C279" s="58"/>
      <c r="D279" s="56"/>
      <c r="E279" s="56"/>
      <c r="F279" s="56"/>
      <c r="G279" s="56"/>
      <c r="H279" s="56"/>
      <c r="I279" s="56"/>
      <c r="J279" s="56"/>
      <c r="K279" s="56"/>
      <c r="L279" s="56"/>
      <c r="M279" s="56"/>
      <c r="N279" s="56"/>
      <c r="O279" s="59"/>
      <c r="P279" s="56"/>
      <c r="Q279" s="56"/>
      <c r="R279" s="56"/>
      <c r="S279" s="57"/>
      <c r="T279" s="56"/>
      <c r="U279" s="56"/>
      <c r="V279" s="56"/>
      <c r="W279" s="57"/>
      <c r="X279" s="51"/>
      <c r="Y279" s="51"/>
      <c r="Z279" s="51"/>
      <c r="AA279" s="51"/>
      <c r="AB279" s="51"/>
      <c r="AC279" s="51"/>
    </row>
    <row r="280" ht="15.75" customHeight="1">
      <c r="A280" s="56"/>
      <c r="B280" s="57"/>
      <c r="C280" s="58"/>
      <c r="D280" s="56"/>
      <c r="E280" s="56"/>
      <c r="F280" s="56"/>
      <c r="G280" s="56"/>
      <c r="H280" s="56"/>
      <c r="I280" s="56"/>
      <c r="J280" s="56"/>
      <c r="K280" s="56"/>
      <c r="L280" s="56"/>
      <c r="M280" s="56"/>
      <c r="N280" s="56"/>
      <c r="O280" s="59"/>
      <c r="P280" s="56"/>
      <c r="Q280" s="56"/>
      <c r="R280" s="56"/>
      <c r="S280" s="57"/>
      <c r="T280" s="56"/>
      <c r="U280" s="56"/>
      <c r="V280" s="56"/>
      <c r="W280" s="57"/>
      <c r="X280" s="51"/>
      <c r="Y280" s="51"/>
      <c r="Z280" s="51"/>
      <c r="AA280" s="51"/>
      <c r="AB280" s="51"/>
      <c r="AC280" s="51"/>
    </row>
    <row r="281" ht="15.75" customHeight="1">
      <c r="A281" s="56"/>
      <c r="B281" s="57"/>
      <c r="C281" s="58"/>
      <c r="D281" s="56"/>
      <c r="E281" s="56"/>
      <c r="F281" s="56"/>
      <c r="G281" s="56"/>
      <c r="H281" s="56"/>
      <c r="I281" s="56"/>
      <c r="J281" s="56"/>
      <c r="K281" s="56"/>
      <c r="L281" s="56"/>
      <c r="M281" s="56"/>
      <c r="N281" s="56"/>
      <c r="O281" s="59"/>
      <c r="P281" s="56"/>
      <c r="Q281" s="56"/>
      <c r="R281" s="56"/>
      <c r="S281" s="57"/>
      <c r="T281" s="56"/>
      <c r="U281" s="56"/>
      <c r="V281" s="56"/>
      <c r="W281" s="57"/>
      <c r="X281" s="51"/>
      <c r="Y281" s="51"/>
      <c r="Z281" s="51"/>
      <c r="AA281" s="51"/>
      <c r="AB281" s="51"/>
      <c r="AC281" s="51"/>
    </row>
    <row r="282" ht="15.75" customHeight="1">
      <c r="A282" s="56"/>
      <c r="B282" s="57"/>
      <c r="C282" s="58"/>
      <c r="D282" s="56"/>
      <c r="E282" s="56"/>
      <c r="F282" s="56"/>
      <c r="G282" s="56"/>
      <c r="H282" s="56"/>
      <c r="I282" s="56"/>
      <c r="J282" s="56"/>
      <c r="K282" s="56"/>
      <c r="L282" s="56"/>
      <c r="M282" s="56"/>
      <c r="N282" s="56"/>
      <c r="O282" s="59"/>
      <c r="P282" s="56"/>
      <c r="Q282" s="56"/>
      <c r="R282" s="56"/>
      <c r="S282" s="57"/>
      <c r="T282" s="56"/>
      <c r="U282" s="56"/>
      <c r="V282" s="56"/>
      <c r="W282" s="57"/>
      <c r="X282" s="51"/>
      <c r="Y282" s="51"/>
      <c r="Z282" s="51"/>
      <c r="AA282" s="51"/>
      <c r="AB282" s="51"/>
      <c r="AC282" s="51"/>
    </row>
    <row r="283" ht="15.75" customHeight="1">
      <c r="A283" s="56"/>
      <c r="B283" s="57"/>
      <c r="C283" s="58"/>
      <c r="D283" s="56"/>
      <c r="E283" s="56"/>
      <c r="F283" s="56"/>
      <c r="G283" s="56"/>
      <c r="H283" s="56"/>
      <c r="I283" s="56"/>
      <c r="J283" s="56"/>
      <c r="K283" s="56"/>
      <c r="L283" s="56"/>
      <c r="M283" s="56"/>
      <c r="N283" s="56"/>
      <c r="O283" s="59"/>
      <c r="P283" s="56"/>
      <c r="Q283" s="56"/>
      <c r="R283" s="56"/>
      <c r="S283" s="57"/>
      <c r="T283" s="56"/>
      <c r="U283" s="56"/>
      <c r="V283" s="56"/>
      <c r="W283" s="57"/>
      <c r="X283" s="51"/>
      <c r="Y283" s="51"/>
      <c r="Z283" s="51"/>
      <c r="AA283" s="51"/>
      <c r="AB283" s="51"/>
      <c r="AC283" s="51"/>
    </row>
    <row r="284" ht="15.75" customHeight="1">
      <c r="A284" s="56"/>
      <c r="B284" s="57"/>
      <c r="C284" s="58"/>
      <c r="D284" s="56"/>
      <c r="E284" s="56"/>
      <c r="F284" s="56"/>
      <c r="G284" s="56"/>
      <c r="H284" s="56"/>
      <c r="I284" s="56"/>
      <c r="J284" s="56"/>
      <c r="K284" s="56"/>
      <c r="L284" s="56"/>
      <c r="M284" s="56"/>
      <c r="N284" s="56"/>
      <c r="O284" s="59"/>
      <c r="P284" s="56"/>
      <c r="Q284" s="56"/>
      <c r="R284" s="56"/>
      <c r="S284" s="57"/>
      <c r="T284" s="56"/>
      <c r="U284" s="56"/>
      <c r="V284" s="56"/>
      <c r="W284" s="57"/>
      <c r="X284" s="51"/>
      <c r="Y284" s="51"/>
      <c r="Z284" s="51"/>
      <c r="AA284" s="51"/>
      <c r="AB284" s="51"/>
      <c r="AC284" s="51"/>
    </row>
    <row r="285" ht="15.75" customHeight="1">
      <c r="A285" s="56"/>
      <c r="B285" s="57"/>
      <c r="C285" s="58"/>
      <c r="D285" s="56"/>
      <c r="E285" s="56"/>
      <c r="F285" s="56"/>
      <c r="G285" s="56"/>
      <c r="H285" s="56"/>
      <c r="I285" s="56"/>
      <c r="J285" s="56"/>
      <c r="K285" s="56"/>
      <c r="L285" s="56"/>
      <c r="M285" s="56"/>
      <c r="N285" s="56"/>
      <c r="O285" s="59"/>
      <c r="P285" s="56"/>
      <c r="Q285" s="56"/>
      <c r="R285" s="56"/>
      <c r="S285" s="57"/>
      <c r="T285" s="56"/>
      <c r="U285" s="56"/>
      <c r="V285" s="56"/>
      <c r="W285" s="57"/>
      <c r="X285" s="51"/>
      <c r="Y285" s="51"/>
      <c r="Z285" s="51"/>
      <c r="AA285" s="51"/>
      <c r="AB285" s="51"/>
      <c r="AC285" s="51"/>
    </row>
    <row r="286" ht="15.75" customHeight="1">
      <c r="A286" s="56"/>
      <c r="B286" s="57"/>
      <c r="C286" s="58"/>
      <c r="D286" s="56"/>
      <c r="E286" s="56"/>
      <c r="F286" s="56"/>
      <c r="G286" s="56"/>
      <c r="H286" s="56"/>
      <c r="I286" s="56"/>
      <c r="J286" s="56"/>
      <c r="K286" s="56"/>
      <c r="L286" s="56"/>
      <c r="M286" s="56"/>
      <c r="N286" s="56"/>
      <c r="O286" s="59"/>
      <c r="P286" s="56"/>
      <c r="Q286" s="56"/>
      <c r="R286" s="56"/>
      <c r="S286" s="57"/>
      <c r="T286" s="56"/>
      <c r="U286" s="56"/>
      <c r="V286" s="56"/>
      <c r="W286" s="57"/>
      <c r="X286" s="51"/>
      <c r="Y286" s="51"/>
      <c r="Z286" s="51"/>
      <c r="AA286" s="51"/>
      <c r="AB286" s="51"/>
      <c r="AC286" s="51"/>
    </row>
    <row r="287" ht="15.75" customHeight="1">
      <c r="A287" s="56"/>
      <c r="B287" s="57"/>
      <c r="C287" s="58"/>
      <c r="D287" s="56"/>
      <c r="E287" s="56"/>
      <c r="F287" s="56"/>
      <c r="G287" s="56"/>
      <c r="H287" s="56"/>
      <c r="I287" s="56"/>
      <c r="J287" s="56"/>
      <c r="K287" s="56"/>
      <c r="L287" s="56"/>
      <c r="M287" s="56"/>
      <c r="N287" s="56"/>
      <c r="O287" s="59"/>
      <c r="P287" s="56"/>
      <c r="Q287" s="56"/>
      <c r="R287" s="56"/>
      <c r="S287" s="57"/>
      <c r="T287" s="56"/>
      <c r="U287" s="56"/>
      <c r="V287" s="56"/>
      <c r="W287" s="57"/>
      <c r="X287" s="51"/>
      <c r="Y287" s="51"/>
      <c r="Z287" s="51"/>
      <c r="AA287" s="51"/>
      <c r="AB287" s="51"/>
      <c r="AC287" s="51"/>
    </row>
    <row r="288" ht="15.75" customHeight="1">
      <c r="A288" s="56"/>
      <c r="B288" s="57"/>
      <c r="C288" s="58"/>
      <c r="D288" s="56"/>
      <c r="E288" s="56"/>
      <c r="F288" s="56"/>
      <c r="G288" s="56"/>
      <c r="H288" s="56"/>
      <c r="I288" s="56"/>
      <c r="J288" s="56"/>
      <c r="K288" s="56"/>
      <c r="L288" s="56"/>
      <c r="M288" s="56"/>
      <c r="N288" s="56"/>
      <c r="O288" s="59"/>
      <c r="P288" s="56"/>
      <c r="Q288" s="56"/>
      <c r="R288" s="56"/>
      <c r="S288" s="57"/>
      <c r="T288" s="56"/>
      <c r="U288" s="56"/>
      <c r="V288" s="56"/>
      <c r="W288" s="57"/>
      <c r="X288" s="51"/>
      <c r="Y288" s="51"/>
      <c r="Z288" s="51"/>
      <c r="AA288" s="51"/>
      <c r="AB288" s="51"/>
      <c r="AC288" s="51"/>
    </row>
    <row r="289" ht="15.75" customHeight="1">
      <c r="A289" s="56"/>
      <c r="B289" s="57"/>
      <c r="C289" s="58"/>
      <c r="D289" s="56"/>
      <c r="E289" s="56"/>
      <c r="F289" s="56"/>
      <c r="G289" s="56"/>
      <c r="H289" s="56"/>
      <c r="I289" s="56"/>
      <c r="J289" s="56"/>
      <c r="K289" s="56"/>
      <c r="L289" s="56"/>
      <c r="M289" s="56"/>
      <c r="N289" s="56"/>
      <c r="O289" s="59"/>
      <c r="P289" s="56"/>
      <c r="Q289" s="56"/>
      <c r="R289" s="56"/>
      <c r="S289" s="57"/>
      <c r="T289" s="56"/>
      <c r="U289" s="56"/>
      <c r="V289" s="56"/>
      <c r="W289" s="57"/>
      <c r="X289" s="51"/>
      <c r="Y289" s="51"/>
      <c r="Z289" s="51"/>
      <c r="AA289" s="51"/>
      <c r="AB289" s="51"/>
      <c r="AC289" s="51"/>
    </row>
    <row r="290" ht="15.75" customHeight="1">
      <c r="A290" s="56"/>
      <c r="B290" s="57"/>
      <c r="C290" s="58"/>
      <c r="D290" s="56"/>
      <c r="E290" s="56"/>
      <c r="F290" s="56"/>
      <c r="G290" s="56"/>
      <c r="H290" s="56"/>
      <c r="I290" s="56"/>
      <c r="J290" s="56"/>
      <c r="K290" s="56"/>
      <c r="L290" s="56"/>
      <c r="M290" s="56"/>
      <c r="N290" s="56"/>
      <c r="O290" s="59"/>
      <c r="P290" s="56"/>
      <c r="Q290" s="56"/>
      <c r="R290" s="56"/>
      <c r="S290" s="57"/>
      <c r="T290" s="56"/>
      <c r="U290" s="56"/>
      <c r="V290" s="56"/>
      <c r="W290" s="57"/>
      <c r="X290" s="51"/>
      <c r="Y290" s="51"/>
      <c r="Z290" s="51"/>
      <c r="AA290" s="51"/>
      <c r="AB290" s="51"/>
      <c r="AC290" s="51"/>
    </row>
    <row r="291" ht="15.75" customHeight="1">
      <c r="A291" s="56"/>
      <c r="B291" s="57"/>
      <c r="C291" s="58"/>
      <c r="D291" s="56"/>
      <c r="E291" s="56"/>
      <c r="F291" s="56"/>
      <c r="G291" s="56"/>
      <c r="H291" s="56"/>
      <c r="I291" s="56"/>
      <c r="J291" s="56"/>
      <c r="K291" s="56"/>
      <c r="L291" s="56"/>
      <c r="M291" s="56"/>
      <c r="N291" s="56"/>
      <c r="O291" s="59"/>
      <c r="P291" s="56"/>
      <c r="Q291" s="56"/>
      <c r="R291" s="56"/>
      <c r="S291" s="57"/>
      <c r="T291" s="56"/>
      <c r="U291" s="56"/>
      <c r="V291" s="56"/>
      <c r="W291" s="57"/>
      <c r="X291" s="51"/>
      <c r="Y291" s="51"/>
      <c r="Z291" s="51"/>
      <c r="AA291" s="51"/>
      <c r="AB291" s="51"/>
      <c r="AC291" s="51"/>
    </row>
    <row r="292" ht="15.75" customHeight="1">
      <c r="A292" s="56"/>
      <c r="B292" s="57"/>
      <c r="C292" s="58"/>
      <c r="D292" s="56"/>
      <c r="E292" s="56"/>
      <c r="F292" s="56"/>
      <c r="G292" s="56"/>
      <c r="H292" s="56"/>
      <c r="I292" s="56"/>
      <c r="J292" s="56"/>
      <c r="K292" s="56"/>
      <c r="L292" s="56"/>
      <c r="M292" s="56"/>
      <c r="N292" s="56"/>
      <c r="O292" s="59"/>
      <c r="P292" s="56"/>
      <c r="Q292" s="56"/>
      <c r="R292" s="56"/>
      <c r="S292" s="57"/>
      <c r="T292" s="56"/>
      <c r="U292" s="56"/>
      <c r="V292" s="56"/>
      <c r="W292" s="57"/>
      <c r="X292" s="51"/>
      <c r="Y292" s="51"/>
      <c r="Z292" s="51"/>
      <c r="AA292" s="51"/>
      <c r="AB292" s="51"/>
      <c r="AC292" s="51"/>
    </row>
    <row r="293" ht="15.75" customHeight="1">
      <c r="A293" s="56"/>
      <c r="B293" s="57"/>
      <c r="C293" s="58"/>
      <c r="D293" s="56"/>
      <c r="E293" s="56"/>
      <c r="F293" s="56"/>
      <c r="G293" s="56"/>
      <c r="H293" s="56"/>
      <c r="I293" s="56"/>
      <c r="J293" s="56"/>
      <c r="K293" s="56"/>
      <c r="L293" s="56"/>
      <c r="M293" s="56"/>
      <c r="N293" s="56"/>
      <c r="O293" s="59"/>
      <c r="P293" s="56"/>
      <c r="Q293" s="56"/>
      <c r="R293" s="56"/>
      <c r="S293" s="57"/>
      <c r="T293" s="56"/>
      <c r="U293" s="56"/>
      <c r="V293" s="56"/>
      <c r="W293" s="57"/>
      <c r="X293" s="51"/>
      <c r="Y293" s="51"/>
      <c r="Z293" s="51"/>
      <c r="AA293" s="51"/>
      <c r="AB293" s="51"/>
      <c r="AC293" s="51"/>
    </row>
    <row r="294" ht="15.75" customHeight="1">
      <c r="A294" s="56"/>
      <c r="B294" s="57"/>
      <c r="C294" s="58"/>
      <c r="D294" s="56"/>
      <c r="E294" s="56"/>
      <c r="F294" s="56"/>
      <c r="G294" s="56"/>
      <c r="H294" s="56"/>
      <c r="I294" s="56"/>
      <c r="J294" s="56"/>
      <c r="K294" s="56"/>
      <c r="L294" s="56"/>
      <c r="M294" s="56"/>
      <c r="N294" s="56"/>
      <c r="O294" s="59"/>
      <c r="P294" s="56"/>
      <c r="Q294" s="56"/>
      <c r="R294" s="56"/>
      <c r="S294" s="57"/>
      <c r="T294" s="56"/>
      <c r="U294" s="56"/>
      <c r="V294" s="56"/>
      <c r="W294" s="57"/>
      <c r="X294" s="51"/>
      <c r="Y294" s="51"/>
      <c r="Z294" s="51"/>
      <c r="AA294" s="51"/>
      <c r="AB294" s="51"/>
      <c r="AC294" s="51"/>
    </row>
    <row r="295" ht="15.75" customHeight="1">
      <c r="A295" s="56"/>
      <c r="B295" s="57"/>
      <c r="C295" s="58"/>
      <c r="D295" s="56"/>
      <c r="E295" s="56"/>
      <c r="F295" s="56"/>
      <c r="G295" s="56"/>
      <c r="H295" s="56"/>
      <c r="I295" s="56"/>
      <c r="J295" s="56"/>
      <c r="K295" s="56"/>
      <c r="L295" s="56"/>
      <c r="M295" s="56"/>
      <c r="N295" s="56"/>
      <c r="O295" s="59"/>
      <c r="P295" s="56"/>
      <c r="Q295" s="56"/>
      <c r="R295" s="56"/>
      <c r="S295" s="57"/>
      <c r="T295" s="56"/>
      <c r="U295" s="56"/>
      <c r="V295" s="56"/>
      <c r="W295" s="57"/>
      <c r="X295" s="51"/>
      <c r="Y295" s="51"/>
      <c r="Z295" s="51"/>
      <c r="AA295" s="51"/>
      <c r="AB295" s="51"/>
      <c r="AC295" s="51"/>
    </row>
    <row r="296" ht="15.75" customHeight="1">
      <c r="A296" s="56"/>
      <c r="B296" s="57"/>
      <c r="C296" s="58"/>
      <c r="D296" s="56"/>
      <c r="E296" s="56"/>
      <c r="F296" s="56"/>
      <c r="G296" s="56"/>
      <c r="H296" s="56"/>
      <c r="I296" s="56"/>
      <c r="J296" s="56"/>
      <c r="K296" s="56"/>
      <c r="L296" s="56"/>
      <c r="M296" s="56"/>
      <c r="N296" s="56"/>
      <c r="O296" s="59"/>
      <c r="P296" s="56"/>
      <c r="Q296" s="56"/>
      <c r="R296" s="56"/>
      <c r="S296" s="57"/>
      <c r="T296" s="56"/>
      <c r="U296" s="56"/>
      <c r="V296" s="56"/>
      <c r="W296" s="57"/>
      <c r="X296" s="51"/>
      <c r="Y296" s="51"/>
      <c r="Z296" s="51"/>
      <c r="AA296" s="51"/>
      <c r="AB296" s="51"/>
      <c r="AC296" s="51"/>
    </row>
    <row r="297" ht="15.75" customHeight="1">
      <c r="A297" s="56"/>
      <c r="B297" s="57"/>
      <c r="C297" s="58"/>
      <c r="D297" s="56"/>
      <c r="E297" s="56"/>
      <c r="F297" s="56"/>
      <c r="G297" s="56"/>
      <c r="H297" s="56"/>
      <c r="I297" s="56"/>
      <c r="J297" s="56"/>
      <c r="K297" s="56"/>
      <c r="L297" s="56"/>
      <c r="M297" s="56"/>
      <c r="N297" s="56"/>
      <c r="O297" s="59"/>
      <c r="P297" s="56"/>
      <c r="Q297" s="56"/>
      <c r="R297" s="56"/>
      <c r="S297" s="57"/>
      <c r="T297" s="56"/>
      <c r="U297" s="56"/>
      <c r="V297" s="56"/>
      <c r="W297" s="57"/>
      <c r="X297" s="51"/>
      <c r="Y297" s="51"/>
      <c r="Z297" s="51"/>
      <c r="AA297" s="51"/>
      <c r="AB297" s="51"/>
      <c r="AC297" s="51"/>
    </row>
    <row r="298" ht="15.75" customHeight="1">
      <c r="A298" s="56"/>
      <c r="B298" s="57"/>
      <c r="C298" s="58"/>
      <c r="D298" s="56"/>
      <c r="E298" s="56"/>
      <c r="F298" s="56"/>
      <c r="G298" s="56"/>
      <c r="H298" s="56"/>
      <c r="I298" s="56"/>
      <c r="J298" s="56"/>
      <c r="K298" s="56"/>
      <c r="L298" s="56"/>
      <c r="M298" s="56"/>
      <c r="N298" s="56"/>
      <c r="O298" s="59"/>
      <c r="P298" s="56"/>
      <c r="Q298" s="56"/>
      <c r="R298" s="56"/>
      <c r="S298" s="57"/>
      <c r="T298" s="56"/>
      <c r="U298" s="56"/>
      <c r="V298" s="56"/>
      <c r="W298" s="57"/>
      <c r="X298" s="51"/>
      <c r="Y298" s="51"/>
      <c r="Z298" s="51"/>
      <c r="AA298" s="51"/>
      <c r="AB298" s="51"/>
      <c r="AC298" s="51"/>
    </row>
    <row r="299" ht="15.75" customHeight="1">
      <c r="A299" s="56"/>
      <c r="B299" s="57"/>
      <c r="C299" s="58"/>
      <c r="D299" s="56"/>
      <c r="E299" s="56"/>
      <c r="F299" s="56"/>
      <c r="G299" s="56"/>
      <c r="H299" s="56"/>
      <c r="I299" s="56"/>
      <c r="J299" s="56"/>
      <c r="K299" s="56"/>
      <c r="L299" s="56"/>
      <c r="M299" s="56"/>
      <c r="N299" s="56"/>
      <c r="O299" s="59"/>
      <c r="P299" s="56"/>
      <c r="Q299" s="56"/>
      <c r="R299" s="56"/>
      <c r="S299" s="57"/>
      <c r="T299" s="56"/>
      <c r="U299" s="56"/>
      <c r="V299" s="56"/>
      <c r="W299" s="57"/>
      <c r="X299" s="51"/>
      <c r="Y299" s="51"/>
      <c r="Z299" s="51"/>
      <c r="AA299" s="51"/>
      <c r="AB299" s="51"/>
      <c r="AC299" s="51"/>
    </row>
    <row r="300" ht="15.75" customHeight="1">
      <c r="A300" s="56"/>
      <c r="B300" s="57"/>
      <c r="C300" s="58"/>
      <c r="D300" s="56"/>
      <c r="E300" s="56"/>
      <c r="F300" s="56"/>
      <c r="G300" s="56"/>
      <c r="H300" s="56"/>
      <c r="I300" s="56"/>
      <c r="J300" s="56"/>
      <c r="K300" s="56"/>
      <c r="L300" s="56"/>
      <c r="M300" s="56"/>
      <c r="N300" s="56"/>
      <c r="O300" s="59"/>
      <c r="P300" s="56"/>
      <c r="Q300" s="56"/>
      <c r="R300" s="56"/>
      <c r="S300" s="57"/>
      <c r="T300" s="56"/>
      <c r="U300" s="56"/>
      <c r="V300" s="56"/>
      <c r="W300" s="57"/>
      <c r="X300" s="51"/>
      <c r="Y300" s="51"/>
      <c r="Z300" s="51"/>
      <c r="AA300" s="51"/>
      <c r="AB300" s="51"/>
      <c r="AC300" s="51"/>
    </row>
    <row r="301" ht="15.75" customHeight="1">
      <c r="A301" s="56"/>
      <c r="B301" s="57"/>
      <c r="C301" s="58"/>
      <c r="D301" s="56"/>
      <c r="E301" s="56"/>
      <c r="F301" s="56"/>
      <c r="G301" s="56"/>
      <c r="H301" s="56"/>
      <c r="I301" s="56"/>
      <c r="J301" s="56"/>
      <c r="K301" s="56"/>
      <c r="L301" s="56"/>
      <c r="M301" s="56"/>
      <c r="N301" s="56"/>
      <c r="O301" s="59"/>
      <c r="P301" s="56"/>
      <c r="Q301" s="56"/>
      <c r="R301" s="56"/>
      <c r="S301" s="57"/>
      <c r="T301" s="56"/>
      <c r="U301" s="56"/>
      <c r="V301" s="56"/>
      <c r="W301" s="57"/>
      <c r="X301" s="51"/>
      <c r="Y301" s="51"/>
      <c r="Z301" s="51"/>
      <c r="AA301" s="51"/>
      <c r="AB301" s="51"/>
      <c r="AC301" s="51"/>
    </row>
    <row r="302" ht="15.75" customHeight="1">
      <c r="A302" s="56"/>
      <c r="B302" s="57"/>
      <c r="C302" s="58"/>
      <c r="D302" s="56"/>
      <c r="E302" s="56"/>
      <c r="F302" s="56"/>
      <c r="G302" s="56"/>
      <c r="H302" s="56"/>
      <c r="I302" s="56"/>
      <c r="J302" s="56"/>
      <c r="K302" s="56"/>
      <c r="L302" s="56"/>
      <c r="M302" s="56"/>
      <c r="N302" s="56"/>
      <c r="O302" s="59"/>
      <c r="P302" s="56"/>
      <c r="Q302" s="56"/>
      <c r="R302" s="56"/>
      <c r="S302" s="57"/>
      <c r="T302" s="56"/>
      <c r="U302" s="56"/>
      <c r="V302" s="56"/>
      <c r="W302" s="57"/>
      <c r="X302" s="51"/>
      <c r="Y302" s="51"/>
      <c r="Z302" s="51"/>
      <c r="AA302" s="51"/>
      <c r="AB302" s="51"/>
      <c r="AC302" s="51"/>
    </row>
    <row r="303" ht="15.75" customHeight="1">
      <c r="A303" s="56"/>
      <c r="B303" s="57"/>
      <c r="C303" s="58"/>
      <c r="D303" s="56"/>
      <c r="E303" s="56"/>
      <c r="F303" s="56"/>
      <c r="G303" s="56"/>
      <c r="H303" s="56"/>
      <c r="I303" s="56"/>
      <c r="J303" s="56"/>
      <c r="K303" s="56"/>
      <c r="L303" s="56"/>
      <c r="M303" s="56"/>
      <c r="N303" s="56"/>
      <c r="O303" s="59"/>
      <c r="P303" s="56"/>
      <c r="Q303" s="56"/>
      <c r="R303" s="56"/>
      <c r="S303" s="57"/>
      <c r="T303" s="56"/>
      <c r="U303" s="56"/>
      <c r="V303" s="56"/>
      <c r="W303" s="57"/>
      <c r="X303" s="51"/>
      <c r="Y303" s="51"/>
      <c r="Z303" s="51"/>
      <c r="AA303" s="51"/>
      <c r="AB303" s="51"/>
      <c r="AC303" s="51"/>
    </row>
    <row r="304" ht="15.75" customHeight="1">
      <c r="A304" s="56"/>
      <c r="B304" s="57"/>
      <c r="C304" s="58"/>
      <c r="D304" s="56"/>
      <c r="E304" s="56"/>
      <c r="F304" s="56"/>
      <c r="G304" s="56"/>
      <c r="H304" s="56"/>
      <c r="I304" s="56"/>
      <c r="J304" s="56"/>
      <c r="K304" s="56"/>
      <c r="L304" s="56"/>
      <c r="M304" s="56"/>
      <c r="N304" s="56"/>
      <c r="O304" s="59"/>
      <c r="P304" s="56"/>
      <c r="Q304" s="56"/>
      <c r="R304" s="56"/>
      <c r="S304" s="57"/>
      <c r="T304" s="56"/>
      <c r="U304" s="56"/>
      <c r="V304" s="56"/>
      <c r="W304" s="57"/>
      <c r="X304" s="51"/>
      <c r="Y304" s="51"/>
      <c r="Z304" s="51"/>
      <c r="AA304" s="51"/>
      <c r="AB304" s="51"/>
      <c r="AC304" s="51"/>
    </row>
    <row r="305" ht="15.75" customHeight="1">
      <c r="A305" s="56"/>
      <c r="B305" s="57"/>
      <c r="C305" s="58"/>
      <c r="D305" s="56"/>
      <c r="E305" s="56"/>
      <c r="F305" s="56"/>
      <c r="G305" s="56"/>
      <c r="H305" s="56"/>
      <c r="I305" s="56"/>
      <c r="J305" s="56"/>
      <c r="K305" s="56"/>
      <c r="L305" s="56"/>
      <c r="M305" s="56"/>
      <c r="N305" s="56"/>
      <c r="O305" s="59"/>
      <c r="P305" s="56"/>
      <c r="Q305" s="56"/>
      <c r="R305" s="56"/>
      <c r="S305" s="57"/>
      <c r="T305" s="56"/>
      <c r="U305" s="56"/>
      <c r="V305" s="56"/>
      <c r="W305" s="57"/>
      <c r="X305" s="51"/>
      <c r="Y305" s="51"/>
      <c r="Z305" s="51"/>
      <c r="AA305" s="51"/>
      <c r="AB305" s="51"/>
      <c r="AC305" s="51"/>
    </row>
    <row r="306" ht="15.75" customHeight="1">
      <c r="A306" s="56"/>
      <c r="B306" s="57"/>
      <c r="C306" s="58"/>
      <c r="D306" s="56"/>
      <c r="E306" s="56"/>
      <c r="F306" s="56"/>
      <c r="G306" s="56"/>
      <c r="H306" s="56"/>
      <c r="I306" s="56"/>
      <c r="J306" s="56"/>
      <c r="K306" s="56"/>
      <c r="L306" s="56"/>
      <c r="M306" s="56"/>
      <c r="N306" s="56"/>
      <c r="O306" s="59"/>
      <c r="P306" s="56"/>
      <c r="Q306" s="56"/>
      <c r="R306" s="56"/>
      <c r="S306" s="57"/>
      <c r="T306" s="56"/>
      <c r="U306" s="56"/>
      <c r="V306" s="56"/>
      <c r="W306" s="57"/>
      <c r="X306" s="51"/>
      <c r="Y306" s="51"/>
      <c r="Z306" s="51"/>
      <c r="AA306" s="51"/>
      <c r="AB306" s="51"/>
      <c r="AC306" s="51"/>
    </row>
    <row r="307" ht="15.75" customHeight="1">
      <c r="A307" s="56"/>
      <c r="B307" s="57"/>
      <c r="C307" s="58"/>
      <c r="D307" s="56"/>
      <c r="E307" s="56"/>
      <c r="F307" s="56"/>
      <c r="G307" s="56"/>
      <c r="H307" s="56"/>
      <c r="I307" s="56"/>
      <c r="J307" s="56"/>
      <c r="K307" s="56"/>
      <c r="L307" s="56"/>
      <c r="M307" s="56"/>
      <c r="N307" s="56"/>
      <c r="O307" s="59"/>
      <c r="P307" s="56"/>
      <c r="Q307" s="56"/>
      <c r="R307" s="56"/>
      <c r="S307" s="57"/>
      <c r="T307" s="56"/>
      <c r="U307" s="56"/>
      <c r="V307" s="56"/>
      <c r="W307" s="57"/>
      <c r="X307" s="51"/>
      <c r="Y307" s="51"/>
      <c r="Z307" s="51"/>
      <c r="AA307" s="51"/>
      <c r="AB307" s="51"/>
      <c r="AC307" s="51"/>
    </row>
    <row r="308" ht="15.75" customHeight="1">
      <c r="A308" s="56"/>
      <c r="B308" s="57"/>
      <c r="C308" s="58"/>
      <c r="D308" s="56"/>
      <c r="E308" s="56"/>
      <c r="F308" s="56"/>
      <c r="G308" s="56"/>
      <c r="H308" s="56"/>
      <c r="I308" s="56"/>
      <c r="J308" s="56"/>
      <c r="K308" s="56"/>
      <c r="L308" s="56"/>
      <c r="M308" s="56"/>
      <c r="N308" s="56"/>
      <c r="O308" s="59"/>
      <c r="P308" s="56"/>
      <c r="Q308" s="56"/>
      <c r="R308" s="56"/>
      <c r="S308" s="57"/>
      <c r="T308" s="56"/>
      <c r="U308" s="56"/>
      <c r="V308" s="56"/>
      <c r="W308" s="57"/>
      <c r="X308" s="51"/>
      <c r="Y308" s="51"/>
      <c r="Z308" s="51"/>
      <c r="AA308" s="51"/>
      <c r="AB308" s="51"/>
      <c r="AC308" s="51"/>
    </row>
    <row r="309" ht="15.75" customHeight="1">
      <c r="A309" s="56"/>
      <c r="B309" s="57"/>
      <c r="C309" s="58"/>
      <c r="D309" s="56"/>
      <c r="E309" s="56"/>
      <c r="F309" s="56"/>
      <c r="G309" s="56"/>
      <c r="H309" s="56"/>
      <c r="I309" s="56"/>
      <c r="J309" s="56"/>
      <c r="K309" s="56"/>
      <c r="L309" s="56"/>
      <c r="M309" s="56"/>
      <c r="N309" s="56"/>
      <c r="O309" s="59"/>
      <c r="P309" s="56"/>
      <c r="Q309" s="56"/>
      <c r="R309" s="56"/>
      <c r="S309" s="57"/>
      <c r="T309" s="56"/>
      <c r="U309" s="56"/>
      <c r="V309" s="56"/>
      <c r="W309" s="57"/>
      <c r="X309" s="51"/>
      <c r="Y309" s="51"/>
      <c r="Z309" s="51"/>
      <c r="AA309" s="51"/>
      <c r="AB309" s="51"/>
      <c r="AC309" s="51"/>
    </row>
    <row r="310" ht="15.75" customHeight="1">
      <c r="A310" s="56"/>
      <c r="B310" s="57"/>
      <c r="C310" s="58"/>
      <c r="D310" s="56"/>
      <c r="E310" s="56"/>
      <c r="F310" s="56"/>
      <c r="G310" s="56"/>
      <c r="H310" s="56"/>
      <c r="I310" s="56"/>
      <c r="J310" s="56"/>
      <c r="K310" s="56"/>
      <c r="L310" s="56"/>
      <c r="M310" s="56"/>
      <c r="N310" s="56"/>
      <c r="O310" s="59"/>
      <c r="P310" s="56"/>
      <c r="Q310" s="56"/>
      <c r="R310" s="56"/>
      <c r="S310" s="57"/>
      <c r="T310" s="56"/>
      <c r="U310" s="56"/>
      <c r="V310" s="56"/>
      <c r="W310" s="57"/>
      <c r="X310" s="51"/>
      <c r="Y310" s="51"/>
      <c r="Z310" s="51"/>
      <c r="AA310" s="51"/>
      <c r="AB310" s="51"/>
      <c r="AC310" s="51"/>
    </row>
    <row r="311" ht="15.75" customHeight="1">
      <c r="A311" s="56"/>
      <c r="B311" s="57"/>
      <c r="C311" s="58"/>
      <c r="D311" s="56"/>
      <c r="E311" s="56"/>
      <c r="F311" s="56"/>
      <c r="G311" s="56"/>
      <c r="H311" s="56"/>
      <c r="I311" s="56"/>
      <c r="J311" s="56"/>
      <c r="K311" s="56"/>
      <c r="L311" s="56"/>
      <c r="M311" s="56"/>
      <c r="N311" s="56"/>
      <c r="O311" s="59"/>
      <c r="P311" s="56"/>
      <c r="Q311" s="56"/>
      <c r="R311" s="56"/>
      <c r="S311" s="57"/>
      <c r="T311" s="56"/>
      <c r="U311" s="56"/>
      <c r="V311" s="56"/>
      <c r="W311" s="57"/>
      <c r="X311" s="51"/>
      <c r="Y311" s="51"/>
      <c r="Z311" s="51"/>
      <c r="AA311" s="51"/>
      <c r="AB311" s="51"/>
      <c r="AC311" s="51"/>
    </row>
    <row r="312" ht="15.75" customHeight="1">
      <c r="A312" s="56"/>
      <c r="B312" s="57"/>
      <c r="C312" s="58"/>
      <c r="D312" s="56"/>
      <c r="E312" s="56"/>
      <c r="F312" s="56"/>
      <c r="G312" s="56"/>
      <c r="H312" s="56"/>
      <c r="I312" s="56"/>
      <c r="J312" s="56"/>
      <c r="K312" s="56"/>
      <c r="L312" s="56"/>
      <c r="M312" s="56"/>
      <c r="N312" s="56"/>
      <c r="O312" s="59"/>
      <c r="P312" s="56"/>
      <c r="Q312" s="56"/>
      <c r="R312" s="56"/>
      <c r="S312" s="57"/>
      <c r="T312" s="56"/>
      <c r="U312" s="56"/>
      <c r="V312" s="56"/>
      <c r="W312" s="57"/>
      <c r="X312" s="51"/>
      <c r="Y312" s="51"/>
      <c r="Z312" s="51"/>
      <c r="AA312" s="51"/>
      <c r="AB312" s="51"/>
      <c r="AC312" s="51"/>
    </row>
    <row r="313" ht="15.75" customHeight="1">
      <c r="A313" s="56"/>
      <c r="B313" s="57"/>
      <c r="C313" s="58"/>
      <c r="D313" s="56"/>
      <c r="E313" s="56"/>
      <c r="F313" s="56"/>
      <c r="G313" s="56"/>
      <c r="H313" s="56"/>
      <c r="I313" s="56"/>
      <c r="J313" s="56"/>
      <c r="K313" s="56"/>
      <c r="L313" s="56"/>
      <c r="M313" s="56"/>
      <c r="N313" s="56"/>
      <c r="O313" s="59"/>
      <c r="P313" s="56"/>
      <c r="Q313" s="56"/>
      <c r="R313" s="56"/>
      <c r="S313" s="57"/>
      <c r="T313" s="56"/>
      <c r="U313" s="56"/>
      <c r="V313" s="56"/>
      <c r="W313" s="57"/>
      <c r="X313" s="51"/>
      <c r="Y313" s="51"/>
      <c r="Z313" s="51"/>
      <c r="AA313" s="51"/>
      <c r="AB313" s="51"/>
      <c r="AC313" s="51"/>
    </row>
    <row r="314" ht="15.75" customHeight="1">
      <c r="A314" s="56"/>
      <c r="B314" s="57"/>
      <c r="C314" s="58"/>
      <c r="D314" s="56"/>
      <c r="E314" s="56"/>
      <c r="F314" s="56"/>
      <c r="G314" s="56"/>
      <c r="H314" s="56"/>
      <c r="I314" s="56"/>
      <c r="J314" s="56"/>
      <c r="K314" s="56"/>
      <c r="L314" s="56"/>
      <c r="M314" s="56"/>
      <c r="N314" s="56"/>
      <c r="O314" s="59"/>
      <c r="P314" s="56"/>
      <c r="Q314" s="56"/>
      <c r="R314" s="56"/>
      <c r="S314" s="57"/>
      <c r="T314" s="56"/>
      <c r="U314" s="56"/>
      <c r="V314" s="56"/>
      <c r="W314" s="57"/>
      <c r="X314" s="51"/>
      <c r="Y314" s="51"/>
      <c r="Z314" s="51"/>
      <c r="AA314" s="51"/>
      <c r="AB314" s="51"/>
      <c r="AC314" s="51"/>
    </row>
    <row r="315" ht="15.75" customHeight="1">
      <c r="A315" s="56"/>
      <c r="B315" s="57"/>
      <c r="C315" s="58"/>
      <c r="D315" s="56"/>
      <c r="E315" s="56"/>
      <c r="F315" s="56"/>
      <c r="G315" s="56"/>
      <c r="H315" s="56"/>
      <c r="I315" s="56"/>
      <c r="J315" s="56"/>
      <c r="K315" s="56"/>
      <c r="L315" s="56"/>
      <c r="M315" s="56"/>
      <c r="N315" s="56"/>
      <c r="O315" s="59"/>
      <c r="P315" s="56"/>
      <c r="Q315" s="56"/>
      <c r="R315" s="56"/>
      <c r="S315" s="57"/>
      <c r="T315" s="56"/>
      <c r="U315" s="56"/>
      <c r="V315" s="56"/>
      <c r="W315" s="57"/>
      <c r="X315" s="51"/>
      <c r="Y315" s="51"/>
      <c r="Z315" s="51"/>
      <c r="AA315" s="51"/>
      <c r="AB315" s="51"/>
      <c r="AC315" s="51"/>
    </row>
    <row r="316" ht="15.75" customHeight="1">
      <c r="A316" s="56"/>
      <c r="B316" s="57"/>
      <c r="C316" s="58"/>
      <c r="D316" s="56"/>
      <c r="E316" s="56"/>
      <c r="F316" s="56"/>
      <c r="G316" s="56"/>
      <c r="H316" s="56"/>
      <c r="I316" s="56"/>
      <c r="J316" s="56"/>
      <c r="K316" s="56"/>
      <c r="L316" s="56"/>
      <c r="M316" s="56"/>
      <c r="N316" s="56"/>
      <c r="O316" s="59"/>
      <c r="P316" s="56"/>
      <c r="Q316" s="56"/>
      <c r="R316" s="56"/>
      <c r="S316" s="57"/>
      <c r="T316" s="56"/>
      <c r="U316" s="56"/>
      <c r="V316" s="56"/>
      <c r="W316" s="57"/>
      <c r="X316" s="51"/>
      <c r="Y316" s="51"/>
      <c r="Z316" s="51"/>
      <c r="AA316" s="51"/>
      <c r="AB316" s="51"/>
      <c r="AC316" s="51"/>
    </row>
    <row r="317" ht="15.75" customHeight="1">
      <c r="A317" s="56"/>
      <c r="B317" s="57"/>
      <c r="C317" s="58"/>
      <c r="D317" s="56"/>
      <c r="E317" s="56"/>
      <c r="F317" s="56"/>
      <c r="G317" s="56"/>
      <c r="H317" s="56"/>
      <c r="I317" s="56"/>
      <c r="J317" s="56"/>
      <c r="K317" s="56"/>
      <c r="L317" s="56"/>
      <c r="M317" s="56"/>
      <c r="N317" s="56"/>
      <c r="O317" s="59"/>
      <c r="P317" s="56"/>
      <c r="Q317" s="56"/>
      <c r="R317" s="56"/>
      <c r="S317" s="57"/>
      <c r="T317" s="56"/>
      <c r="U317" s="56"/>
      <c r="V317" s="56"/>
      <c r="W317" s="57"/>
      <c r="X317" s="51"/>
      <c r="Y317" s="51"/>
      <c r="Z317" s="51"/>
      <c r="AA317" s="51"/>
      <c r="AB317" s="51"/>
      <c r="AC317" s="51"/>
    </row>
    <row r="318" ht="15.75" customHeight="1">
      <c r="A318" s="56"/>
      <c r="B318" s="57"/>
      <c r="C318" s="58"/>
      <c r="D318" s="56"/>
      <c r="E318" s="56"/>
      <c r="F318" s="56"/>
      <c r="G318" s="56"/>
      <c r="H318" s="56"/>
      <c r="I318" s="56"/>
      <c r="J318" s="56"/>
      <c r="K318" s="56"/>
      <c r="L318" s="56"/>
      <c r="M318" s="56"/>
      <c r="N318" s="56"/>
      <c r="O318" s="59"/>
      <c r="P318" s="56"/>
      <c r="Q318" s="56"/>
      <c r="R318" s="56"/>
      <c r="S318" s="57"/>
      <c r="T318" s="56"/>
      <c r="U318" s="56"/>
      <c r="V318" s="56"/>
      <c r="W318" s="57"/>
      <c r="X318" s="51"/>
      <c r="Y318" s="51"/>
      <c r="Z318" s="51"/>
      <c r="AA318" s="51"/>
      <c r="AB318" s="51"/>
      <c r="AC318" s="51"/>
    </row>
    <row r="319" ht="15.75" customHeight="1">
      <c r="A319" s="56"/>
      <c r="B319" s="57"/>
      <c r="C319" s="58"/>
      <c r="D319" s="56"/>
      <c r="E319" s="56"/>
      <c r="F319" s="56"/>
      <c r="G319" s="56"/>
      <c r="H319" s="56"/>
      <c r="I319" s="56"/>
      <c r="J319" s="56"/>
      <c r="K319" s="56"/>
      <c r="L319" s="56"/>
      <c r="M319" s="56"/>
      <c r="N319" s="56"/>
      <c r="O319" s="59"/>
      <c r="P319" s="56"/>
      <c r="Q319" s="56"/>
      <c r="R319" s="56"/>
      <c r="S319" s="57"/>
      <c r="T319" s="56"/>
      <c r="U319" s="56"/>
      <c r="V319" s="56"/>
      <c r="W319" s="57"/>
      <c r="X319" s="51"/>
      <c r="Y319" s="51"/>
      <c r="Z319" s="51"/>
      <c r="AA319" s="51"/>
      <c r="AB319" s="51"/>
      <c r="AC319" s="51"/>
    </row>
    <row r="320" ht="15.75" customHeight="1">
      <c r="A320" s="56"/>
      <c r="B320" s="57"/>
      <c r="C320" s="58"/>
      <c r="D320" s="56"/>
      <c r="E320" s="56"/>
      <c r="F320" s="56"/>
      <c r="G320" s="56"/>
      <c r="H320" s="56"/>
      <c r="I320" s="56"/>
      <c r="J320" s="56"/>
      <c r="K320" s="56"/>
      <c r="L320" s="56"/>
      <c r="M320" s="56"/>
      <c r="N320" s="56"/>
      <c r="O320" s="59"/>
      <c r="P320" s="56"/>
      <c r="Q320" s="56"/>
      <c r="R320" s="56"/>
      <c r="S320" s="57"/>
      <c r="T320" s="56"/>
      <c r="U320" s="56"/>
      <c r="V320" s="56"/>
      <c r="W320" s="57"/>
      <c r="X320" s="51"/>
      <c r="Y320" s="51"/>
      <c r="Z320" s="51"/>
      <c r="AA320" s="51"/>
      <c r="AB320" s="51"/>
      <c r="AC320" s="51"/>
    </row>
    <row r="321" ht="15.75" customHeight="1">
      <c r="A321" s="56"/>
      <c r="B321" s="57"/>
      <c r="C321" s="58"/>
      <c r="D321" s="56"/>
      <c r="E321" s="56"/>
      <c r="F321" s="56"/>
      <c r="G321" s="56"/>
      <c r="H321" s="56"/>
      <c r="I321" s="56"/>
      <c r="J321" s="56"/>
      <c r="K321" s="56"/>
      <c r="L321" s="56"/>
      <c r="M321" s="56"/>
      <c r="N321" s="56"/>
      <c r="O321" s="59"/>
      <c r="P321" s="56"/>
      <c r="Q321" s="56"/>
      <c r="R321" s="56"/>
      <c r="S321" s="57"/>
      <c r="T321" s="56"/>
      <c r="U321" s="56"/>
      <c r="V321" s="56"/>
      <c r="W321" s="57"/>
      <c r="X321" s="51"/>
      <c r="Y321" s="51"/>
      <c r="Z321" s="51"/>
      <c r="AA321" s="51"/>
      <c r="AB321" s="51"/>
      <c r="AC321" s="51"/>
    </row>
    <row r="322" ht="15.75" customHeight="1">
      <c r="A322" s="56"/>
      <c r="B322" s="57"/>
      <c r="C322" s="58"/>
      <c r="D322" s="56"/>
      <c r="E322" s="56"/>
      <c r="F322" s="56"/>
      <c r="G322" s="56"/>
      <c r="H322" s="56"/>
      <c r="I322" s="56"/>
      <c r="J322" s="56"/>
      <c r="K322" s="56"/>
      <c r="L322" s="56"/>
      <c r="M322" s="56"/>
      <c r="N322" s="56"/>
      <c r="O322" s="59"/>
      <c r="P322" s="56"/>
      <c r="Q322" s="56"/>
      <c r="R322" s="56"/>
      <c r="S322" s="57"/>
      <c r="T322" s="56"/>
      <c r="U322" s="56"/>
      <c r="V322" s="56"/>
      <c r="W322" s="57"/>
      <c r="X322" s="51"/>
      <c r="Y322" s="51"/>
      <c r="Z322" s="51"/>
      <c r="AA322" s="51"/>
      <c r="AB322" s="51"/>
      <c r="AC322" s="51"/>
    </row>
    <row r="323" ht="15.75" customHeight="1">
      <c r="A323" s="56"/>
      <c r="B323" s="57"/>
      <c r="C323" s="58"/>
      <c r="D323" s="56"/>
      <c r="E323" s="56"/>
      <c r="F323" s="56"/>
      <c r="G323" s="56"/>
      <c r="H323" s="56"/>
      <c r="I323" s="56"/>
      <c r="J323" s="56"/>
      <c r="K323" s="56"/>
      <c r="L323" s="56"/>
      <c r="M323" s="56"/>
      <c r="N323" s="56"/>
      <c r="O323" s="59"/>
      <c r="P323" s="56"/>
      <c r="Q323" s="56"/>
      <c r="R323" s="56"/>
      <c r="S323" s="57"/>
      <c r="T323" s="56"/>
      <c r="U323" s="56"/>
      <c r="V323" s="56"/>
      <c r="W323" s="57"/>
      <c r="X323" s="51"/>
      <c r="Y323" s="51"/>
      <c r="Z323" s="51"/>
      <c r="AA323" s="51"/>
      <c r="AB323" s="51"/>
      <c r="AC323" s="51"/>
    </row>
    <row r="324" ht="15.75" customHeight="1">
      <c r="A324" s="56"/>
      <c r="B324" s="57"/>
      <c r="C324" s="58"/>
      <c r="D324" s="56"/>
      <c r="E324" s="56"/>
      <c r="F324" s="56"/>
      <c r="G324" s="56"/>
      <c r="H324" s="56"/>
      <c r="I324" s="56"/>
      <c r="J324" s="56"/>
      <c r="K324" s="56"/>
      <c r="L324" s="56"/>
      <c r="M324" s="56"/>
      <c r="N324" s="56"/>
      <c r="O324" s="59"/>
      <c r="P324" s="56"/>
      <c r="Q324" s="56"/>
      <c r="R324" s="56"/>
      <c r="S324" s="57"/>
      <c r="T324" s="56"/>
      <c r="U324" s="56"/>
      <c r="V324" s="56"/>
      <c r="W324" s="57"/>
      <c r="X324" s="51"/>
      <c r="Y324" s="51"/>
      <c r="Z324" s="51"/>
      <c r="AA324" s="51"/>
      <c r="AB324" s="51"/>
      <c r="AC324" s="51"/>
    </row>
    <row r="325" ht="15.75" customHeight="1">
      <c r="A325" s="56"/>
      <c r="B325" s="57"/>
      <c r="C325" s="58"/>
      <c r="D325" s="56"/>
      <c r="E325" s="56"/>
      <c r="F325" s="56"/>
      <c r="G325" s="56"/>
      <c r="H325" s="56"/>
      <c r="I325" s="56"/>
      <c r="J325" s="56"/>
      <c r="K325" s="56"/>
      <c r="L325" s="56"/>
      <c r="M325" s="56"/>
      <c r="N325" s="56"/>
      <c r="O325" s="59"/>
      <c r="P325" s="56"/>
      <c r="Q325" s="56"/>
      <c r="R325" s="56"/>
      <c r="S325" s="57"/>
      <c r="T325" s="56"/>
      <c r="U325" s="56"/>
      <c r="V325" s="56"/>
      <c r="W325" s="57"/>
      <c r="X325" s="51"/>
      <c r="Y325" s="51"/>
      <c r="Z325" s="51"/>
      <c r="AA325" s="51"/>
      <c r="AB325" s="51"/>
      <c r="AC325" s="51"/>
    </row>
    <row r="326" ht="15.75" customHeight="1">
      <c r="A326" s="56"/>
      <c r="B326" s="57"/>
      <c r="C326" s="58"/>
      <c r="D326" s="56"/>
      <c r="E326" s="56"/>
      <c r="F326" s="56"/>
      <c r="G326" s="56"/>
      <c r="H326" s="56"/>
      <c r="I326" s="56"/>
      <c r="J326" s="56"/>
      <c r="K326" s="56"/>
      <c r="L326" s="56"/>
      <c r="M326" s="56"/>
      <c r="N326" s="56"/>
      <c r="O326" s="59"/>
      <c r="P326" s="56"/>
      <c r="Q326" s="56"/>
      <c r="R326" s="56"/>
      <c r="S326" s="57"/>
      <c r="T326" s="56"/>
      <c r="U326" s="56"/>
      <c r="V326" s="56"/>
      <c r="W326" s="57"/>
      <c r="X326" s="51"/>
      <c r="Y326" s="51"/>
      <c r="Z326" s="51"/>
      <c r="AA326" s="51"/>
      <c r="AB326" s="51"/>
      <c r="AC326" s="51"/>
    </row>
    <row r="327" ht="15.75" customHeight="1">
      <c r="A327" s="56"/>
      <c r="B327" s="57"/>
      <c r="C327" s="58"/>
      <c r="D327" s="56"/>
      <c r="E327" s="56"/>
      <c r="F327" s="56"/>
      <c r="G327" s="56"/>
      <c r="H327" s="56"/>
      <c r="I327" s="56"/>
      <c r="J327" s="56"/>
      <c r="K327" s="56"/>
      <c r="L327" s="56"/>
      <c r="M327" s="56"/>
      <c r="N327" s="56"/>
      <c r="O327" s="59"/>
      <c r="P327" s="56"/>
      <c r="Q327" s="56"/>
      <c r="R327" s="56"/>
      <c r="S327" s="57"/>
      <c r="T327" s="56"/>
      <c r="U327" s="56"/>
      <c r="V327" s="56"/>
      <c r="W327" s="57"/>
      <c r="X327" s="51"/>
      <c r="Y327" s="51"/>
      <c r="Z327" s="51"/>
      <c r="AA327" s="51"/>
      <c r="AB327" s="51"/>
      <c r="AC327" s="51"/>
    </row>
    <row r="328" ht="15.75" customHeight="1">
      <c r="A328" s="56"/>
      <c r="B328" s="57"/>
      <c r="C328" s="58"/>
      <c r="D328" s="56"/>
      <c r="E328" s="56"/>
      <c r="F328" s="56"/>
      <c r="G328" s="56"/>
      <c r="H328" s="56"/>
      <c r="I328" s="56"/>
      <c r="J328" s="56"/>
      <c r="K328" s="56"/>
      <c r="L328" s="56"/>
      <c r="M328" s="56"/>
      <c r="N328" s="56"/>
      <c r="O328" s="59"/>
      <c r="P328" s="56"/>
      <c r="Q328" s="56"/>
      <c r="R328" s="56"/>
      <c r="S328" s="57"/>
      <c r="T328" s="56"/>
      <c r="U328" s="56"/>
      <c r="V328" s="56"/>
      <c r="W328" s="57"/>
      <c r="X328" s="51"/>
      <c r="Y328" s="51"/>
      <c r="Z328" s="51"/>
      <c r="AA328" s="51"/>
      <c r="AB328" s="51"/>
      <c r="AC328" s="51"/>
    </row>
    <row r="329" ht="15.75" customHeight="1">
      <c r="A329" s="56"/>
      <c r="B329" s="57"/>
      <c r="C329" s="58"/>
      <c r="D329" s="56"/>
      <c r="E329" s="56"/>
      <c r="F329" s="56"/>
      <c r="G329" s="56"/>
      <c r="H329" s="56"/>
      <c r="I329" s="56"/>
      <c r="J329" s="56"/>
      <c r="K329" s="56"/>
      <c r="L329" s="56"/>
      <c r="M329" s="56"/>
      <c r="N329" s="56"/>
      <c r="O329" s="59"/>
      <c r="P329" s="56"/>
      <c r="Q329" s="56"/>
      <c r="R329" s="56"/>
      <c r="S329" s="57"/>
      <c r="T329" s="56"/>
      <c r="U329" s="56"/>
      <c r="V329" s="56"/>
      <c r="W329" s="57"/>
      <c r="X329" s="51"/>
      <c r="Y329" s="51"/>
      <c r="Z329" s="51"/>
      <c r="AA329" s="51"/>
      <c r="AB329" s="51"/>
      <c r="AC329" s="51"/>
    </row>
    <row r="330" ht="15.75" customHeight="1">
      <c r="A330" s="56"/>
      <c r="B330" s="57"/>
      <c r="C330" s="58"/>
      <c r="D330" s="56"/>
      <c r="E330" s="56"/>
      <c r="F330" s="56"/>
      <c r="G330" s="56"/>
      <c r="H330" s="56"/>
      <c r="I330" s="56"/>
      <c r="J330" s="56"/>
      <c r="K330" s="56"/>
      <c r="L330" s="56"/>
      <c r="M330" s="56"/>
      <c r="N330" s="56"/>
      <c r="O330" s="59"/>
      <c r="P330" s="56"/>
      <c r="Q330" s="56"/>
      <c r="R330" s="56"/>
      <c r="S330" s="57"/>
      <c r="T330" s="56"/>
      <c r="U330" s="56"/>
      <c r="V330" s="56"/>
      <c r="W330" s="57"/>
      <c r="X330" s="51"/>
      <c r="Y330" s="51"/>
      <c r="Z330" s="51"/>
      <c r="AA330" s="51"/>
      <c r="AB330" s="51"/>
      <c r="AC330" s="51"/>
    </row>
    <row r="331" ht="15.75" customHeight="1">
      <c r="A331" s="56"/>
      <c r="B331" s="57"/>
      <c r="C331" s="58"/>
      <c r="D331" s="56"/>
      <c r="E331" s="56"/>
      <c r="F331" s="56"/>
      <c r="G331" s="56"/>
      <c r="H331" s="56"/>
      <c r="I331" s="56"/>
      <c r="J331" s="56"/>
      <c r="K331" s="56"/>
      <c r="L331" s="56"/>
      <c r="M331" s="56"/>
      <c r="N331" s="56"/>
      <c r="O331" s="59"/>
      <c r="P331" s="56"/>
      <c r="Q331" s="56"/>
      <c r="R331" s="56"/>
      <c r="S331" s="57"/>
      <c r="T331" s="56"/>
      <c r="U331" s="56"/>
      <c r="V331" s="56"/>
      <c r="W331" s="57"/>
      <c r="X331" s="51"/>
      <c r="Y331" s="51"/>
      <c r="Z331" s="51"/>
      <c r="AA331" s="51"/>
      <c r="AB331" s="51"/>
      <c r="AC331" s="51"/>
    </row>
    <row r="332" ht="15.75" customHeight="1">
      <c r="A332" s="56"/>
      <c r="B332" s="57"/>
      <c r="C332" s="58"/>
      <c r="D332" s="56"/>
      <c r="E332" s="56"/>
      <c r="F332" s="56"/>
      <c r="G332" s="56"/>
      <c r="H332" s="56"/>
      <c r="I332" s="56"/>
      <c r="J332" s="56"/>
      <c r="K332" s="56"/>
      <c r="L332" s="56"/>
      <c r="M332" s="56"/>
      <c r="N332" s="56"/>
      <c r="O332" s="59"/>
      <c r="P332" s="56"/>
      <c r="Q332" s="56"/>
      <c r="R332" s="56"/>
      <c r="S332" s="57"/>
      <c r="T332" s="56"/>
      <c r="U332" s="56"/>
      <c r="V332" s="56"/>
      <c r="W332" s="57"/>
      <c r="X332" s="51"/>
      <c r="Y332" s="51"/>
      <c r="Z332" s="51"/>
      <c r="AA332" s="51"/>
      <c r="AB332" s="51"/>
      <c r="AC332" s="51"/>
    </row>
    <row r="333" ht="15.75" customHeight="1">
      <c r="A333" s="56"/>
      <c r="B333" s="57"/>
      <c r="C333" s="58"/>
      <c r="D333" s="56"/>
      <c r="E333" s="56"/>
      <c r="F333" s="56"/>
      <c r="G333" s="56"/>
      <c r="H333" s="56"/>
      <c r="I333" s="56"/>
      <c r="J333" s="56"/>
      <c r="K333" s="56"/>
      <c r="L333" s="56"/>
      <c r="M333" s="56"/>
      <c r="N333" s="56"/>
      <c r="O333" s="59"/>
      <c r="P333" s="56"/>
      <c r="Q333" s="56"/>
      <c r="R333" s="56"/>
      <c r="S333" s="57"/>
      <c r="T333" s="56"/>
      <c r="U333" s="56"/>
      <c r="V333" s="56"/>
      <c r="W333" s="57"/>
      <c r="X333" s="51"/>
      <c r="Y333" s="51"/>
      <c r="Z333" s="51"/>
      <c r="AA333" s="51"/>
      <c r="AB333" s="51"/>
      <c r="AC333" s="51"/>
    </row>
    <row r="334" ht="15.75" customHeight="1">
      <c r="A334" s="56"/>
      <c r="B334" s="57"/>
      <c r="C334" s="58"/>
      <c r="D334" s="56"/>
      <c r="E334" s="56"/>
      <c r="F334" s="56"/>
      <c r="G334" s="56"/>
      <c r="H334" s="56"/>
      <c r="I334" s="56"/>
      <c r="J334" s="56"/>
      <c r="K334" s="56"/>
      <c r="L334" s="56"/>
      <c r="M334" s="56"/>
      <c r="N334" s="56"/>
      <c r="O334" s="59"/>
      <c r="P334" s="56"/>
      <c r="Q334" s="56"/>
      <c r="R334" s="56"/>
      <c r="S334" s="57"/>
      <c r="T334" s="56"/>
      <c r="U334" s="56"/>
      <c r="V334" s="56"/>
      <c r="W334" s="57"/>
      <c r="X334" s="51"/>
      <c r="Y334" s="51"/>
      <c r="Z334" s="51"/>
      <c r="AA334" s="51"/>
      <c r="AB334" s="51"/>
      <c r="AC334" s="51"/>
    </row>
    <row r="335" ht="15.75" customHeight="1">
      <c r="A335" s="56"/>
      <c r="B335" s="57"/>
      <c r="C335" s="58"/>
      <c r="D335" s="56"/>
      <c r="E335" s="56"/>
      <c r="F335" s="56"/>
      <c r="G335" s="56"/>
      <c r="H335" s="56"/>
      <c r="I335" s="56"/>
      <c r="J335" s="56"/>
      <c r="K335" s="56"/>
      <c r="L335" s="56"/>
      <c r="M335" s="56"/>
      <c r="N335" s="56"/>
      <c r="O335" s="59"/>
      <c r="P335" s="56"/>
      <c r="Q335" s="56"/>
      <c r="R335" s="56"/>
      <c r="S335" s="57"/>
      <c r="T335" s="56"/>
      <c r="U335" s="56"/>
      <c r="V335" s="56"/>
      <c r="W335" s="57"/>
      <c r="X335" s="51"/>
      <c r="Y335" s="51"/>
      <c r="Z335" s="51"/>
      <c r="AA335" s="51"/>
      <c r="AB335" s="51"/>
      <c r="AC335" s="51"/>
    </row>
    <row r="336" ht="15.75" customHeight="1">
      <c r="A336" s="56"/>
      <c r="B336" s="57"/>
      <c r="C336" s="58"/>
      <c r="D336" s="56"/>
      <c r="E336" s="56"/>
      <c r="F336" s="56"/>
      <c r="G336" s="56"/>
      <c r="H336" s="56"/>
      <c r="I336" s="56"/>
      <c r="J336" s="56"/>
      <c r="K336" s="56"/>
      <c r="L336" s="56"/>
      <c r="M336" s="56"/>
      <c r="N336" s="56"/>
      <c r="O336" s="59"/>
      <c r="P336" s="56"/>
      <c r="Q336" s="56"/>
      <c r="R336" s="56"/>
      <c r="S336" s="57"/>
      <c r="T336" s="56"/>
      <c r="U336" s="56"/>
      <c r="V336" s="56"/>
      <c r="W336" s="57"/>
      <c r="X336" s="51"/>
      <c r="Y336" s="51"/>
      <c r="Z336" s="51"/>
      <c r="AA336" s="51"/>
      <c r="AB336" s="51"/>
      <c r="AC336" s="51"/>
    </row>
    <row r="337" ht="15.75" customHeight="1">
      <c r="A337" s="56"/>
      <c r="B337" s="57"/>
      <c r="C337" s="58"/>
      <c r="D337" s="56"/>
      <c r="E337" s="56"/>
      <c r="F337" s="56"/>
      <c r="G337" s="56"/>
      <c r="H337" s="56"/>
      <c r="I337" s="56"/>
      <c r="J337" s="56"/>
      <c r="K337" s="56"/>
      <c r="L337" s="56"/>
      <c r="M337" s="56"/>
      <c r="N337" s="56"/>
      <c r="O337" s="59"/>
      <c r="P337" s="56"/>
      <c r="Q337" s="56"/>
      <c r="R337" s="56"/>
      <c r="S337" s="57"/>
      <c r="T337" s="56"/>
      <c r="U337" s="56"/>
      <c r="V337" s="56"/>
      <c r="W337" s="57"/>
      <c r="X337" s="51"/>
      <c r="Y337" s="51"/>
      <c r="Z337" s="51"/>
      <c r="AA337" s="51"/>
      <c r="AB337" s="51"/>
      <c r="AC337" s="51"/>
    </row>
    <row r="338" ht="15.75" customHeight="1">
      <c r="A338" s="56"/>
      <c r="B338" s="57"/>
      <c r="C338" s="58"/>
      <c r="D338" s="56"/>
      <c r="E338" s="56"/>
      <c r="F338" s="56"/>
      <c r="G338" s="56"/>
      <c r="H338" s="56"/>
      <c r="I338" s="56"/>
      <c r="J338" s="56"/>
      <c r="K338" s="56"/>
      <c r="L338" s="56"/>
      <c r="M338" s="56"/>
      <c r="N338" s="56"/>
      <c r="O338" s="59"/>
      <c r="P338" s="56"/>
      <c r="Q338" s="56"/>
      <c r="R338" s="56"/>
      <c r="S338" s="57"/>
      <c r="T338" s="56"/>
      <c r="U338" s="56"/>
      <c r="V338" s="56"/>
      <c r="W338" s="57"/>
      <c r="X338" s="51"/>
      <c r="Y338" s="51"/>
      <c r="Z338" s="51"/>
      <c r="AA338" s="51"/>
      <c r="AB338" s="51"/>
      <c r="AC338" s="51"/>
    </row>
    <row r="339" ht="15.75" customHeight="1">
      <c r="A339" s="56"/>
      <c r="B339" s="57"/>
      <c r="C339" s="58"/>
      <c r="D339" s="56"/>
      <c r="E339" s="56"/>
      <c r="F339" s="56"/>
      <c r="G339" s="56"/>
      <c r="H339" s="56"/>
      <c r="I339" s="56"/>
      <c r="J339" s="56"/>
      <c r="K339" s="56"/>
      <c r="L339" s="56"/>
      <c r="M339" s="56"/>
      <c r="N339" s="56"/>
      <c r="O339" s="59"/>
      <c r="P339" s="56"/>
      <c r="Q339" s="56"/>
      <c r="R339" s="56"/>
      <c r="S339" s="57"/>
      <c r="T339" s="56"/>
      <c r="U339" s="56"/>
      <c r="V339" s="56"/>
      <c r="W339" s="57"/>
      <c r="X339" s="51"/>
      <c r="Y339" s="51"/>
      <c r="Z339" s="51"/>
      <c r="AA339" s="51"/>
      <c r="AB339" s="51"/>
      <c r="AC339" s="51"/>
    </row>
    <row r="340" ht="15.75" customHeight="1">
      <c r="A340" s="56"/>
      <c r="B340" s="57"/>
      <c r="C340" s="58"/>
      <c r="D340" s="56"/>
      <c r="E340" s="56"/>
      <c r="F340" s="56"/>
      <c r="G340" s="56"/>
      <c r="H340" s="56"/>
      <c r="I340" s="56"/>
      <c r="J340" s="56"/>
      <c r="K340" s="56"/>
      <c r="L340" s="56"/>
      <c r="M340" s="56"/>
      <c r="N340" s="56"/>
      <c r="O340" s="59"/>
      <c r="P340" s="56"/>
      <c r="Q340" s="56"/>
      <c r="R340" s="56"/>
      <c r="S340" s="57"/>
      <c r="T340" s="56"/>
      <c r="U340" s="56"/>
      <c r="V340" s="56"/>
      <c r="W340" s="57"/>
      <c r="X340" s="51"/>
      <c r="Y340" s="51"/>
      <c r="Z340" s="51"/>
      <c r="AA340" s="51"/>
      <c r="AB340" s="51"/>
      <c r="AC340" s="51"/>
    </row>
    <row r="341" ht="15.75" customHeight="1">
      <c r="A341" s="56"/>
      <c r="B341" s="57"/>
      <c r="C341" s="58"/>
      <c r="D341" s="56"/>
      <c r="E341" s="56"/>
      <c r="F341" s="56"/>
      <c r="G341" s="56"/>
      <c r="H341" s="56"/>
      <c r="I341" s="56"/>
      <c r="J341" s="56"/>
      <c r="K341" s="56"/>
      <c r="L341" s="56"/>
      <c r="M341" s="56"/>
      <c r="N341" s="56"/>
      <c r="O341" s="59"/>
      <c r="P341" s="56"/>
      <c r="Q341" s="56"/>
      <c r="R341" s="56"/>
      <c r="S341" s="57"/>
      <c r="T341" s="56"/>
      <c r="U341" s="56"/>
      <c r="V341" s="56"/>
      <c r="W341" s="57"/>
      <c r="X341" s="51"/>
      <c r="Y341" s="51"/>
      <c r="Z341" s="51"/>
      <c r="AA341" s="51"/>
      <c r="AB341" s="51"/>
      <c r="AC341" s="51"/>
    </row>
    <row r="342" ht="15.75" customHeight="1">
      <c r="A342" s="56"/>
      <c r="B342" s="57"/>
      <c r="C342" s="58"/>
      <c r="D342" s="56"/>
      <c r="E342" s="56"/>
      <c r="F342" s="56"/>
      <c r="G342" s="56"/>
      <c r="H342" s="56"/>
      <c r="I342" s="56"/>
      <c r="J342" s="56"/>
      <c r="K342" s="56"/>
      <c r="L342" s="56"/>
      <c r="M342" s="56"/>
      <c r="N342" s="56"/>
      <c r="O342" s="59"/>
      <c r="P342" s="56"/>
      <c r="Q342" s="56"/>
      <c r="R342" s="56"/>
      <c r="S342" s="57"/>
      <c r="T342" s="56"/>
      <c r="U342" s="56"/>
      <c r="V342" s="56"/>
      <c r="W342" s="57"/>
      <c r="X342" s="51"/>
      <c r="Y342" s="51"/>
      <c r="Z342" s="51"/>
      <c r="AA342" s="51"/>
      <c r="AB342" s="51"/>
      <c r="AC342" s="51"/>
    </row>
    <row r="343" ht="15.75" customHeight="1">
      <c r="A343" s="56"/>
      <c r="B343" s="57"/>
      <c r="C343" s="58"/>
      <c r="D343" s="56"/>
      <c r="E343" s="56"/>
      <c r="F343" s="56"/>
      <c r="G343" s="56"/>
      <c r="H343" s="56"/>
      <c r="I343" s="56"/>
      <c r="J343" s="56"/>
      <c r="K343" s="56"/>
      <c r="L343" s="56"/>
      <c r="M343" s="56"/>
      <c r="N343" s="56"/>
      <c r="O343" s="59"/>
      <c r="P343" s="56"/>
      <c r="Q343" s="56"/>
      <c r="R343" s="56"/>
      <c r="S343" s="57"/>
      <c r="T343" s="56"/>
      <c r="U343" s="56"/>
      <c r="V343" s="56"/>
      <c r="W343" s="57"/>
      <c r="X343" s="51"/>
      <c r="Y343" s="51"/>
      <c r="Z343" s="51"/>
      <c r="AA343" s="51"/>
      <c r="AB343" s="51"/>
      <c r="AC343" s="51"/>
    </row>
    <row r="344" ht="15.75" customHeight="1">
      <c r="A344" s="56"/>
      <c r="B344" s="57"/>
      <c r="C344" s="58"/>
      <c r="D344" s="56"/>
      <c r="E344" s="56"/>
      <c r="F344" s="56"/>
      <c r="G344" s="56"/>
      <c r="H344" s="56"/>
      <c r="I344" s="56"/>
      <c r="J344" s="56"/>
      <c r="K344" s="56"/>
      <c r="L344" s="56"/>
      <c r="M344" s="56"/>
      <c r="N344" s="56"/>
      <c r="O344" s="59"/>
      <c r="P344" s="56"/>
      <c r="Q344" s="56"/>
      <c r="R344" s="56"/>
      <c r="S344" s="57"/>
      <c r="T344" s="56"/>
      <c r="U344" s="56"/>
      <c r="V344" s="56"/>
      <c r="W344" s="57"/>
      <c r="X344" s="51"/>
      <c r="Y344" s="51"/>
      <c r="Z344" s="51"/>
      <c r="AA344" s="51"/>
      <c r="AB344" s="51"/>
      <c r="AC344" s="51"/>
    </row>
    <row r="345" ht="15.75" customHeight="1">
      <c r="A345" s="56"/>
      <c r="B345" s="57"/>
      <c r="C345" s="58"/>
      <c r="D345" s="56"/>
      <c r="E345" s="56"/>
      <c r="F345" s="56"/>
      <c r="G345" s="56"/>
      <c r="H345" s="56"/>
      <c r="I345" s="56"/>
      <c r="J345" s="56"/>
      <c r="K345" s="56"/>
      <c r="L345" s="56"/>
      <c r="M345" s="56"/>
      <c r="N345" s="56"/>
      <c r="O345" s="59"/>
      <c r="P345" s="56"/>
      <c r="Q345" s="56"/>
      <c r="R345" s="56"/>
      <c r="S345" s="57"/>
      <c r="T345" s="56"/>
      <c r="U345" s="56"/>
      <c r="V345" s="56"/>
      <c r="W345" s="57"/>
      <c r="X345" s="51"/>
      <c r="Y345" s="51"/>
      <c r="Z345" s="51"/>
      <c r="AA345" s="51"/>
      <c r="AB345" s="51"/>
      <c r="AC345" s="51"/>
    </row>
    <row r="346" ht="15.75" customHeight="1">
      <c r="A346" s="56"/>
      <c r="B346" s="57"/>
      <c r="C346" s="58"/>
      <c r="D346" s="56"/>
      <c r="E346" s="56"/>
      <c r="F346" s="56"/>
      <c r="G346" s="56"/>
      <c r="H346" s="56"/>
      <c r="I346" s="56"/>
      <c r="J346" s="56"/>
      <c r="K346" s="56"/>
      <c r="L346" s="56"/>
      <c r="M346" s="56"/>
      <c r="N346" s="56"/>
      <c r="O346" s="59"/>
      <c r="P346" s="56"/>
      <c r="Q346" s="56"/>
      <c r="R346" s="56"/>
      <c r="S346" s="57"/>
      <c r="T346" s="56"/>
      <c r="U346" s="56"/>
      <c r="V346" s="56"/>
      <c r="W346" s="57"/>
      <c r="X346" s="51"/>
      <c r="Y346" s="51"/>
      <c r="Z346" s="51"/>
      <c r="AA346" s="51"/>
      <c r="AB346" s="51"/>
      <c r="AC346" s="51"/>
    </row>
    <row r="347" ht="15.75" customHeight="1">
      <c r="A347" s="56"/>
      <c r="B347" s="57"/>
      <c r="C347" s="58"/>
      <c r="D347" s="56"/>
      <c r="E347" s="56"/>
      <c r="F347" s="56"/>
      <c r="G347" s="56"/>
      <c r="H347" s="56"/>
      <c r="I347" s="56"/>
      <c r="J347" s="56"/>
      <c r="K347" s="56"/>
      <c r="L347" s="56"/>
      <c r="M347" s="56"/>
      <c r="N347" s="56"/>
      <c r="O347" s="59"/>
      <c r="P347" s="56"/>
      <c r="Q347" s="56"/>
      <c r="R347" s="56"/>
      <c r="S347" s="57"/>
      <c r="T347" s="56"/>
      <c r="U347" s="56"/>
      <c r="V347" s="56"/>
      <c r="W347" s="57"/>
      <c r="X347" s="51"/>
      <c r="Y347" s="51"/>
      <c r="Z347" s="51"/>
      <c r="AA347" s="51"/>
      <c r="AB347" s="51"/>
      <c r="AC347" s="51"/>
    </row>
    <row r="348" ht="15.75" customHeight="1">
      <c r="A348" s="56"/>
      <c r="B348" s="57"/>
      <c r="C348" s="58"/>
      <c r="D348" s="56"/>
      <c r="E348" s="56"/>
      <c r="F348" s="56"/>
      <c r="G348" s="56"/>
      <c r="H348" s="56"/>
      <c r="I348" s="56"/>
      <c r="J348" s="56"/>
      <c r="K348" s="56"/>
      <c r="L348" s="56"/>
      <c r="M348" s="56"/>
      <c r="N348" s="56"/>
      <c r="O348" s="59"/>
      <c r="P348" s="56"/>
      <c r="Q348" s="56"/>
      <c r="R348" s="56"/>
      <c r="S348" s="57"/>
      <c r="T348" s="56"/>
      <c r="U348" s="56"/>
      <c r="V348" s="56"/>
      <c r="W348" s="57"/>
      <c r="X348" s="51"/>
      <c r="Y348" s="51"/>
      <c r="Z348" s="51"/>
      <c r="AA348" s="51"/>
      <c r="AB348" s="51"/>
      <c r="AC348" s="51"/>
    </row>
    <row r="349" ht="15.75" customHeight="1">
      <c r="A349" s="56"/>
      <c r="B349" s="57"/>
      <c r="C349" s="58"/>
      <c r="D349" s="56"/>
      <c r="E349" s="56"/>
      <c r="F349" s="56"/>
      <c r="G349" s="56"/>
      <c r="H349" s="56"/>
      <c r="I349" s="56"/>
      <c r="J349" s="56"/>
      <c r="K349" s="56"/>
      <c r="L349" s="56"/>
      <c r="M349" s="56"/>
      <c r="N349" s="56"/>
      <c r="O349" s="59"/>
      <c r="P349" s="56"/>
      <c r="Q349" s="56"/>
      <c r="R349" s="56"/>
      <c r="S349" s="57"/>
      <c r="T349" s="56"/>
      <c r="U349" s="56"/>
      <c r="V349" s="56"/>
      <c r="W349" s="57"/>
      <c r="X349" s="51"/>
      <c r="Y349" s="51"/>
      <c r="Z349" s="51"/>
      <c r="AA349" s="51"/>
      <c r="AB349" s="51"/>
      <c r="AC349" s="51"/>
    </row>
    <row r="350" ht="15.75" customHeight="1">
      <c r="A350" s="56"/>
      <c r="B350" s="57"/>
      <c r="C350" s="58"/>
      <c r="D350" s="56"/>
      <c r="E350" s="56"/>
      <c r="F350" s="56"/>
      <c r="G350" s="56"/>
      <c r="H350" s="56"/>
      <c r="I350" s="56"/>
      <c r="J350" s="56"/>
      <c r="K350" s="56"/>
      <c r="L350" s="56"/>
      <c r="M350" s="56"/>
      <c r="N350" s="56"/>
      <c r="O350" s="59"/>
      <c r="P350" s="56"/>
      <c r="Q350" s="56"/>
      <c r="R350" s="56"/>
      <c r="S350" s="57"/>
      <c r="T350" s="56"/>
      <c r="U350" s="56"/>
      <c r="V350" s="56"/>
      <c r="W350" s="57"/>
      <c r="X350" s="51"/>
      <c r="Y350" s="51"/>
      <c r="Z350" s="51"/>
      <c r="AA350" s="51"/>
      <c r="AB350" s="51"/>
      <c r="AC350" s="51"/>
    </row>
    <row r="351" ht="15.75" customHeight="1">
      <c r="A351" s="56"/>
      <c r="B351" s="57"/>
      <c r="C351" s="58"/>
      <c r="D351" s="56"/>
      <c r="E351" s="56"/>
      <c r="F351" s="56"/>
      <c r="G351" s="56"/>
      <c r="H351" s="56"/>
      <c r="I351" s="56"/>
      <c r="J351" s="56"/>
      <c r="K351" s="56"/>
      <c r="L351" s="56"/>
      <c r="M351" s="56"/>
      <c r="N351" s="56"/>
      <c r="O351" s="59"/>
      <c r="P351" s="56"/>
      <c r="Q351" s="56"/>
      <c r="R351" s="56"/>
      <c r="S351" s="57"/>
      <c r="T351" s="56"/>
      <c r="U351" s="56"/>
      <c r="V351" s="56"/>
      <c r="W351" s="57"/>
      <c r="X351" s="51"/>
      <c r="Y351" s="51"/>
      <c r="Z351" s="51"/>
      <c r="AA351" s="51"/>
      <c r="AB351" s="51"/>
      <c r="AC351" s="51"/>
    </row>
    <row r="352" ht="15.75" customHeight="1">
      <c r="A352" s="56"/>
      <c r="B352" s="57"/>
      <c r="C352" s="58"/>
      <c r="D352" s="56"/>
      <c r="E352" s="56"/>
      <c r="F352" s="56"/>
      <c r="G352" s="56"/>
      <c r="H352" s="56"/>
      <c r="I352" s="56"/>
      <c r="J352" s="56"/>
      <c r="K352" s="56"/>
      <c r="L352" s="56"/>
      <c r="M352" s="56"/>
      <c r="N352" s="56"/>
      <c r="O352" s="59"/>
      <c r="P352" s="56"/>
      <c r="Q352" s="56"/>
      <c r="R352" s="56"/>
      <c r="S352" s="57"/>
      <c r="T352" s="56"/>
      <c r="U352" s="56"/>
      <c r="V352" s="56"/>
      <c r="W352" s="57"/>
      <c r="X352" s="51"/>
      <c r="Y352" s="51"/>
      <c r="Z352" s="51"/>
      <c r="AA352" s="51"/>
      <c r="AB352" s="51"/>
      <c r="AC352" s="51"/>
    </row>
    <row r="353" ht="15.75" customHeight="1">
      <c r="A353" s="56"/>
      <c r="B353" s="57"/>
      <c r="C353" s="58"/>
      <c r="D353" s="56"/>
      <c r="E353" s="56"/>
      <c r="F353" s="56"/>
      <c r="G353" s="56"/>
      <c r="H353" s="56"/>
      <c r="I353" s="56"/>
      <c r="J353" s="56"/>
      <c r="K353" s="56"/>
      <c r="L353" s="56"/>
      <c r="M353" s="56"/>
      <c r="N353" s="56"/>
      <c r="O353" s="59"/>
      <c r="P353" s="56"/>
      <c r="Q353" s="56"/>
      <c r="R353" s="56"/>
      <c r="S353" s="57"/>
      <c r="T353" s="56"/>
      <c r="U353" s="56"/>
      <c r="V353" s="56"/>
      <c r="W353" s="57"/>
      <c r="X353" s="51"/>
      <c r="Y353" s="51"/>
      <c r="Z353" s="51"/>
      <c r="AA353" s="51"/>
      <c r="AB353" s="51"/>
      <c r="AC353" s="51"/>
    </row>
    <row r="354" ht="15.75" customHeight="1">
      <c r="A354" s="56"/>
      <c r="B354" s="57"/>
      <c r="C354" s="58"/>
      <c r="D354" s="56"/>
      <c r="E354" s="56"/>
      <c r="F354" s="56"/>
      <c r="G354" s="56"/>
      <c r="H354" s="56"/>
      <c r="I354" s="56"/>
      <c r="J354" s="56"/>
      <c r="K354" s="56"/>
      <c r="L354" s="56"/>
      <c r="M354" s="56"/>
      <c r="N354" s="56"/>
      <c r="O354" s="59"/>
      <c r="P354" s="56"/>
      <c r="Q354" s="56"/>
      <c r="R354" s="56"/>
      <c r="S354" s="57"/>
      <c r="T354" s="56"/>
      <c r="U354" s="56"/>
      <c r="V354" s="56"/>
      <c r="W354" s="57"/>
      <c r="X354" s="51"/>
      <c r="Y354" s="51"/>
      <c r="Z354" s="51"/>
      <c r="AA354" s="51"/>
      <c r="AB354" s="51"/>
      <c r="AC354" s="51"/>
    </row>
    <row r="355" ht="15.75" customHeight="1">
      <c r="A355" s="56"/>
      <c r="B355" s="57"/>
      <c r="C355" s="58"/>
      <c r="D355" s="56"/>
      <c r="E355" s="56"/>
      <c r="F355" s="56"/>
      <c r="G355" s="56"/>
      <c r="H355" s="56"/>
      <c r="I355" s="56"/>
      <c r="J355" s="56"/>
      <c r="K355" s="56"/>
      <c r="L355" s="56"/>
      <c r="M355" s="56"/>
      <c r="N355" s="56"/>
      <c r="O355" s="59"/>
      <c r="P355" s="56"/>
      <c r="Q355" s="56"/>
      <c r="R355" s="56"/>
      <c r="S355" s="57"/>
      <c r="T355" s="56"/>
      <c r="U355" s="56"/>
      <c r="V355" s="56"/>
      <c r="W355" s="57"/>
      <c r="X355" s="51"/>
      <c r="Y355" s="51"/>
      <c r="Z355" s="51"/>
      <c r="AA355" s="51"/>
      <c r="AB355" s="51"/>
      <c r="AC355" s="51"/>
    </row>
    <row r="356" ht="15.75" customHeight="1">
      <c r="A356" s="56"/>
      <c r="B356" s="57"/>
      <c r="C356" s="58"/>
      <c r="D356" s="56"/>
      <c r="E356" s="56"/>
      <c r="F356" s="56"/>
      <c r="G356" s="56"/>
      <c r="H356" s="56"/>
      <c r="I356" s="56"/>
      <c r="J356" s="56"/>
      <c r="K356" s="56"/>
      <c r="L356" s="56"/>
      <c r="M356" s="56"/>
      <c r="N356" s="56"/>
      <c r="O356" s="59"/>
      <c r="P356" s="56"/>
      <c r="Q356" s="56"/>
      <c r="R356" s="56"/>
      <c r="S356" s="57"/>
      <c r="T356" s="56"/>
      <c r="U356" s="56"/>
      <c r="V356" s="56"/>
      <c r="W356" s="57"/>
      <c r="X356" s="51"/>
      <c r="Y356" s="51"/>
      <c r="Z356" s="51"/>
      <c r="AA356" s="51"/>
      <c r="AB356" s="51"/>
      <c r="AC356" s="51"/>
    </row>
    <row r="357" ht="15.75" customHeight="1">
      <c r="A357" s="56"/>
      <c r="B357" s="57"/>
      <c r="C357" s="58"/>
      <c r="D357" s="56"/>
      <c r="E357" s="56"/>
      <c r="F357" s="56"/>
      <c r="G357" s="56"/>
      <c r="H357" s="56"/>
      <c r="I357" s="56"/>
      <c r="J357" s="56"/>
      <c r="K357" s="56"/>
      <c r="L357" s="56"/>
      <c r="M357" s="56"/>
      <c r="N357" s="56"/>
      <c r="O357" s="59"/>
      <c r="P357" s="56"/>
      <c r="Q357" s="56"/>
      <c r="R357" s="56"/>
      <c r="S357" s="57"/>
      <c r="T357" s="56"/>
      <c r="U357" s="56"/>
      <c r="V357" s="56"/>
      <c r="W357" s="57"/>
      <c r="X357" s="51"/>
      <c r="Y357" s="51"/>
      <c r="Z357" s="51"/>
      <c r="AA357" s="51"/>
      <c r="AB357" s="51"/>
      <c r="AC357" s="51"/>
    </row>
    <row r="358" ht="15.75" customHeight="1">
      <c r="A358" s="56"/>
      <c r="B358" s="57"/>
      <c r="C358" s="58"/>
      <c r="D358" s="56"/>
      <c r="E358" s="56"/>
      <c r="F358" s="56"/>
      <c r="G358" s="56"/>
      <c r="H358" s="56"/>
      <c r="I358" s="56"/>
      <c r="J358" s="56"/>
      <c r="K358" s="56"/>
      <c r="L358" s="56"/>
      <c r="M358" s="56"/>
      <c r="N358" s="56"/>
      <c r="O358" s="59"/>
      <c r="P358" s="56"/>
      <c r="Q358" s="56"/>
      <c r="R358" s="56"/>
      <c r="S358" s="57"/>
      <c r="T358" s="56"/>
      <c r="U358" s="56"/>
      <c r="V358" s="56"/>
      <c r="W358" s="57"/>
      <c r="X358" s="51"/>
      <c r="Y358" s="51"/>
      <c r="Z358" s="51"/>
      <c r="AA358" s="51"/>
      <c r="AB358" s="51"/>
      <c r="AC358" s="51"/>
    </row>
    <row r="359" ht="15.75" customHeight="1">
      <c r="A359" s="56"/>
      <c r="B359" s="57"/>
      <c r="C359" s="58"/>
      <c r="D359" s="56"/>
      <c r="E359" s="56"/>
      <c r="F359" s="56"/>
      <c r="G359" s="56"/>
      <c r="H359" s="56"/>
      <c r="I359" s="56"/>
      <c r="J359" s="56"/>
      <c r="K359" s="56"/>
      <c r="L359" s="56"/>
      <c r="M359" s="56"/>
      <c r="N359" s="56"/>
      <c r="O359" s="59"/>
      <c r="P359" s="56"/>
      <c r="Q359" s="56"/>
      <c r="R359" s="56"/>
      <c r="S359" s="57"/>
      <c r="T359" s="56"/>
      <c r="U359" s="56"/>
      <c r="V359" s="56"/>
      <c r="W359" s="57"/>
      <c r="X359" s="51"/>
      <c r="Y359" s="51"/>
      <c r="Z359" s="51"/>
      <c r="AA359" s="51"/>
      <c r="AB359" s="51"/>
      <c r="AC359" s="51"/>
    </row>
    <row r="360" ht="15.75" customHeight="1">
      <c r="A360" s="56"/>
      <c r="B360" s="57"/>
      <c r="C360" s="58"/>
      <c r="D360" s="56"/>
      <c r="E360" s="56"/>
      <c r="F360" s="56"/>
      <c r="G360" s="56"/>
      <c r="H360" s="56"/>
      <c r="I360" s="56"/>
      <c r="J360" s="56"/>
      <c r="K360" s="56"/>
      <c r="L360" s="56"/>
      <c r="M360" s="56"/>
      <c r="N360" s="56"/>
      <c r="O360" s="59"/>
      <c r="P360" s="56"/>
      <c r="Q360" s="56"/>
      <c r="R360" s="56"/>
      <c r="S360" s="57"/>
      <c r="T360" s="56"/>
      <c r="U360" s="56"/>
      <c r="V360" s="56"/>
      <c r="W360" s="57"/>
      <c r="X360" s="51"/>
      <c r="Y360" s="51"/>
      <c r="Z360" s="51"/>
      <c r="AA360" s="51"/>
      <c r="AB360" s="51"/>
      <c r="AC360" s="51"/>
    </row>
    <row r="361" ht="15.75" customHeight="1">
      <c r="A361" s="56"/>
      <c r="B361" s="57"/>
      <c r="C361" s="58"/>
      <c r="D361" s="56"/>
      <c r="E361" s="56"/>
      <c r="F361" s="56"/>
      <c r="G361" s="56"/>
      <c r="H361" s="56"/>
      <c r="I361" s="56"/>
      <c r="J361" s="56"/>
      <c r="K361" s="56"/>
      <c r="L361" s="56"/>
      <c r="M361" s="56"/>
      <c r="N361" s="56"/>
      <c r="O361" s="59"/>
      <c r="P361" s="56"/>
      <c r="Q361" s="56"/>
      <c r="R361" s="56"/>
      <c r="S361" s="57"/>
      <c r="T361" s="56"/>
      <c r="U361" s="56"/>
      <c r="V361" s="56"/>
      <c r="W361" s="57"/>
      <c r="X361" s="51"/>
      <c r="Y361" s="51"/>
      <c r="Z361" s="51"/>
      <c r="AA361" s="51"/>
      <c r="AB361" s="51"/>
      <c r="AC361" s="51"/>
    </row>
    <row r="362" ht="15.75" customHeight="1">
      <c r="A362" s="56"/>
      <c r="B362" s="57"/>
      <c r="C362" s="58"/>
      <c r="D362" s="56"/>
      <c r="E362" s="56"/>
      <c r="F362" s="56"/>
      <c r="G362" s="56"/>
      <c r="H362" s="56"/>
      <c r="I362" s="56"/>
      <c r="J362" s="56"/>
      <c r="K362" s="56"/>
      <c r="L362" s="56"/>
      <c r="M362" s="56"/>
      <c r="N362" s="56"/>
      <c r="O362" s="59"/>
      <c r="P362" s="56"/>
      <c r="Q362" s="56"/>
      <c r="R362" s="56"/>
      <c r="S362" s="57"/>
      <c r="T362" s="56"/>
      <c r="U362" s="56"/>
      <c r="V362" s="56"/>
      <c r="W362" s="57"/>
      <c r="X362" s="51"/>
      <c r="Y362" s="51"/>
      <c r="Z362" s="51"/>
      <c r="AA362" s="51"/>
      <c r="AB362" s="51"/>
      <c r="AC362" s="51"/>
    </row>
    <row r="363" ht="15.75" customHeight="1">
      <c r="A363" s="56"/>
      <c r="B363" s="57"/>
      <c r="C363" s="58"/>
      <c r="D363" s="56"/>
      <c r="E363" s="56"/>
      <c r="F363" s="56"/>
      <c r="G363" s="56"/>
      <c r="H363" s="56"/>
      <c r="I363" s="56"/>
      <c r="J363" s="56"/>
      <c r="K363" s="56"/>
      <c r="L363" s="56"/>
      <c r="M363" s="56"/>
      <c r="N363" s="56"/>
      <c r="O363" s="59"/>
      <c r="P363" s="56"/>
      <c r="Q363" s="56"/>
      <c r="R363" s="56"/>
      <c r="S363" s="57"/>
      <c r="T363" s="56"/>
      <c r="U363" s="56"/>
      <c r="V363" s="56"/>
      <c r="W363" s="57"/>
      <c r="X363" s="51"/>
      <c r="Y363" s="51"/>
      <c r="Z363" s="51"/>
      <c r="AA363" s="51"/>
      <c r="AB363" s="51"/>
      <c r="AC363" s="51"/>
    </row>
    <row r="364" ht="15.75" customHeight="1">
      <c r="A364" s="56"/>
      <c r="B364" s="57"/>
      <c r="C364" s="58"/>
      <c r="D364" s="56"/>
      <c r="E364" s="56"/>
      <c r="F364" s="56"/>
      <c r="G364" s="56"/>
      <c r="H364" s="56"/>
      <c r="I364" s="56"/>
      <c r="J364" s="56"/>
      <c r="K364" s="56"/>
      <c r="L364" s="56"/>
      <c r="M364" s="56"/>
      <c r="N364" s="56"/>
      <c r="O364" s="59"/>
      <c r="P364" s="56"/>
      <c r="Q364" s="56"/>
      <c r="R364" s="56"/>
      <c r="S364" s="57"/>
      <c r="T364" s="56"/>
      <c r="U364" s="56"/>
      <c r="V364" s="56"/>
      <c r="W364" s="57"/>
      <c r="X364" s="51"/>
      <c r="Y364" s="51"/>
      <c r="Z364" s="51"/>
      <c r="AA364" s="51"/>
      <c r="AB364" s="51"/>
      <c r="AC364" s="51"/>
    </row>
    <row r="365" ht="15.75" customHeight="1">
      <c r="A365" s="56"/>
      <c r="B365" s="57"/>
      <c r="C365" s="58"/>
      <c r="D365" s="56"/>
      <c r="E365" s="56"/>
      <c r="F365" s="56"/>
      <c r="G365" s="56"/>
      <c r="H365" s="56"/>
      <c r="I365" s="56"/>
      <c r="J365" s="56"/>
      <c r="K365" s="56"/>
      <c r="L365" s="56"/>
      <c r="M365" s="56"/>
      <c r="N365" s="56"/>
      <c r="O365" s="59"/>
      <c r="P365" s="56"/>
      <c r="Q365" s="56"/>
      <c r="R365" s="56"/>
      <c r="S365" s="57"/>
      <c r="T365" s="56"/>
      <c r="U365" s="56"/>
      <c r="V365" s="56"/>
      <c r="W365" s="57"/>
      <c r="X365" s="51"/>
      <c r="Y365" s="51"/>
      <c r="Z365" s="51"/>
      <c r="AA365" s="51"/>
      <c r="AB365" s="51"/>
      <c r="AC365" s="51"/>
    </row>
    <row r="366" ht="15.75" customHeight="1">
      <c r="A366" s="56"/>
      <c r="B366" s="57"/>
      <c r="C366" s="58"/>
      <c r="D366" s="56"/>
      <c r="E366" s="56"/>
      <c r="F366" s="56"/>
      <c r="G366" s="56"/>
      <c r="H366" s="56"/>
      <c r="I366" s="56"/>
      <c r="J366" s="56"/>
      <c r="K366" s="56"/>
      <c r="L366" s="56"/>
      <c r="M366" s="56"/>
      <c r="N366" s="56"/>
      <c r="O366" s="59"/>
      <c r="P366" s="56"/>
      <c r="Q366" s="56"/>
      <c r="R366" s="56"/>
      <c r="S366" s="57"/>
      <c r="T366" s="56"/>
      <c r="U366" s="56"/>
      <c r="V366" s="56"/>
      <c r="W366" s="57"/>
      <c r="X366" s="51"/>
      <c r="Y366" s="51"/>
      <c r="Z366" s="51"/>
      <c r="AA366" s="51"/>
      <c r="AB366" s="51"/>
      <c r="AC366" s="51"/>
    </row>
    <row r="367" ht="15.75" customHeight="1">
      <c r="A367" s="56"/>
      <c r="B367" s="57"/>
      <c r="C367" s="58"/>
      <c r="D367" s="56"/>
      <c r="E367" s="56"/>
      <c r="F367" s="56"/>
      <c r="G367" s="56"/>
      <c r="H367" s="56"/>
      <c r="I367" s="56"/>
      <c r="J367" s="56"/>
      <c r="K367" s="56"/>
      <c r="L367" s="56"/>
      <c r="M367" s="56"/>
      <c r="N367" s="56"/>
      <c r="O367" s="59"/>
      <c r="P367" s="56"/>
      <c r="Q367" s="56"/>
      <c r="R367" s="56"/>
      <c r="S367" s="57"/>
      <c r="T367" s="56"/>
      <c r="U367" s="56"/>
      <c r="V367" s="56"/>
      <c r="W367" s="57"/>
      <c r="X367" s="51"/>
      <c r="Y367" s="51"/>
      <c r="Z367" s="51"/>
      <c r="AA367" s="51"/>
      <c r="AB367" s="51"/>
      <c r="AC367" s="51"/>
    </row>
    <row r="368" ht="15.75" customHeight="1">
      <c r="A368" s="56"/>
      <c r="B368" s="57"/>
      <c r="C368" s="58"/>
      <c r="D368" s="56"/>
      <c r="E368" s="56"/>
      <c r="F368" s="56"/>
      <c r="G368" s="56"/>
      <c r="H368" s="56"/>
      <c r="I368" s="56"/>
      <c r="J368" s="56"/>
      <c r="K368" s="56"/>
      <c r="L368" s="56"/>
      <c r="M368" s="56"/>
      <c r="N368" s="56"/>
      <c r="O368" s="59"/>
      <c r="P368" s="56"/>
      <c r="Q368" s="56"/>
      <c r="R368" s="56"/>
      <c r="S368" s="57"/>
      <c r="T368" s="56"/>
      <c r="U368" s="56"/>
      <c r="V368" s="56"/>
      <c r="W368" s="57"/>
      <c r="X368" s="51"/>
      <c r="Y368" s="51"/>
      <c r="Z368" s="51"/>
      <c r="AA368" s="51"/>
      <c r="AB368" s="51"/>
      <c r="AC368" s="51"/>
    </row>
    <row r="369" ht="15.75" customHeight="1">
      <c r="A369" s="56"/>
      <c r="B369" s="57"/>
      <c r="C369" s="58"/>
      <c r="D369" s="56"/>
      <c r="E369" s="56"/>
      <c r="F369" s="56"/>
      <c r="G369" s="56"/>
      <c r="H369" s="56"/>
      <c r="I369" s="56"/>
      <c r="J369" s="56"/>
      <c r="K369" s="56"/>
      <c r="L369" s="56"/>
      <c r="M369" s="56"/>
      <c r="N369" s="56"/>
      <c r="O369" s="59"/>
      <c r="P369" s="56"/>
      <c r="Q369" s="56"/>
      <c r="R369" s="56"/>
      <c r="S369" s="57"/>
      <c r="T369" s="56"/>
      <c r="U369" s="56"/>
      <c r="V369" s="56"/>
      <c r="W369" s="57"/>
      <c r="X369" s="51"/>
      <c r="Y369" s="51"/>
      <c r="Z369" s="51"/>
      <c r="AA369" s="51"/>
      <c r="AB369" s="51"/>
      <c r="AC369" s="51"/>
    </row>
    <row r="370" ht="15.75" customHeight="1">
      <c r="A370" s="56"/>
      <c r="B370" s="57"/>
      <c r="C370" s="58"/>
      <c r="D370" s="56"/>
      <c r="E370" s="56"/>
      <c r="F370" s="56"/>
      <c r="G370" s="56"/>
      <c r="H370" s="56"/>
      <c r="I370" s="56"/>
      <c r="J370" s="56"/>
      <c r="K370" s="56"/>
      <c r="L370" s="56"/>
      <c r="M370" s="56"/>
      <c r="N370" s="56"/>
      <c r="O370" s="59"/>
      <c r="P370" s="56"/>
      <c r="Q370" s="56"/>
      <c r="R370" s="56"/>
      <c r="S370" s="57"/>
      <c r="T370" s="56"/>
      <c r="U370" s="56"/>
      <c r="V370" s="56"/>
      <c r="W370" s="57"/>
      <c r="X370" s="51"/>
      <c r="Y370" s="51"/>
      <c r="Z370" s="51"/>
      <c r="AA370" s="51"/>
      <c r="AB370" s="51"/>
      <c r="AC370" s="51"/>
    </row>
    <row r="371" ht="15.75" customHeight="1">
      <c r="A371" s="56"/>
      <c r="B371" s="57"/>
      <c r="C371" s="58"/>
      <c r="D371" s="56"/>
      <c r="E371" s="56"/>
      <c r="F371" s="56"/>
      <c r="G371" s="56"/>
      <c r="H371" s="56"/>
      <c r="I371" s="56"/>
      <c r="J371" s="56"/>
      <c r="K371" s="56"/>
      <c r="L371" s="56"/>
      <c r="M371" s="56"/>
      <c r="N371" s="56"/>
      <c r="O371" s="59"/>
      <c r="P371" s="56"/>
      <c r="Q371" s="56"/>
      <c r="R371" s="56"/>
      <c r="S371" s="57"/>
      <c r="T371" s="56"/>
      <c r="U371" s="56"/>
      <c r="V371" s="56"/>
      <c r="W371" s="57"/>
      <c r="X371" s="51"/>
      <c r="Y371" s="51"/>
      <c r="Z371" s="51"/>
      <c r="AA371" s="51"/>
      <c r="AB371" s="51"/>
      <c r="AC371" s="51"/>
    </row>
    <row r="372" ht="15.75" customHeight="1">
      <c r="A372" s="56"/>
      <c r="B372" s="57"/>
      <c r="C372" s="58"/>
      <c r="D372" s="56"/>
      <c r="E372" s="56"/>
      <c r="F372" s="56"/>
      <c r="G372" s="56"/>
      <c r="H372" s="56"/>
      <c r="I372" s="56"/>
      <c r="J372" s="56"/>
      <c r="K372" s="56"/>
      <c r="L372" s="56"/>
      <c r="M372" s="56"/>
      <c r="N372" s="56"/>
      <c r="O372" s="59"/>
      <c r="P372" s="56"/>
      <c r="Q372" s="56"/>
      <c r="R372" s="56"/>
      <c r="S372" s="57"/>
      <c r="T372" s="56"/>
      <c r="U372" s="56"/>
      <c r="V372" s="56"/>
      <c r="W372" s="57"/>
      <c r="X372" s="51"/>
      <c r="Y372" s="51"/>
      <c r="Z372" s="51"/>
      <c r="AA372" s="51"/>
      <c r="AB372" s="51"/>
      <c r="AC372" s="51"/>
    </row>
    <row r="373" ht="15.75" customHeight="1">
      <c r="A373" s="56"/>
      <c r="B373" s="57"/>
      <c r="C373" s="58"/>
      <c r="D373" s="56"/>
      <c r="E373" s="56"/>
      <c r="F373" s="56"/>
      <c r="G373" s="56"/>
      <c r="H373" s="56"/>
      <c r="I373" s="56"/>
      <c r="J373" s="56"/>
      <c r="K373" s="56"/>
      <c r="L373" s="56"/>
      <c r="M373" s="56"/>
      <c r="N373" s="56"/>
      <c r="O373" s="59"/>
      <c r="P373" s="56"/>
      <c r="Q373" s="56"/>
      <c r="R373" s="56"/>
      <c r="S373" s="57"/>
      <c r="T373" s="56"/>
      <c r="U373" s="56"/>
      <c r="V373" s="56"/>
      <c r="W373" s="57"/>
      <c r="X373" s="51"/>
      <c r="Y373" s="51"/>
      <c r="Z373" s="51"/>
      <c r="AA373" s="51"/>
      <c r="AB373" s="51"/>
      <c r="AC373" s="51"/>
    </row>
    <row r="374" ht="15.75" customHeight="1">
      <c r="A374" s="56"/>
      <c r="B374" s="57"/>
      <c r="C374" s="58"/>
      <c r="D374" s="56"/>
      <c r="E374" s="56"/>
      <c r="F374" s="56"/>
      <c r="G374" s="56"/>
      <c r="H374" s="56"/>
      <c r="I374" s="56"/>
      <c r="J374" s="56"/>
      <c r="K374" s="56"/>
      <c r="L374" s="56"/>
      <c r="M374" s="56"/>
      <c r="N374" s="56"/>
      <c r="O374" s="59"/>
      <c r="P374" s="56"/>
      <c r="Q374" s="56"/>
      <c r="R374" s="56"/>
      <c r="S374" s="57"/>
      <c r="T374" s="56"/>
      <c r="U374" s="56"/>
      <c r="V374" s="56"/>
      <c r="W374" s="57"/>
      <c r="X374" s="51"/>
      <c r="Y374" s="51"/>
      <c r="Z374" s="51"/>
      <c r="AA374" s="51"/>
      <c r="AB374" s="51"/>
      <c r="AC374" s="51"/>
    </row>
    <row r="375" ht="15.75" customHeight="1">
      <c r="A375" s="56"/>
      <c r="B375" s="57"/>
      <c r="C375" s="58"/>
      <c r="D375" s="56"/>
      <c r="E375" s="56"/>
      <c r="F375" s="56"/>
      <c r="G375" s="56"/>
      <c r="H375" s="56"/>
      <c r="I375" s="56"/>
      <c r="J375" s="56"/>
      <c r="K375" s="56"/>
      <c r="L375" s="56"/>
      <c r="M375" s="56"/>
      <c r="N375" s="56"/>
      <c r="O375" s="59"/>
      <c r="P375" s="56"/>
      <c r="Q375" s="56"/>
      <c r="R375" s="56"/>
      <c r="S375" s="57"/>
      <c r="T375" s="56"/>
      <c r="U375" s="56"/>
      <c r="V375" s="56"/>
      <c r="W375" s="57"/>
      <c r="X375" s="51"/>
      <c r="Y375" s="51"/>
      <c r="Z375" s="51"/>
      <c r="AA375" s="51"/>
      <c r="AB375" s="51"/>
      <c r="AC375" s="51"/>
    </row>
    <row r="376" ht="15.75" customHeight="1">
      <c r="A376" s="56"/>
      <c r="B376" s="57"/>
      <c r="C376" s="58"/>
      <c r="D376" s="56"/>
      <c r="E376" s="56"/>
      <c r="F376" s="56"/>
      <c r="G376" s="56"/>
      <c r="H376" s="56"/>
      <c r="I376" s="56"/>
      <c r="J376" s="56"/>
      <c r="K376" s="56"/>
      <c r="L376" s="56"/>
      <c r="M376" s="56"/>
      <c r="N376" s="56"/>
      <c r="O376" s="59"/>
      <c r="P376" s="56"/>
      <c r="Q376" s="56"/>
      <c r="R376" s="56"/>
      <c r="S376" s="57"/>
      <c r="T376" s="56"/>
      <c r="U376" s="56"/>
      <c r="V376" s="56"/>
      <c r="W376" s="57"/>
      <c r="X376" s="51"/>
      <c r="Y376" s="51"/>
      <c r="Z376" s="51"/>
      <c r="AA376" s="51"/>
      <c r="AB376" s="51"/>
      <c r="AC376" s="51"/>
    </row>
    <row r="377" ht="15.75" customHeight="1">
      <c r="A377" s="56"/>
      <c r="B377" s="57"/>
      <c r="C377" s="58"/>
      <c r="D377" s="56"/>
      <c r="E377" s="56"/>
      <c r="F377" s="56"/>
      <c r="G377" s="56"/>
      <c r="H377" s="56"/>
      <c r="I377" s="56"/>
      <c r="J377" s="56"/>
      <c r="K377" s="56"/>
      <c r="L377" s="56"/>
      <c r="M377" s="56"/>
      <c r="N377" s="56"/>
      <c r="O377" s="59"/>
      <c r="P377" s="56"/>
      <c r="Q377" s="56"/>
      <c r="R377" s="56"/>
      <c r="S377" s="57"/>
      <c r="T377" s="56"/>
      <c r="U377" s="56"/>
      <c r="V377" s="56"/>
      <c r="W377" s="57"/>
      <c r="X377" s="51"/>
      <c r="Y377" s="51"/>
      <c r="Z377" s="51"/>
      <c r="AA377" s="51"/>
      <c r="AB377" s="51"/>
      <c r="AC377" s="51"/>
    </row>
    <row r="378" ht="15.75" customHeight="1">
      <c r="A378" s="56"/>
      <c r="B378" s="57"/>
      <c r="C378" s="58"/>
      <c r="D378" s="56"/>
      <c r="E378" s="56"/>
      <c r="F378" s="56"/>
      <c r="G378" s="56"/>
      <c r="H378" s="56"/>
      <c r="I378" s="56"/>
      <c r="J378" s="56"/>
      <c r="K378" s="56"/>
      <c r="L378" s="56"/>
      <c r="M378" s="56"/>
      <c r="N378" s="56"/>
      <c r="O378" s="59"/>
      <c r="P378" s="56"/>
      <c r="Q378" s="56"/>
      <c r="R378" s="56"/>
      <c r="S378" s="57"/>
      <c r="T378" s="56"/>
      <c r="U378" s="56"/>
      <c r="V378" s="56"/>
      <c r="W378" s="57"/>
      <c r="X378" s="51"/>
      <c r="Y378" s="51"/>
      <c r="Z378" s="51"/>
      <c r="AA378" s="51"/>
      <c r="AB378" s="51"/>
      <c r="AC378" s="51"/>
    </row>
    <row r="379" ht="15.75" customHeight="1">
      <c r="A379" s="56"/>
      <c r="B379" s="57"/>
      <c r="C379" s="58"/>
      <c r="D379" s="56"/>
      <c r="E379" s="56"/>
      <c r="F379" s="56"/>
      <c r="G379" s="56"/>
      <c r="H379" s="56"/>
      <c r="I379" s="56"/>
      <c r="J379" s="56"/>
      <c r="K379" s="56"/>
      <c r="L379" s="56"/>
      <c r="M379" s="56"/>
      <c r="N379" s="56"/>
      <c r="O379" s="59"/>
      <c r="P379" s="56"/>
      <c r="Q379" s="56"/>
      <c r="R379" s="56"/>
      <c r="S379" s="57"/>
      <c r="T379" s="56"/>
      <c r="U379" s="56"/>
      <c r="V379" s="56"/>
      <c r="W379" s="57"/>
      <c r="X379" s="51"/>
      <c r="Y379" s="51"/>
      <c r="Z379" s="51"/>
      <c r="AA379" s="51"/>
      <c r="AB379" s="51"/>
      <c r="AC379" s="51"/>
    </row>
    <row r="380" ht="15.75" customHeight="1">
      <c r="A380" s="56"/>
      <c r="B380" s="57"/>
      <c r="C380" s="58"/>
      <c r="D380" s="56"/>
      <c r="E380" s="56"/>
      <c r="F380" s="56"/>
      <c r="G380" s="56"/>
      <c r="H380" s="56"/>
      <c r="I380" s="56"/>
      <c r="J380" s="56"/>
      <c r="K380" s="56"/>
      <c r="L380" s="56"/>
      <c r="M380" s="56"/>
      <c r="N380" s="56"/>
      <c r="O380" s="59"/>
      <c r="P380" s="56"/>
      <c r="Q380" s="56"/>
      <c r="R380" s="56"/>
      <c r="S380" s="57"/>
      <c r="T380" s="56"/>
      <c r="U380" s="56"/>
      <c r="V380" s="56"/>
      <c r="W380" s="57"/>
      <c r="X380" s="51"/>
      <c r="Y380" s="51"/>
      <c r="Z380" s="51"/>
      <c r="AA380" s="51"/>
      <c r="AB380" s="51"/>
      <c r="AC380" s="51"/>
    </row>
    <row r="381" ht="15.75" customHeight="1">
      <c r="A381" s="56"/>
      <c r="B381" s="57"/>
      <c r="C381" s="58"/>
      <c r="D381" s="56"/>
      <c r="E381" s="56"/>
      <c r="F381" s="56"/>
      <c r="G381" s="56"/>
      <c r="H381" s="56"/>
      <c r="I381" s="56"/>
      <c r="J381" s="56"/>
      <c r="K381" s="56"/>
      <c r="L381" s="56"/>
      <c r="M381" s="56"/>
      <c r="N381" s="56"/>
      <c r="O381" s="59"/>
      <c r="P381" s="56"/>
      <c r="Q381" s="56"/>
      <c r="R381" s="56"/>
      <c r="S381" s="57"/>
      <c r="T381" s="56"/>
      <c r="U381" s="56"/>
      <c r="V381" s="56"/>
      <c r="W381" s="57"/>
      <c r="X381" s="51"/>
      <c r="Y381" s="51"/>
      <c r="Z381" s="51"/>
      <c r="AA381" s="51"/>
      <c r="AB381" s="51"/>
      <c r="AC381" s="51"/>
    </row>
    <row r="382" ht="15.75" customHeight="1">
      <c r="A382" s="56"/>
      <c r="B382" s="57"/>
      <c r="C382" s="58"/>
      <c r="D382" s="56"/>
      <c r="E382" s="56"/>
      <c r="F382" s="56"/>
      <c r="G382" s="56"/>
      <c r="H382" s="56"/>
      <c r="I382" s="56"/>
      <c r="J382" s="56"/>
      <c r="K382" s="56"/>
      <c r="L382" s="56"/>
      <c r="M382" s="56"/>
      <c r="N382" s="56"/>
      <c r="O382" s="59"/>
      <c r="P382" s="56"/>
      <c r="Q382" s="56"/>
      <c r="R382" s="56"/>
      <c r="S382" s="57"/>
      <c r="T382" s="56"/>
      <c r="U382" s="56"/>
      <c r="V382" s="56"/>
      <c r="W382" s="57"/>
      <c r="X382" s="51"/>
      <c r="Y382" s="51"/>
      <c r="Z382" s="51"/>
      <c r="AA382" s="51"/>
      <c r="AB382" s="51"/>
      <c r="AC382" s="51"/>
    </row>
    <row r="383" ht="15.75" customHeight="1">
      <c r="A383" s="56"/>
      <c r="B383" s="57"/>
      <c r="C383" s="58"/>
      <c r="D383" s="56"/>
      <c r="E383" s="56"/>
      <c r="F383" s="56"/>
      <c r="G383" s="56"/>
      <c r="H383" s="56"/>
      <c r="I383" s="56"/>
      <c r="J383" s="56"/>
      <c r="K383" s="56"/>
      <c r="L383" s="56"/>
      <c r="M383" s="56"/>
      <c r="N383" s="56"/>
      <c r="O383" s="59"/>
      <c r="P383" s="56"/>
      <c r="Q383" s="56"/>
      <c r="R383" s="56"/>
      <c r="S383" s="57"/>
      <c r="T383" s="56"/>
      <c r="U383" s="56"/>
      <c r="V383" s="56"/>
      <c r="W383" s="57"/>
      <c r="X383" s="51"/>
      <c r="Y383" s="51"/>
      <c r="Z383" s="51"/>
      <c r="AA383" s="51"/>
      <c r="AB383" s="51"/>
      <c r="AC383" s="51"/>
    </row>
    <row r="384" ht="15.75" customHeight="1">
      <c r="A384" s="56"/>
      <c r="B384" s="57"/>
      <c r="C384" s="58"/>
      <c r="D384" s="56"/>
      <c r="E384" s="56"/>
      <c r="F384" s="56"/>
      <c r="G384" s="56"/>
      <c r="H384" s="56"/>
      <c r="I384" s="56"/>
      <c r="J384" s="56"/>
      <c r="K384" s="56"/>
      <c r="L384" s="56"/>
      <c r="M384" s="56"/>
      <c r="N384" s="56"/>
      <c r="O384" s="59"/>
      <c r="P384" s="56"/>
      <c r="Q384" s="56"/>
      <c r="R384" s="56"/>
      <c r="S384" s="57"/>
      <c r="T384" s="56"/>
      <c r="U384" s="56"/>
      <c r="V384" s="56"/>
      <c r="W384" s="57"/>
      <c r="X384" s="51"/>
      <c r="Y384" s="51"/>
      <c r="Z384" s="51"/>
      <c r="AA384" s="51"/>
      <c r="AB384" s="51"/>
      <c r="AC384" s="51"/>
    </row>
    <row r="385" ht="15.75" customHeight="1">
      <c r="A385" s="56"/>
      <c r="B385" s="57"/>
      <c r="C385" s="58"/>
      <c r="D385" s="56"/>
      <c r="E385" s="56"/>
      <c r="F385" s="56"/>
      <c r="G385" s="56"/>
      <c r="H385" s="56"/>
      <c r="I385" s="56"/>
      <c r="J385" s="56"/>
      <c r="K385" s="56"/>
      <c r="L385" s="56"/>
      <c r="M385" s="56"/>
      <c r="N385" s="56"/>
      <c r="O385" s="59"/>
      <c r="P385" s="56"/>
      <c r="Q385" s="56"/>
      <c r="R385" s="56"/>
      <c r="S385" s="57"/>
      <c r="T385" s="56"/>
      <c r="U385" s="56"/>
      <c r="V385" s="56"/>
      <c r="W385" s="57"/>
      <c r="X385" s="51"/>
      <c r="Y385" s="51"/>
      <c r="Z385" s="51"/>
      <c r="AA385" s="51"/>
      <c r="AB385" s="51"/>
      <c r="AC385" s="51"/>
    </row>
    <row r="386" ht="15.75" customHeight="1">
      <c r="A386" s="56"/>
      <c r="B386" s="57"/>
      <c r="C386" s="58"/>
      <c r="D386" s="56"/>
      <c r="E386" s="56"/>
      <c r="F386" s="56"/>
      <c r="G386" s="56"/>
      <c r="H386" s="56"/>
      <c r="I386" s="56"/>
      <c r="J386" s="56"/>
      <c r="K386" s="56"/>
      <c r="L386" s="56"/>
      <c r="M386" s="56"/>
      <c r="N386" s="56"/>
      <c r="O386" s="59"/>
      <c r="P386" s="56"/>
      <c r="Q386" s="56"/>
      <c r="R386" s="56"/>
      <c r="S386" s="57"/>
      <c r="T386" s="56"/>
      <c r="U386" s="56"/>
      <c r="V386" s="56"/>
      <c r="W386" s="57"/>
      <c r="X386" s="51"/>
      <c r="Y386" s="51"/>
      <c r="Z386" s="51"/>
      <c r="AA386" s="51"/>
      <c r="AB386" s="51"/>
      <c r="AC386" s="51"/>
    </row>
    <row r="387" ht="15.75" customHeight="1">
      <c r="A387" s="56"/>
      <c r="B387" s="57"/>
      <c r="C387" s="58"/>
      <c r="D387" s="56"/>
      <c r="E387" s="56"/>
      <c r="F387" s="56"/>
      <c r="G387" s="56"/>
      <c r="H387" s="56"/>
      <c r="I387" s="56"/>
      <c r="J387" s="56"/>
      <c r="K387" s="56"/>
      <c r="L387" s="56"/>
      <c r="M387" s="56"/>
      <c r="N387" s="56"/>
      <c r="O387" s="59"/>
      <c r="P387" s="56"/>
      <c r="Q387" s="56"/>
      <c r="R387" s="56"/>
      <c r="S387" s="57"/>
      <c r="T387" s="56"/>
      <c r="U387" s="56"/>
      <c r="V387" s="56"/>
      <c r="W387" s="57"/>
      <c r="X387" s="51"/>
      <c r="Y387" s="51"/>
      <c r="Z387" s="51"/>
      <c r="AA387" s="51"/>
      <c r="AB387" s="51"/>
      <c r="AC387" s="51"/>
    </row>
    <row r="388" ht="15.75" customHeight="1">
      <c r="A388" s="56"/>
      <c r="B388" s="57"/>
      <c r="C388" s="58"/>
      <c r="D388" s="56"/>
      <c r="E388" s="56"/>
      <c r="F388" s="56"/>
      <c r="G388" s="56"/>
      <c r="H388" s="56"/>
      <c r="I388" s="56"/>
      <c r="J388" s="56"/>
      <c r="K388" s="56"/>
      <c r="L388" s="56"/>
      <c r="M388" s="56"/>
      <c r="N388" s="56"/>
      <c r="O388" s="59"/>
      <c r="P388" s="56"/>
      <c r="Q388" s="56"/>
      <c r="R388" s="56"/>
      <c r="S388" s="57"/>
      <c r="T388" s="56"/>
      <c r="U388" s="56"/>
      <c r="V388" s="56"/>
      <c r="W388" s="57"/>
      <c r="X388" s="51"/>
      <c r="Y388" s="51"/>
      <c r="Z388" s="51"/>
      <c r="AA388" s="51"/>
      <c r="AB388" s="51"/>
      <c r="AC388" s="51"/>
    </row>
    <row r="389" ht="15.75" customHeight="1">
      <c r="A389" s="56"/>
      <c r="B389" s="57"/>
      <c r="C389" s="58"/>
      <c r="D389" s="56"/>
      <c r="E389" s="56"/>
      <c r="F389" s="56"/>
      <c r="G389" s="56"/>
      <c r="H389" s="56"/>
      <c r="I389" s="56"/>
      <c r="J389" s="56"/>
      <c r="K389" s="56"/>
      <c r="L389" s="56"/>
      <c r="M389" s="56"/>
      <c r="N389" s="56"/>
      <c r="O389" s="59"/>
      <c r="P389" s="56"/>
      <c r="Q389" s="56"/>
      <c r="R389" s="56"/>
      <c r="S389" s="57"/>
      <c r="T389" s="56"/>
      <c r="U389" s="56"/>
      <c r="V389" s="56"/>
      <c r="W389" s="57"/>
      <c r="X389" s="51"/>
      <c r="Y389" s="51"/>
      <c r="Z389" s="51"/>
      <c r="AA389" s="51"/>
      <c r="AB389" s="51"/>
      <c r="AC389" s="51"/>
    </row>
    <row r="390" ht="15.75" customHeight="1">
      <c r="A390" s="56"/>
      <c r="B390" s="57"/>
      <c r="C390" s="58"/>
      <c r="D390" s="56"/>
      <c r="E390" s="56"/>
      <c r="F390" s="56"/>
      <c r="G390" s="56"/>
      <c r="H390" s="56"/>
      <c r="I390" s="56"/>
      <c r="J390" s="56"/>
      <c r="K390" s="56"/>
      <c r="L390" s="56"/>
      <c r="M390" s="56"/>
      <c r="N390" s="56"/>
      <c r="O390" s="59"/>
      <c r="P390" s="56"/>
      <c r="Q390" s="56"/>
      <c r="R390" s="56"/>
      <c r="S390" s="57"/>
      <c r="T390" s="56"/>
      <c r="U390" s="56"/>
      <c r="V390" s="56"/>
      <c r="W390" s="57"/>
      <c r="X390" s="51"/>
      <c r="Y390" s="51"/>
      <c r="Z390" s="51"/>
      <c r="AA390" s="51"/>
      <c r="AB390" s="51"/>
      <c r="AC390" s="51"/>
    </row>
    <row r="391" ht="15.75" customHeight="1">
      <c r="A391" s="56"/>
      <c r="B391" s="57"/>
      <c r="C391" s="58"/>
      <c r="D391" s="56"/>
      <c r="E391" s="56"/>
      <c r="F391" s="56"/>
      <c r="G391" s="56"/>
      <c r="H391" s="56"/>
      <c r="I391" s="56"/>
      <c r="J391" s="56"/>
      <c r="K391" s="56"/>
      <c r="L391" s="56"/>
      <c r="M391" s="56"/>
      <c r="N391" s="56"/>
      <c r="O391" s="59"/>
      <c r="P391" s="56"/>
      <c r="Q391" s="56"/>
      <c r="R391" s="56"/>
      <c r="S391" s="57"/>
      <c r="T391" s="56"/>
      <c r="U391" s="56"/>
      <c r="V391" s="56"/>
      <c r="W391" s="57"/>
      <c r="X391" s="51"/>
      <c r="Y391" s="51"/>
      <c r="Z391" s="51"/>
      <c r="AA391" s="51"/>
      <c r="AB391" s="51"/>
      <c r="AC391" s="51"/>
    </row>
    <row r="392" ht="15.75" customHeight="1">
      <c r="A392" s="56"/>
      <c r="B392" s="57"/>
      <c r="C392" s="58"/>
      <c r="D392" s="56"/>
      <c r="E392" s="56"/>
      <c r="F392" s="56"/>
      <c r="G392" s="56"/>
      <c r="H392" s="56"/>
      <c r="I392" s="56"/>
      <c r="J392" s="56"/>
      <c r="K392" s="56"/>
      <c r="L392" s="56"/>
      <c r="M392" s="56"/>
      <c r="N392" s="56"/>
      <c r="O392" s="59"/>
      <c r="P392" s="56"/>
      <c r="Q392" s="56"/>
      <c r="R392" s="56"/>
      <c r="S392" s="57"/>
      <c r="T392" s="56"/>
      <c r="U392" s="56"/>
      <c r="V392" s="56"/>
      <c r="W392" s="57"/>
      <c r="X392" s="51"/>
      <c r="Y392" s="51"/>
      <c r="Z392" s="51"/>
      <c r="AA392" s="51"/>
      <c r="AB392" s="51"/>
      <c r="AC392" s="51"/>
    </row>
    <row r="393" ht="15.75" customHeight="1">
      <c r="A393" s="56"/>
      <c r="B393" s="57"/>
      <c r="C393" s="58"/>
      <c r="D393" s="56"/>
      <c r="E393" s="56"/>
      <c r="F393" s="56"/>
      <c r="G393" s="56"/>
      <c r="H393" s="56"/>
      <c r="I393" s="56"/>
      <c r="J393" s="56"/>
      <c r="K393" s="56"/>
      <c r="L393" s="56"/>
      <c r="M393" s="56"/>
      <c r="N393" s="56"/>
      <c r="O393" s="59"/>
      <c r="P393" s="56"/>
      <c r="Q393" s="56"/>
      <c r="R393" s="56"/>
      <c r="S393" s="57"/>
      <c r="T393" s="56"/>
      <c r="U393" s="56"/>
      <c r="V393" s="56"/>
      <c r="W393" s="57"/>
      <c r="X393" s="51"/>
      <c r="Y393" s="51"/>
      <c r="Z393" s="51"/>
      <c r="AA393" s="51"/>
      <c r="AB393" s="51"/>
      <c r="AC393" s="51"/>
    </row>
    <row r="394" ht="15.75" customHeight="1">
      <c r="A394" s="56"/>
      <c r="B394" s="57"/>
      <c r="C394" s="58"/>
      <c r="D394" s="56"/>
      <c r="E394" s="56"/>
      <c r="F394" s="56"/>
      <c r="G394" s="56"/>
      <c r="H394" s="56"/>
      <c r="I394" s="56"/>
      <c r="J394" s="56"/>
      <c r="K394" s="56"/>
      <c r="L394" s="56"/>
      <c r="M394" s="56"/>
      <c r="N394" s="56"/>
      <c r="O394" s="59"/>
      <c r="P394" s="56"/>
      <c r="Q394" s="56"/>
      <c r="R394" s="56"/>
      <c r="S394" s="57"/>
      <c r="T394" s="56"/>
      <c r="U394" s="56"/>
      <c r="V394" s="56"/>
      <c r="W394" s="57"/>
      <c r="X394" s="51"/>
      <c r="Y394" s="51"/>
      <c r="Z394" s="51"/>
      <c r="AA394" s="51"/>
      <c r="AB394" s="51"/>
      <c r="AC394" s="51"/>
    </row>
    <row r="395" ht="15.75" customHeight="1">
      <c r="A395" s="56"/>
      <c r="B395" s="57"/>
      <c r="C395" s="58"/>
      <c r="D395" s="56"/>
      <c r="E395" s="56"/>
      <c r="F395" s="56"/>
      <c r="G395" s="56"/>
      <c r="H395" s="56"/>
      <c r="I395" s="56"/>
      <c r="J395" s="56"/>
      <c r="K395" s="56"/>
      <c r="L395" s="56"/>
      <c r="M395" s="56"/>
      <c r="N395" s="56"/>
      <c r="O395" s="59"/>
      <c r="P395" s="56"/>
      <c r="Q395" s="56"/>
      <c r="R395" s="56"/>
      <c r="S395" s="57"/>
      <c r="T395" s="56"/>
      <c r="U395" s="56"/>
      <c r="V395" s="56"/>
      <c r="W395" s="57"/>
      <c r="X395" s="51"/>
      <c r="Y395" s="51"/>
      <c r="Z395" s="51"/>
      <c r="AA395" s="51"/>
      <c r="AB395" s="51"/>
      <c r="AC395" s="51"/>
    </row>
    <row r="396" ht="15.75" customHeight="1">
      <c r="A396" s="56"/>
      <c r="B396" s="57"/>
      <c r="C396" s="58"/>
      <c r="D396" s="56"/>
      <c r="E396" s="56"/>
      <c r="F396" s="56"/>
      <c r="G396" s="56"/>
      <c r="H396" s="56"/>
      <c r="I396" s="56"/>
      <c r="J396" s="56"/>
      <c r="K396" s="56"/>
      <c r="L396" s="56"/>
      <c r="M396" s="56"/>
      <c r="N396" s="56"/>
      <c r="O396" s="59"/>
      <c r="P396" s="56"/>
      <c r="Q396" s="56"/>
      <c r="R396" s="56"/>
      <c r="S396" s="57"/>
      <c r="T396" s="56"/>
      <c r="U396" s="56"/>
      <c r="V396" s="56"/>
      <c r="W396" s="57"/>
      <c r="X396" s="51"/>
      <c r="Y396" s="51"/>
      <c r="Z396" s="51"/>
      <c r="AA396" s="51"/>
      <c r="AB396" s="51"/>
      <c r="AC396" s="51"/>
    </row>
    <row r="397" ht="15.75" customHeight="1">
      <c r="A397" s="56"/>
      <c r="B397" s="57"/>
      <c r="C397" s="58"/>
      <c r="D397" s="56"/>
      <c r="E397" s="56"/>
      <c r="F397" s="56"/>
      <c r="G397" s="56"/>
      <c r="H397" s="56"/>
      <c r="I397" s="56"/>
      <c r="J397" s="56"/>
      <c r="K397" s="56"/>
      <c r="L397" s="56"/>
      <c r="M397" s="56"/>
      <c r="N397" s="56"/>
      <c r="O397" s="59"/>
      <c r="P397" s="56"/>
      <c r="Q397" s="56"/>
      <c r="R397" s="56"/>
      <c r="S397" s="57"/>
      <c r="T397" s="56"/>
      <c r="U397" s="56"/>
      <c r="V397" s="56"/>
      <c r="W397" s="57"/>
      <c r="X397" s="51"/>
      <c r="Y397" s="51"/>
      <c r="Z397" s="51"/>
      <c r="AA397" s="51"/>
      <c r="AB397" s="51"/>
      <c r="AC397" s="51"/>
    </row>
    <row r="398" ht="15.75" customHeight="1">
      <c r="A398" s="56"/>
      <c r="B398" s="57"/>
      <c r="C398" s="58"/>
      <c r="D398" s="56"/>
      <c r="E398" s="56"/>
      <c r="F398" s="56"/>
      <c r="G398" s="56"/>
      <c r="H398" s="56"/>
      <c r="I398" s="56"/>
      <c r="J398" s="56"/>
      <c r="K398" s="56"/>
      <c r="L398" s="56"/>
      <c r="M398" s="56"/>
      <c r="N398" s="56"/>
      <c r="O398" s="59"/>
      <c r="P398" s="56"/>
      <c r="Q398" s="56"/>
      <c r="R398" s="56"/>
      <c r="S398" s="57"/>
      <c r="T398" s="56"/>
      <c r="U398" s="56"/>
      <c r="V398" s="56"/>
      <c r="W398" s="57"/>
      <c r="X398" s="51"/>
      <c r="Y398" s="51"/>
      <c r="Z398" s="51"/>
      <c r="AA398" s="51"/>
      <c r="AB398" s="51"/>
      <c r="AC398" s="51"/>
    </row>
    <row r="399" ht="15.75" customHeight="1">
      <c r="A399" s="56"/>
      <c r="B399" s="57"/>
      <c r="C399" s="58"/>
      <c r="D399" s="56"/>
      <c r="E399" s="56"/>
      <c r="F399" s="56"/>
      <c r="G399" s="56"/>
      <c r="H399" s="56"/>
      <c r="I399" s="56"/>
      <c r="J399" s="56"/>
      <c r="K399" s="56"/>
      <c r="L399" s="56"/>
      <c r="M399" s="56"/>
      <c r="N399" s="56"/>
      <c r="O399" s="59"/>
      <c r="P399" s="56"/>
      <c r="Q399" s="56"/>
      <c r="R399" s="56"/>
      <c r="S399" s="57"/>
      <c r="T399" s="56"/>
      <c r="U399" s="56"/>
      <c r="V399" s="56"/>
      <c r="W399" s="57"/>
      <c r="X399" s="51"/>
      <c r="Y399" s="51"/>
      <c r="Z399" s="51"/>
      <c r="AA399" s="51"/>
      <c r="AB399" s="51"/>
      <c r="AC399" s="51"/>
    </row>
    <row r="400" ht="15.75" customHeight="1">
      <c r="A400" s="56"/>
      <c r="B400" s="57"/>
      <c r="C400" s="58"/>
      <c r="D400" s="56"/>
      <c r="E400" s="56"/>
      <c r="F400" s="56"/>
      <c r="G400" s="56"/>
      <c r="H400" s="56"/>
      <c r="I400" s="56"/>
      <c r="J400" s="56"/>
      <c r="K400" s="56"/>
      <c r="L400" s="56"/>
      <c r="M400" s="56"/>
      <c r="N400" s="56"/>
      <c r="O400" s="59"/>
      <c r="P400" s="56"/>
      <c r="Q400" s="56"/>
      <c r="R400" s="56"/>
      <c r="S400" s="57"/>
      <c r="T400" s="56"/>
      <c r="U400" s="56"/>
      <c r="V400" s="56"/>
      <c r="W400" s="57"/>
      <c r="X400" s="51"/>
      <c r="Y400" s="51"/>
      <c r="Z400" s="51"/>
      <c r="AA400" s="51"/>
      <c r="AB400" s="51"/>
      <c r="AC400" s="51"/>
    </row>
    <row r="401" ht="15.75" customHeight="1">
      <c r="A401" s="56"/>
      <c r="B401" s="57"/>
      <c r="C401" s="58"/>
      <c r="D401" s="56"/>
      <c r="E401" s="56"/>
      <c r="F401" s="56"/>
      <c r="G401" s="56"/>
      <c r="H401" s="56"/>
      <c r="I401" s="56"/>
      <c r="J401" s="56"/>
      <c r="K401" s="56"/>
      <c r="L401" s="56"/>
      <c r="M401" s="56"/>
      <c r="N401" s="56"/>
      <c r="O401" s="59"/>
      <c r="P401" s="56"/>
      <c r="Q401" s="56"/>
      <c r="R401" s="56"/>
      <c r="S401" s="57"/>
      <c r="T401" s="56"/>
      <c r="U401" s="56"/>
      <c r="V401" s="56"/>
      <c r="W401" s="57"/>
      <c r="X401" s="51"/>
      <c r="Y401" s="51"/>
      <c r="Z401" s="51"/>
      <c r="AA401" s="51"/>
      <c r="AB401" s="51"/>
      <c r="AC401" s="51"/>
    </row>
    <row r="402" ht="15.75" customHeight="1">
      <c r="A402" s="56"/>
      <c r="B402" s="57"/>
      <c r="C402" s="58"/>
      <c r="D402" s="56"/>
      <c r="E402" s="56"/>
      <c r="F402" s="56"/>
      <c r="G402" s="56"/>
      <c r="H402" s="56"/>
      <c r="I402" s="56"/>
      <c r="J402" s="56"/>
      <c r="K402" s="56"/>
      <c r="L402" s="56"/>
      <c r="M402" s="56"/>
      <c r="N402" s="56"/>
      <c r="O402" s="59"/>
      <c r="P402" s="56"/>
      <c r="Q402" s="56"/>
      <c r="R402" s="56"/>
      <c r="S402" s="57"/>
      <c r="T402" s="56"/>
      <c r="U402" s="56"/>
      <c r="V402" s="56"/>
      <c r="W402" s="57"/>
      <c r="X402" s="51"/>
      <c r="Y402" s="51"/>
      <c r="Z402" s="51"/>
      <c r="AA402" s="51"/>
      <c r="AB402" s="51"/>
      <c r="AC402" s="51"/>
    </row>
    <row r="403" ht="15.75" customHeight="1">
      <c r="A403" s="56"/>
      <c r="B403" s="57"/>
      <c r="C403" s="58"/>
      <c r="D403" s="56"/>
      <c r="E403" s="56"/>
      <c r="F403" s="56"/>
      <c r="G403" s="56"/>
      <c r="H403" s="56"/>
      <c r="I403" s="56"/>
      <c r="J403" s="56"/>
      <c r="K403" s="56"/>
      <c r="L403" s="56"/>
      <c r="M403" s="56"/>
      <c r="N403" s="56"/>
      <c r="O403" s="59"/>
      <c r="P403" s="56"/>
      <c r="Q403" s="56"/>
      <c r="R403" s="56"/>
      <c r="S403" s="57"/>
      <c r="T403" s="56"/>
      <c r="U403" s="56"/>
      <c r="V403" s="56"/>
      <c r="W403" s="57"/>
      <c r="X403" s="51"/>
      <c r="Y403" s="51"/>
      <c r="Z403" s="51"/>
      <c r="AA403" s="51"/>
      <c r="AB403" s="51"/>
      <c r="AC403" s="51"/>
    </row>
    <row r="404" ht="15.75" customHeight="1">
      <c r="A404" s="56"/>
      <c r="B404" s="57"/>
      <c r="C404" s="58"/>
      <c r="D404" s="56"/>
      <c r="E404" s="56"/>
      <c r="F404" s="56"/>
      <c r="G404" s="56"/>
      <c r="H404" s="56"/>
      <c r="I404" s="56"/>
      <c r="J404" s="56"/>
      <c r="K404" s="56"/>
      <c r="L404" s="56"/>
      <c r="M404" s="56"/>
      <c r="N404" s="56"/>
      <c r="O404" s="59"/>
      <c r="P404" s="56"/>
      <c r="Q404" s="56"/>
      <c r="R404" s="56"/>
      <c r="S404" s="57"/>
      <c r="T404" s="56"/>
      <c r="U404" s="56"/>
      <c r="V404" s="56"/>
      <c r="W404" s="57"/>
      <c r="X404" s="51"/>
      <c r="Y404" s="51"/>
      <c r="Z404" s="51"/>
      <c r="AA404" s="51"/>
      <c r="AB404" s="51"/>
      <c r="AC404" s="51"/>
    </row>
    <row r="405" ht="15.75" customHeight="1">
      <c r="A405" s="56"/>
      <c r="B405" s="57"/>
      <c r="C405" s="58"/>
      <c r="D405" s="56"/>
      <c r="E405" s="56"/>
      <c r="F405" s="56"/>
      <c r="G405" s="56"/>
      <c r="H405" s="56"/>
      <c r="I405" s="56"/>
      <c r="J405" s="56"/>
      <c r="K405" s="56"/>
      <c r="L405" s="56"/>
      <c r="M405" s="56"/>
      <c r="N405" s="56"/>
      <c r="O405" s="59"/>
      <c r="P405" s="56"/>
      <c r="Q405" s="56"/>
      <c r="R405" s="56"/>
      <c r="S405" s="57"/>
      <c r="T405" s="56"/>
      <c r="U405" s="56"/>
      <c r="V405" s="56"/>
      <c r="W405" s="57"/>
      <c r="X405" s="51"/>
      <c r="Y405" s="51"/>
      <c r="Z405" s="51"/>
      <c r="AA405" s="51"/>
      <c r="AB405" s="51"/>
      <c r="AC405" s="51"/>
    </row>
    <row r="406" ht="15.75" customHeight="1">
      <c r="A406" s="56"/>
      <c r="B406" s="57"/>
      <c r="C406" s="58"/>
      <c r="D406" s="56"/>
      <c r="E406" s="56"/>
      <c r="F406" s="56"/>
      <c r="G406" s="56"/>
      <c r="H406" s="56"/>
      <c r="I406" s="56"/>
      <c r="J406" s="56"/>
      <c r="K406" s="56"/>
      <c r="L406" s="56"/>
      <c r="M406" s="56"/>
      <c r="N406" s="56"/>
      <c r="O406" s="59"/>
      <c r="P406" s="56"/>
      <c r="Q406" s="56"/>
      <c r="R406" s="56"/>
      <c r="S406" s="57"/>
      <c r="T406" s="56"/>
      <c r="U406" s="56"/>
      <c r="V406" s="56"/>
      <c r="W406" s="57"/>
      <c r="X406" s="51"/>
      <c r="Y406" s="51"/>
      <c r="Z406" s="51"/>
      <c r="AA406" s="51"/>
      <c r="AB406" s="51"/>
      <c r="AC406" s="51"/>
    </row>
    <row r="407" ht="15.75" customHeight="1">
      <c r="A407" s="56"/>
      <c r="B407" s="57"/>
      <c r="C407" s="58"/>
      <c r="D407" s="56"/>
      <c r="E407" s="56"/>
      <c r="F407" s="56"/>
      <c r="G407" s="56"/>
      <c r="H407" s="56"/>
      <c r="I407" s="56"/>
      <c r="J407" s="56"/>
      <c r="K407" s="56"/>
      <c r="L407" s="56"/>
      <c r="M407" s="56"/>
      <c r="N407" s="56"/>
      <c r="O407" s="59"/>
      <c r="P407" s="56"/>
      <c r="Q407" s="56"/>
      <c r="R407" s="56"/>
      <c r="S407" s="57"/>
      <c r="T407" s="56"/>
      <c r="U407" s="56"/>
      <c r="V407" s="56"/>
      <c r="W407" s="57"/>
      <c r="X407" s="51"/>
      <c r="Y407" s="51"/>
      <c r="Z407" s="51"/>
      <c r="AA407" s="51"/>
      <c r="AB407" s="51"/>
      <c r="AC407" s="51"/>
    </row>
    <row r="408" ht="15.75" customHeight="1">
      <c r="A408" s="56"/>
      <c r="B408" s="57"/>
      <c r="C408" s="58"/>
      <c r="D408" s="56"/>
      <c r="E408" s="56"/>
      <c r="F408" s="56"/>
      <c r="G408" s="56"/>
      <c r="H408" s="56"/>
      <c r="I408" s="56"/>
      <c r="J408" s="56"/>
      <c r="K408" s="56"/>
      <c r="L408" s="56"/>
      <c r="M408" s="56"/>
      <c r="N408" s="56"/>
      <c r="O408" s="59"/>
      <c r="P408" s="56"/>
      <c r="Q408" s="56"/>
      <c r="R408" s="56"/>
      <c r="S408" s="57"/>
      <c r="T408" s="56"/>
      <c r="U408" s="56"/>
      <c r="V408" s="56"/>
      <c r="W408" s="57"/>
      <c r="X408" s="51"/>
      <c r="Y408" s="51"/>
      <c r="Z408" s="51"/>
      <c r="AA408" s="51"/>
      <c r="AB408" s="51"/>
      <c r="AC408" s="51"/>
    </row>
    <row r="409" ht="15.75" customHeight="1">
      <c r="A409" s="56"/>
      <c r="B409" s="57"/>
      <c r="C409" s="58"/>
      <c r="D409" s="56"/>
      <c r="E409" s="56"/>
      <c r="F409" s="56"/>
      <c r="G409" s="56"/>
      <c r="H409" s="56"/>
      <c r="I409" s="56"/>
      <c r="J409" s="56"/>
      <c r="K409" s="56"/>
      <c r="L409" s="56"/>
      <c r="M409" s="56"/>
      <c r="N409" s="56"/>
      <c r="O409" s="59"/>
      <c r="P409" s="56"/>
      <c r="Q409" s="56"/>
      <c r="R409" s="56"/>
      <c r="S409" s="57"/>
      <c r="T409" s="56"/>
      <c r="U409" s="56"/>
      <c r="V409" s="56"/>
      <c r="W409" s="57"/>
      <c r="X409" s="51"/>
      <c r="Y409" s="51"/>
      <c r="Z409" s="51"/>
      <c r="AA409" s="51"/>
      <c r="AB409" s="51"/>
      <c r="AC409" s="51"/>
    </row>
    <row r="410" ht="15.75" customHeight="1">
      <c r="A410" s="56"/>
      <c r="B410" s="57"/>
      <c r="C410" s="58"/>
      <c r="D410" s="56"/>
      <c r="E410" s="56"/>
      <c r="F410" s="56"/>
      <c r="G410" s="56"/>
      <c r="H410" s="56"/>
      <c r="I410" s="56"/>
      <c r="J410" s="56"/>
      <c r="K410" s="56"/>
      <c r="L410" s="56"/>
      <c r="M410" s="56"/>
      <c r="N410" s="56"/>
      <c r="O410" s="59"/>
      <c r="P410" s="56"/>
      <c r="Q410" s="56"/>
      <c r="R410" s="56"/>
      <c r="S410" s="57"/>
      <c r="T410" s="56"/>
      <c r="U410" s="56"/>
      <c r="V410" s="56"/>
      <c r="W410" s="57"/>
      <c r="X410" s="51"/>
      <c r="Y410" s="51"/>
      <c r="Z410" s="51"/>
      <c r="AA410" s="51"/>
      <c r="AB410" s="51"/>
      <c r="AC410" s="51"/>
    </row>
    <row r="411" ht="15.75" customHeight="1">
      <c r="A411" s="56"/>
      <c r="B411" s="57"/>
      <c r="C411" s="58"/>
      <c r="D411" s="56"/>
      <c r="E411" s="56"/>
      <c r="F411" s="56"/>
      <c r="G411" s="56"/>
      <c r="H411" s="56"/>
      <c r="I411" s="56"/>
      <c r="J411" s="56"/>
      <c r="K411" s="56"/>
      <c r="L411" s="56"/>
      <c r="M411" s="56"/>
      <c r="N411" s="56"/>
      <c r="O411" s="59"/>
      <c r="P411" s="56"/>
      <c r="Q411" s="56"/>
      <c r="R411" s="56"/>
      <c r="S411" s="57"/>
      <c r="T411" s="56"/>
      <c r="U411" s="56"/>
      <c r="V411" s="56"/>
      <c r="W411" s="57"/>
      <c r="X411" s="51"/>
      <c r="Y411" s="51"/>
      <c r="Z411" s="51"/>
      <c r="AA411" s="51"/>
      <c r="AB411" s="51"/>
      <c r="AC411" s="51"/>
    </row>
    <row r="412" ht="15.75" customHeight="1">
      <c r="A412" s="56"/>
      <c r="B412" s="57"/>
      <c r="C412" s="58"/>
      <c r="D412" s="56"/>
      <c r="E412" s="56"/>
      <c r="F412" s="56"/>
      <c r="G412" s="56"/>
      <c r="H412" s="56"/>
      <c r="I412" s="56"/>
      <c r="J412" s="56"/>
      <c r="K412" s="56"/>
      <c r="L412" s="56"/>
      <c r="M412" s="56"/>
      <c r="N412" s="56"/>
      <c r="O412" s="59"/>
      <c r="P412" s="56"/>
      <c r="Q412" s="56"/>
      <c r="R412" s="56"/>
      <c r="S412" s="57"/>
      <c r="T412" s="56"/>
      <c r="U412" s="56"/>
      <c r="V412" s="56"/>
      <c r="W412" s="57"/>
      <c r="X412" s="51"/>
      <c r="Y412" s="51"/>
      <c r="Z412" s="51"/>
      <c r="AA412" s="51"/>
      <c r="AB412" s="51"/>
      <c r="AC412" s="51"/>
    </row>
    <row r="413" ht="15.75" customHeight="1">
      <c r="A413" s="56"/>
      <c r="B413" s="57"/>
      <c r="C413" s="58"/>
      <c r="D413" s="56"/>
      <c r="E413" s="56"/>
      <c r="F413" s="56"/>
      <c r="G413" s="56"/>
      <c r="H413" s="56"/>
      <c r="I413" s="56"/>
      <c r="J413" s="56"/>
      <c r="K413" s="56"/>
      <c r="L413" s="56"/>
      <c r="M413" s="56"/>
      <c r="N413" s="56"/>
      <c r="O413" s="59"/>
      <c r="P413" s="56"/>
      <c r="Q413" s="56"/>
      <c r="R413" s="56"/>
      <c r="S413" s="57"/>
      <c r="T413" s="56"/>
      <c r="U413" s="56"/>
      <c r="V413" s="56"/>
      <c r="W413" s="57"/>
      <c r="X413" s="51"/>
      <c r="Y413" s="51"/>
      <c r="Z413" s="51"/>
      <c r="AA413" s="51"/>
      <c r="AB413" s="51"/>
      <c r="AC413" s="51"/>
    </row>
    <row r="414" ht="15.75" customHeight="1">
      <c r="A414" s="56"/>
      <c r="B414" s="57"/>
      <c r="C414" s="58"/>
      <c r="D414" s="56"/>
      <c r="E414" s="56"/>
      <c r="F414" s="56"/>
      <c r="G414" s="56"/>
      <c r="H414" s="56"/>
      <c r="I414" s="56"/>
      <c r="J414" s="56"/>
      <c r="K414" s="56"/>
      <c r="L414" s="56"/>
      <c r="M414" s="56"/>
      <c r="N414" s="56"/>
      <c r="O414" s="59"/>
      <c r="P414" s="56"/>
      <c r="Q414" s="56"/>
      <c r="R414" s="56"/>
      <c r="S414" s="57"/>
      <c r="T414" s="56"/>
      <c r="U414" s="56"/>
      <c r="V414" s="56"/>
      <c r="W414" s="57"/>
      <c r="X414" s="51"/>
      <c r="Y414" s="51"/>
      <c r="Z414" s="51"/>
      <c r="AA414" s="51"/>
      <c r="AB414" s="51"/>
      <c r="AC414" s="51"/>
    </row>
    <row r="415" ht="15.75" customHeight="1">
      <c r="A415" s="56"/>
      <c r="B415" s="57"/>
      <c r="C415" s="58"/>
      <c r="D415" s="56"/>
      <c r="E415" s="56"/>
      <c r="F415" s="56"/>
      <c r="G415" s="56"/>
      <c r="H415" s="56"/>
      <c r="I415" s="56"/>
      <c r="J415" s="56"/>
      <c r="K415" s="56"/>
      <c r="L415" s="56"/>
      <c r="M415" s="56"/>
      <c r="N415" s="56"/>
      <c r="O415" s="59"/>
      <c r="P415" s="56"/>
      <c r="Q415" s="56"/>
      <c r="R415" s="56"/>
      <c r="S415" s="57"/>
      <c r="T415" s="56"/>
      <c r="U415" s="56"/>
      <c r="V415" s="56"/>
      <c r="W415" s="57"/>
      <c r="X415" s="51"/>
      <c r="Y415" s="51"/>
      <c r="Z415" s="51"/>
      <c r="AA415" s="51"/>
      <c r="AB415" s="51"/>
      <c r="AC415" s="51"/>
    </row>
    <row r="416" ht="15.75" customHeight="1">
      <c r="A416" s="56"/>
      <c r="B416" s="57"/>
      <c r="C416" s="58"/>
      <c r="D416" s="56"/>
      <c r="E416" s="56"/>
      <c r="F416" s="56"/>
      <c r="G416" s="56"/>
      <c r="H416" s="56"/>
      <c r="I416" s="56"/>
      <c r="J416" s="56"/>
      <c r="K416" s="56"/>
      <c r="L416" s="56"/>
      <c r="M416" s="56"/>
      <c r="N416" s="56"/>
      <c r="O416" s="59"/>
      <c r="P416" s="56"/>
      <c r="Q416" s="56"/>
      <c r="R416" s="56"/>
      <c r="S416" s="57"/>
      <c r="T416" s="56"/>
      <c r="U416" s="56"/>
      <c r="V416" s="56"/>
      <c r="W416" s="57"/>
      <c r="X416" s="51"/>
      <c r="Y416" s="51"/>
      <c r="Z416" s="51"/>
      <c r="AA416" s="51"/>
      <c r="AB416" s="51"/>
      <c r="AC416" s="51"/>
    </row>
    <row r="417" ht="15.75" customHeight="1">
      <c r="A417" s="56"/>
      <c r="B417" s="57"/>
      <c r="C417" s="58"/>
      <c r="D417" s="56"/>
      <c r="E417" s="56"/>
      <c r="F417" s="56"/>
      <c r="G417" s="56"/>
      <c r="H417" s="56"/>
      <c r="I417" s="56"/>
      <c r="J417" s="56"/>
      <c r="K417" s="56"/>
      <c r="L417" s="56"/>
      <c r="M417" s="56"/>
      <c r="N417" s="56"/>
      <c r="O417" s="59"/>
      <c r="P417" s="56"/>
      <c r="Q417" s="56"/>
      <c r="R417" s="56"/>
      <c r="S417" s="57"/>
      <c r="T417" s="56"/>
      <c r="U417" s="56"/>
      <c r="V417" s="56"/>
      <c r="W417" s="57"/>
      <c r="X417" s="51"/>
      <c r="Y417" s="51"/>
      <c r="Z417" s="51"/>
      <c r="AA417" s="51"/>
      <c r="AB417" s="51"/>
      <c r="AC417" s="51"/>
    </row>
    <row r="418" ht="15.75" customHeight="1">
      <c r="A418" s="56"/>
      <c r="B418" s="57"/>
      <c r="C418" s="58"/>
      <c r="D418" s="56"/>
      <c r="E418" s="56"/>
      <c r="F418" s="56"/>
      <c r="G418" s="56"/>
      <c r="H418" s="56"/>
      <c r="I418" s="56"/>
      <c r="J418" s="56"/>
      <c r="K418" s="56"/>
      <c r="L418" s="56"/>
      <c r="M418" s="56"/>
      <c r="N418" s="56"/>
      <c r="O418" s="59"/>
      <c r="P418" s="56"/>
      <c r="Q418" s="56"/>
      <c r="R418" s="56"/>
      <c r="S418" s="57"/>
      <c r="T418" s="56"/>
      <c r="U418" s="56"/>
      <c r="V418" s="56"/>
      <c r="W418" s="57"/>
      <c r="X418" s="51"/>
      <c r="Y418" s="51"/>
      <c r="Z418" s="51"/>
      <c r="AA418" s="51"/>
      <c r="AB418" s="51"/>
      <c r="AC418" s="51"/>
    </row>
    <row r="419" ht="15.75" customHeight="1">
      <c r="A419" s="56"/>
      <c r="B419" s="57"/>
      <c r="C419" s="58"/>
      <c r="D419" s="56"/>
      <c r="E419" s="56"/>
      <c r="F419" s="56"/>
      <c r="G419" s="56"/>
      <c r="H419" s="56"/>
      <c r="I419" s="56"/>
      <c r="J419" s="56"/>
      <c r="K419" s="56"/>
      <c r="L419" s="56"/>
      <c r="M419" s="56"/>
      <c r="N419" s="56"/>
      <c r="O419" s="59"/>
      <c r="P419" s="56"/>
      <c r="Q419" s="56"/>
      <c r="R419" s="56"/>
      <c r="S419" s="57"/>
      <c r="T419" s="56"/>
      <c r="U419" s="56"/>
      <c r="V419" s="56"/>
      <c r="W419" s="57"/>
      <c r="X419" s="51"/>
      <c r="Y419" s="51"/>
      <c r="Z419" s="51"/>
      <c r="AA419" s="51"/>
      <c r="AB419" s="51"/>
      <c r="AC419" s="51"/>
    </row>
    <row r="420" ht="15.75" customHeight="1">
      <c r="A420" s="56"/>
      <c r="B420" s="57"/>
      <c r="C420" s="58"/>
      <c r="D420" s="56"/>
      <c r="E420" s="56"/>
      <c r="F420" s="56"/>
      <c r="G420" s="56"/>
      <c r="H420" s="56"/>
      <c r="I420" s="56"/>
      <c r="J420" s="56"/>
      <c r="K420" s="56"/>
      <c r="L420" s="56"/>
      <c r="M420" s="56"/>
      <c r="N420" s="56"/>
      <c r="O420" s="59"/>
      <c r="P420" s="56"/>
      <c r="Q420" s="56"/>
      <c r="R420" s="56"/>
      <c r="S420" s="57"/>
      <c r="T420" s="56"/>
      <c r="U420" s="56"/>
      <c r="V420" s="56"/>
      <c r="W420" s="57"/>
      <c r="X420" s="51"/>
      <c r="Y420" s="51"/>
      <c r="Z420" s="51"/>
      <c r="AA420" s="51"/>
      <c r="AB420" s="51"/>
      <c r="AC420" s="51"/>
    </row>
    <row r="421" ht="15.75" customHeight="1">
      <c r="A421" s="56"/>
      <c r="B421" s="57"/>
      <c r="C421" s="58"/>
      <c r="D421" s="56"/>
      <c r="E421" s="56"/>
      <c r="F421" s="56"/>
      <c r="G421" s="56"/>
      <c r="H421" s="56"/>
      <c r="I421" s="56"/>
      <c r="J421" s="56"/>
      <c r="K421" s="56"/>
      <c r="L421" s="56"/>
      <c r="M421" s="56"/>
      <c r="N421" s="56"/>
      <c r="O421" s="59"/>
      <c r="P421" s="56"/>
      <c r="Q421" s="56"/>
      <c r="R421" s="56"/>
      <c r="S421" s="57"/>
      <c r="T421" s="56"/>
      <c r="U421" s="56"/>
      <c r="V421" s="56"/>
      <c r="W421" s="57"/>
      <c r="X421" s="51"/>
      <c r="Y421" s="51"/>
      <c r="Z421" s="51"/>
      <c r="AA421" s="51"/>
      <c r="AB421" s="51"/>
      <c r="AC421" s="51"/>
    </row>
    <row r="422" ht="15.75" customHeight="1">
      <c r="A422" s="56"/>
      <c r="B422" s="57"/>
      <c r="C422" s="58"/>
      <c r="D422" s="56"/>
      <c r="E422" s="56"/>
      <c r="F422" s="56"/>
      <c r="G422" s="56"/>
      <c r="H422" s="56"/>
      <c r="I422" s="56"/>
      <c r="J422" s="56"/>
      <c r="K422" s="56"/>
      <c r="L422" s="56"/>
      <c r="M422" s="56"/>
      <c r="N422" s="56"/>
      <c r="O422" s="59"/>
      <c r="P422" s="56"/>
      <c r="Q422" s="56"/>
      <c r="R422" s="56"/>
      <c r="S422" s="57"/>
      <c r="T422" s="56"/>
      <c r="U422" s="56"/>
      <c r="V422" s="56"/>
      <c r="W422" s="57"/>
      <c r="X422" s="51"/>
      <c r="Y422" s="51"/>
      <c r="Z422" s="51"/>
      <c r="AA422" s="51"/>
      <c r="AB422" s="51"/>
      <c r="AC422" s="51"/>
    </row>
    <row r="423" ht="15.75" customHeight="1">
      <c r="A423" s="56"/>
      <c r="B423" s="57"/>
      <c r="C423" s="58"/>
      <c r="D423" s="56"/>
      <c r="E423" s="56"/>
      <c r="F423" s="56"/>
      <c r="G423" s="56"/>
      <c r="H423" s="56"/>
      <c r="I423" s="56"/>
      <c r="J423" s="56"/>
      <c r="K423" s="56"/>
      <c r="L423" s="56"/>
      <c r="M423" s="56"/>
      <c r="N423" s="56"/>
      <c r="O423" s="59"/>
      <c r="P423" s="56"/>
      <c r="Q423" s="56"/>
      <c r="R423" s="56"/>
      <c r="S423" s="57"/>
      <c r="T423" s="56"/>
      <c r="U423" s="56"/>
      <c r="V423" s="56"/>
      <c r="W423" s="57"/>
      <c r="X423" s="51"/>
      <c r="Y423" s="51"/>
      <c r="Z423" s="51"/>
      <c r="AA423" s="51"/>
      <c r="AB423" s="51"/>
      <c r="AC423" s="51"/>
    </row>
    <row r="424" ht="15.75" customHeight="1">
      <c r="A424" s="56"/>
      <c r="B424" s="57"/>
      <c r="C424" s="58"/>
      <c r="D424" s="56"/>
      <c r="E424" s="56"/>
      <c r="F424" s="56"/>
      <c r="G424" s="56"/>
      <c r="H424" s="56"/>
      <c r="I424" s="56"/>
      <c r="J424" s="56"/>
      <c r="K424" s="56"/>
      <c r="L424" s="56"/>
      <c r="M424" s="56"/>
      <c r="N424" s="56"/>
      <c r="O424" s="59"/>
      <c r="P424" s="56"/>
      <c r="Q424" s="56"/>
      <c r="R424" s="56"/>
      <c r="S424" s="57"/>
      <c r="T424" s="56"/>
      <c r="U424" s="56"/>
      <c r="V424" s="56"/>
      <c r="W424" s="57"/>
      <c r="X424" s="51"/>
      <c r="Y424" s="51"/>
      <c r="Z424" s="51"/>
      <c r="AA424" s="51"/>
      <c r="AB424" s="51"/>
      <c r="AC424" s="51"/>
    </row>
    <row r="425" ht="15.75" customHeight="1">
      <c r="A425" s="56"/>
      <c r="B425" s="57"/>
      <c r="C425" s="58"/>
      <c r="D425" s="56"/>
      <c r="E425" s="56"/>
      <c r="F425" s="56"/>
      <c r="G425" s="56"/>
      <c r="H425" s="56"/>
      <c r="I425" s="56"/>
      <c r="J425" s="56"/>
      <c r="K425" s="56"/>
      <c r="L425" s="56"/>
      <c r="M425" s="56"/>
      <c r="N425" s="56"/>
      <c r="O425" s="59"/>
      <c r="P425" s="56"/>
      <c r="Q425" s="56"/>
      <c r="R425" s="56"/>
      <c r="S425" s="57"/>
      <c r="T425" s="56"/>
      <c r="U425" s="56"/>
      <c r="V425" s="56"/>
      <c r="W425" s="57"/>
      <c r="X425" s="51"/>
      <c r="Y425" s="51"/>
      <c r="Z425" s="51"/>
      <c r="AA425" s="51"/>
      <c r="AB425" s="51"/>
      <c r="AC425" s="51"/>
    </row>
    <row r="426" ht="15.75" customHeight="1">
      <c r="A426" s="56"/>
      <c r="B426" s="57"/>
      <c r="C426" s="58"/>
      <c r="D426" s="56"/>
      <c r="E426" s="56"/>
      <c r="F426" s="56"/>
      <c r="G426" s="56"/>
      <c r="H426" s="56"/>
      <c r="I426" s="56"/>
      <c r="J426" s="56"/>
      <c r="K426" s="56"/>
      <c r="L426" s="56"/>
      <c r="M426" s="56"/>
      <c r="N426" s="56"/>
      <c r="O426" s="59"/>
      <c r="P426" s="56"/>
      <c r="Q426" s="56"/>
      <c r="R426" s="56"/>
      <c r="S426" s="57"/>
      <c r="T426" s="56"/>
      <c r="U426" s="56"/>
      <c r="V426" s="56"/>
      <c r="W426" s="57"/>
      <c r="X426" s="51"/>
      <c r="Y426" s="51"/>
      <c r="Z426" s="51"/>
      <c r="AA426" s="51"/>
      <c r="AB426" s="51"/>
      <c r="AC426" s="51"/>
    </row>
    <row r="427" ht="15.75" customHeight="1">
      <c r="A427" s="56"/>
      <c r="B427" s="57"/>
      <c r="C427" s="58"/>
      <c r="D427" s="56"/>
      <c r="E427" s="56"/>
      <c r="F427" s="56"/>
      <c r="G427" s="56"/>
      <c r="H427" s="56"/>
      <c r="I427" s="56"/>
      <c r="J427" s="56"/>
      <c r="K427" s="56"/>
      <c r="L427" s="56"/>
      <c r="M427" s="56"/>
      <c r="N427" s="56"/>
      <c r="O427" s="59"/>
      <c r="P427" s="56"/>
      <c r="Q427" s="56"/>
      <c r="R427" s="56"/>
      <c r="S427" s="57"/>
      <c r="T427" s="56"/>
      <c r="U427" s="56"/>
      <c r="V427" s="56"/>
      <c r="W427" s="57"/>
      <c r="X427" s="51"/>
      <c r="Y427" s="51"/>
      <c r="Z427" s="51"/>
      <c r="AA427" s="51"/>
      <c r="AB427" s="51"/>
      <c r="AC427" s="51"/>
    </row>
    <row r="428" ht="15.75" customHeight="1">
      <c r="A428" s="56"/>
      <c r="B428" s="57"/>
      <c r="C428" s="58"/>
      <c r="D428" s="56"/>
      <c r="E428" s="56"/>
      <c r="F428" s="56"/>
      <c r="G428" s="56"/>
      <c r="H428" s="56"/>
      <c r="I428" s="56"/>
      <c r="J428" s="56"/>
      <c r="K428" s="56"/>
      <c r="L428" s="56"/>
      <c r="M428" s="56"/>
      <c r="N428" s="56"/>
      <c r="O428" s="59"/>
      <c r="P428" s="56"/>
      <c r="Q428" s="56"/>
      <c r="R428" s="56"/>
      <c r="S428" s="57"/>
      <c r="T428" s="56"/>
      <c r="U428" s="56"/>
      <c r="V428" s="56"/>
      <c r="W428" s="57"/>
      <c r="X428" s="51"/>
      <c r="Y428" s="51"/>
      <c r="Z428" s="51"/>
      <c r="AA428" s="51"/>
      <c r="AB428" s="51"/>
      <c r="AC428" s="51"/>
    </row>
    <row r="429" ht="15.75" customHeight="1">
      <c r="A429" s="56"/>
      <c r="B429" s="57"/>
      <c r="C429" s="58"/>
      <c r="D429" s="56"/>
      <c r="E429" s="56"/>
      <c r="F429" s="56"/>
      <c r="G429" s="56"/>
      <c r="H429" s="56"/>
      <c r="I429" s="56"/>
      <c r="J429" s="56"/>
      <c r="K429" s="56"/>
      <c r="L429" s="56"/>
      <c r="M429" s="56"/>
      <c r="N429" s="56"/>
      <c r="O429" s="59"/>
      <c r="P429" s="56"/>
      <c r="Q429" s="56"/>
      <c r="R429" s="56"/>
      <c r="S429" s="57"/>
      <c r="T429" s="56"/>
      <c r="U429" s="56"/>
      <c r="V429" s="56"/>
      <c r="W429" s="57"/>
      <c r="X429" s="51"/>
      <c r="Y429" s="51"/>
      <c r="Z429" s="51"/>
      <c r="AA429" s="51"/>
      <c r="AB429" s="51"/>
      <c r="AC429" s="51"/>
    </row>
    <row r="430" ht="15.75" customHeight="1">
      <c r="A430" s="56"/>
      <c r="B430" s="57"/>
      <c r="C430" s="58"/>
      <c r="D430" s="56"/>
      <c r="E430" s="56"/>
      <c r="F430" s="56"/>
      <c r="G430" s="56"/>
      <c r="H430" s="56"/>
      <c r="I430" s="56"/>
      <c r="J430" s="56"/>
      <c r="K430" s="56"/>
      <c r="L430" s="56"/>
      <c r="M430" s="56"/>
      <c r="N430" s="56"/>
      <c r="O430" s="59"/>
      <c r="P430" s="56"/>
      <c r="Q430" s="56"/>
      <c r="R430" s="56"/>
      <c r="S430" s="57"/>
      <c r="T430" s="56"/>
      <c r="U430" s="56"/>
      <c r="V430" s="56"/>
      <c r="W430" s="57"/>
      <c r="X430" s="51"/>
      <c r="Y430" s="51"/>
      <c r="Z430" s="51"/>
      <c r="AA430" s="51"/>
      <c r="AB430" s="51"/>
      <c r="AC430" s="51"/>
    </row>
    <row r="431" ht="15.75" customHeight="1">
      <c r="A431" s="56"/>
      <c r="B431" s="57"/>
      <c r="C431" s="58"/>
      <c r="D431" s="56"/>
      <c r="E431" s="56"/>
      <c r="F431" s="56"/>
      <c r="G431" s="56"/>
      <c r="H431" s="56"/>
      <c r="I431" s="56"/>
      <c r="J431" s="56"/>
      <c r="K431" s="56"/>
      <c r="L431" s="56"/>
      <c r="M431" s="56"/>
      <c r="N431" s="56"/>
      <c r="O431" s="59"/>
      <c r="P431" s="56"/>
      <c r="Q431" s="56"/>
      <c r="R431" s="56"/>
      <c r="S431" s="57"/>
      <c r="T431" s="56"/>
      <c r="U431" s="56"/>
      <c r="V431" s="56"/>
      <c r="W431" s="57"/>
      <c r="X431" s="51"/>
      <c r="Y431" s="51"/>
      <c r="Z431" s="51"/>
      <c r="AA431" s="51"/>
      <c r="AB431" s="51"/>
      <c r="AC431" s="51"/>
    </row>
    <row r="432" ht="15.75" customHeight="1">
      <c r="A432" s="56"/>
      <c r="B432" s="57"/>
      <c r="C432" s="58"/>
      <c r="D432" s="56"/>
      <c r="E432" s="56"/>
      <c r="F432" s="56"/>
      <c r="G432" s="56"/>
      <c r="H432" s="56"/>
      <c r="I432" s="56"/>
      <c r="J432" s="56"/>
      <c r="K432" s="56"/>
      <c r="L432" s="56"/>
      <c r="M432" s="56"/>
      <c r="N432" s="56"/>
      <c r="O432" s="59"/>
      <c r="P432" s="56"/>
      <c r="Q432" s="56"/>
      <c r="R432" s="56"/>
      <c r="S432" s="57"/>
      <c r="T432" s="56"/>
      <c r="U432" s="56"/>
      <c r="V432" s="56"/>
      <c r="W432" s="57"/>
      <c r="X432" s="51"/>
      <c r="Y432" s="51"/>
      <c r="Z432" s="51"/>
      <c r="AA432" s="51"/>
      <c r="AB432" s="51"/>
      <c r="AC432" s="51"/>
    </row>
    <row r="433" ht="15.75" customHeight="1">
      <c r="A433" s="56"/>
      <c r="B433" s="57"/>
      <c r="C433" s="58"/>
      <c r="D433" s="56"/>
      <c r="E433" s="56"/>
      <c r="F433" s="56"/>
      <c r="G433" s="56"/>
      <c r="H433" s="56"/>
      <c r="I433" s="56"/>
      <c r="J433" s="56"/>
      <c r="K433" s="56"/>
      <c r="L433" s="56"/>
      <c r="M433" s="56"/>
      <c r="N433" s="56"/>
      <c r="O433" s="59"/>
      <c r="P433" s="56"/>
      <c r="Q433" s="56"/>
      <c r="R433" s="56"/>
      <c r="S433" s="57"/>
      <c r="T433" s="56"/>
      <c r="U433" s="56"/>
      <c r="V433" s="56"/>
      <c r="W433" s="57"/>
      <c r="X433" s="51"/>
      <c r="Y433" s="51"/>
      <c r="Z433" s="51"/>
      <c r="AA433" s="51"/>
      <c r="AB433" s="51"/>
      <c r="AC433" s="51"/>
    </row>
    <row r="434" ht="15.75" customHeight="1">
      <c r="A434" s="56"/>
      <c r="B434" s="57"/>
      <c r="C434" s="58"/>
      <c r="D434" s="56"/>
      <c r="E434" s="56"/>
      <c r="F434" s="56"/>
      <c r="G434" s="56"/>
      <c r="H434" s="56"/>
      <c r="I434" s="56"/>
      <c r="J434" s="56"/>
      <c r="K434" s="56"/>
      <c r="L434" s="56"/>
      <c r="M434" s="56"/>
      <c r="N434" s="56"/>
      <c r="O434" s="59"/>
      <c r="P434" s="56"/>
      <c r="Q434" s="56"/>
      <c r="R434" s="56"/>
      <c r="S434" s="57"/>
      <c r="T434" s="56"/>
      <c r="U434" s="56"/>
      <c r="V434" s="56"/>
      <c r="W434" s="57"/>
      <c r="X434" s="51"/>
      <c r="Y434" s="51"/>
      <c r="Z434" s="51"/>
      <c r="AA434" s="51"/>
      <c r="AB434" s="51"/>
      <c r="AC434" s="51"/>
    </row>
    <row r="435" ht="15.75" customHeight="1">
      <c r="A435" s="56"/>
      <c r="B435" s="57"/>
      <c r="C435" s="58"/>
      <c r="D435" s="56"/>
      <c r="E435" s="56"/>
      <c r="F435" s="56"/>
      <c r="G435" s="56"/>
      <c r="H435" s="56"/>
      <c r="I435" s="56"/>
      <c r="J435" s="56"/>
      <c r="K435" s="56"/>
      <c r="L435" s="56"/>
      <c r="M435" s="56"/>
      <c r="N435" s="56"/>
      <c r="O435" s="59"/>
      <c r="P435" s="56"/>
      <c r="Q435" s="56"/>
      <c r="R435" s="56"/>
      <c r="S435" s="57"/>
      <c r="T435" s="56"/>
      <c r="U435" s="56"/>
      <c r="V435" s="56"/>
      <c r="W435" s="57"/>
      <c r="X435" s="51"/>
      <c r="Y435" s="51"/>
      <c r="Z435" s="51"/>
      <c r="AA435" s="51"/>
      <c r="AB435" s="51"/>
      <c r="AC435" s="51"/>
    </row>
    <row r="436" ht="15.75" customHeight="1">
      <c r="A436" s="56"/>
      <c r="B436" s="57"/>
      <c r="C436" s="58"/>
      <c r="D436" s="56"/>
      <c r="E436" s="56"/>
      <c r="F436" s="56"/>
      <c r="G436" s="56"/>
      <c r="H436" s="56"/>
      <c r="I436" s="56"/>
      <c r="J436" s="56"/>
      <c r="K436" s="56"/>
      <c r="L436" s="56"/>
      <c r="M436" s="56"/>
      <c r="N436" s="56"/>
      <c r="O436" s="59"/>
      <c r="P436" s="56"/>
      <c r="Q436" s="56"/>
      <c r="R436" s="56"/>
      <c r="S436" s="57"/>
      <c r="T436" s="56"/>
      <c r="U436" s="56"/>
      <c r="V436" s="56"/>
      <c r="W436" s="57"/>
      <c r="X436" s="51"/>
      <c r="Y436" s="51"/>
      <c r="Z436" s="51"/>
      <c r="AA436" s="51"/>
      <c r="AB436" s="51"/>
      <c r="AC436" s="51"/>
    </row>
    <row r="437" ht="15.75" customHeight="1">
      <c r="A437" s="56"/>
      <c r="B437" s="57"/>
      <c r="C437" s="58"/>
      <c r="D437" s="56"/>
      <c r="E437" s="56"/>
      <c r="F437" s="56"/>
      <c r="G437" s="56"/>
      <c r="H437" s="56"/>
      <c r="I437" s="56"/>
      <c r="J437" s="56"/>
      <c r="K437" s="56"/>
      <c r="L437" s="56"/>
      <c r="M437" s="56"/>
      <c r="N437" s="56"/>
      <c r="O437" s="59"/>
      <c r="P437" s="56"/>
      <c r="Q437" s="56"/>
      <c r="R437" s="56"/>
      <c r="S437" s="57"/>
      <c r="T437" s="56"/>
      <c r="U437" s="56"/>
      <c r="V437" s="56"/>
      <c r="W437" s="57"/>
      <c r="X437" s="51"/>
      <c r="Y437" s="51"/>
      <c r="Z437" s="51"/>
      <c r="AA437" s="51"/>
      <c r="AB437" s="51"/>
      <c r="AC437" s="51"/>
    </row>
    <row r="438" ht="15.75" customHeight="1">
      <c r="A438" s="56"/>
      <c r="B438" s="57"/>
      <c r="C438" s="58"/>
      <c r="D438" s="56"/>
      <c r="E438" s="56"/>
      <c r="F438" s="56"/>
      <c r="G438" s="56"/>
      <c r="H438" s="56"/>
      <c r="I438" s="56"/>
      <c r="J438" s="56"/>
      <c r="K438" s="56"/>
      <c r="L438" s="56"/>
      <c r="M438" s="56"/>
      <c r="N438" s="56"/>
      <c r="O438" s="59"/>
      <c r="P438" s="56"/>
      <c r="Q438" s="56"/>
      <c r="R438" s="56"/>
      <c r="S438" s="57"/>
      <c r="T438" s="56"/>
      <c r="U438" s="56"/>
      <c r="V438" s="56"/>
      <c r="W438" s="57"/>
      <c r="X438" s="51"/>
      <c r="Y438" s="51"/>
      <c r="Z438" s="51"/>
      <c r="AA438" s="51"/>
      <c r="AB438" s="51"/>
      <c r="AC438" s="51"/>
    </row>
    <row r="439" ht="15.75" customHeight="1">
      <c r="A439" s="56"/>
      <c r="B439" s="57"/>
      <c r="C439" s="58"/>
      <c r="D439" s="56"/>
      <c r="E439" s="56"/>
      <c r="F439" s="56"/>
      <c r="G439" s="56"/>
      <c r="H439" s="56"/>
      <c r="I439" s="56"/>
      <c r="J439" s="56"/>
      <c r="K439" s="56"/>
      <c r="L439" s="56"/>
      <c r="M439" s="56"/>
      <c r="N439" s="56"/>
      <c r="O439" s="59"/>
      <c r="P439" s="56"/>
      <c r="Q439" s="56"/>
      <c r="R439" s="56"/>
      <c r="S439" s="57"/>
      <c r="T439" s="56"/>
      <c r="U439" s="56"/>
      <c r="V439" s="56"/>
      <c r="W439" s="57"/>
      <c r="X439" s="51"/>
      <c r="Y439" s="51"/>
      <c r="Z439" s="51"/>
      <c r="AA439" s="51"/>
      <c r="AB439" s="51"/>
      <c r="AC439" s="51"/>
    </row>
    <row r="440" ht="15.75" customHeight="1">
      <c r="A440" s="56"/>
      <c r="B440" s="57"/>
      <c r="C440" s="58"/>
      <c r="D440" s="56"/>
      <c r="E440" s="56"/>
      <c r="F440" s="56"/>
      <c r="G440" s="56"/>
      <c r="H440" s="56"/>
      <c r="I440" s="56"/>
      <c r="J440" s="56"/>
      <c r="K440" s="56"/>
      <c r="L440" s="56"/>
      <c r="M440" s="56"/>
      <c r="N440" s="56"/>
      <c r="O440" s="59"/>
      <c r="P440" s="56"/>
      <c r="Q440" s="56"/>
      <c r="R440" s="56"/>
      <c r="S440" s="57"/>
      <c r="T440" s="56"/>
      <c r="U440" s="56"/>
      <c r="V440" s="56"/>
      <c r="W440" s="57"/>
      <c r="X440" s="51"/>
      <c r="Y440" s="51"/>
      <c r="Z440" s="51"/>
      <c r="AA440" s="51"/>
      <c r="AB440" s="51"/>
      <c r="AC440" s="51"/>
    </row>
    <row r="441" ht="15.75" customHeight="1">
      <c r="A441" s="56"/>
      <c r="B441" s="57"/>
      <c r="C441" s="58"/>
      <c r="D441" s="56"/>
      <c r="E441" s="56"/>
      <c r="F441" s="56"/>
      <c r="G441" s="56"/>
      <c r="H441" s="56"/>
      <c r="I441" s="56"/>
      <c r="J441" s="56"/>
      <c r="K441" s="56"/>
      <c r="L441" s="56"/>
      <c r="M441" s="56"/>
      <c r="N441" s="56"/>
      <c r="O441" s="59"/>
      <c r="P441" s="56"/>
      <c r="Q441" s="56"/>
      <c r="R441" s="56"/>
      <c r="S441" s="57"/>
      <c r="T441" s="56"/>
      <c r="U441" s="56"/>
      <c r="V441" s="56"/>
      <c r="W441" s="57"/>
      <c r="X441" s="51"/>
      <c r="Y441" s="51"/>
      <c r="Z441" s="51"/>
      <c r="AA441" s="51"/>
      <c r="AB441" s="51"/>
      <c r="AC441" s="51"/>
    </row>
    <row r="442" ht="15.75" customHeight="1">
      <c r="A442" s="56"/>
      <c r="B442" s="57"/>
      <c r="C442" s="58"/>
      <c r="D442" s="56"/>
      <c r="E442" s="56"/>
      <c r="F442" s="56"/>
      <c r="G442" s="56"/>
      <c r="H442" s="56"/>
      <c r="I442" s="56"/>
      <c r="J442" s="56"/>
      <c r="K442" s="56"/>
      <c r="L442" s="56"/>
      <c r="M442" s="56"/>
      <c r="N442" s="56"/>
      <c r="O442" s="59"/>
      <c r="P442" s="56"/>
      <c r="Q442" s="56"/>
      <c r="R442" s="56"/>
      <c r="S442" s="57"/>
      <c r="T442" s="56"/>
      <c r="U442" s="56"/>
      <c r="V442" s="56"/>
      <c r="W442" s="57"/>
      <c r="X442" s="51"/>
      <c r="Y442" s="51"/>
      <c r="Z442" s="51"/>
      <c r="AA442" s="51"/>
      <c r="AB442" s="51"/>
      <c r="AC442" s="51"/>
    </row>
    <row r="443" ht="15.75" customHeight="1">
      <c r="A443" s="56"/>
      <c r="B443" s="57"/>
      <c r="C443" s="58"/>
      <c r="D443" s="56"/>
      <c r="E443" s="56"/>
      <c r="F443" s="56"/>
      <c r="G443" s="56"/>
      <c r="H443" s="56"/>
      <c r="I443" s="56"/>
      <c r="J443" s="56"/>
      <c r="K443" s="56"/>
      <c r="L443" s="56"/>
      <c r="M443" s="56"/>
      <c r="N443" s="56"/>
      <c r="O443" s="59"/>
      <c r="P443" s="56"/>
      <c r="Q443" s="56"/>
      <c r="R443" s="56"/>
      <c r="S443" s="57"/>
      <c r="T443" s="56"/>
      <c r="U443" s="56"/>
      <c r="V443" s="56"/>
      <c r="W443" s="57"/>
      <c r="X443" s="51"/>
      <c r="Y443" s="51"/>
      <c r="Z443" s="51"/>
      <c r="AA443" s="51"/>
      <c r="AB443" s="51"/>
      <c r="AC443" s="51"/>
    </row>
    <row r="444" ht="15.75" customHeight="1">
      <c r="A444" s="56"/>
      <c r="B444" s="57"/>
      <c r="C444" s="58"/>
      <c r="D444" s="56"/>
      <c r="E444" s="56"/>
      <c r="F444" s="56"/>
      <c r="G444" s="56"/>
      <c r="H444" s="56"/>
      <c r="I444" s="56"/>
      <c r="J444" s="56"/>
      <c r="K444" s="56"/>
      <c r="L444" s="56"/>
      <c r="M444" s="56"/>
      <c r="N444" s="56"/>
      <c r="O444" s="59"/>
      <c r="P444" s="56"/>
      <c r="Q444" s="56"/>
      <c r="R444" s="56"/>
      <c r="S444" s="57"/>
      <c r="T444" s="56"/>
      <c r="U444" s="56"/>
      <c r="V444" s="56"/>
      <c r="W444" s="57"/>
      <c r="X444" s="51"/>
      <c r="Y444" s="51"/>
      <c r="Z444" s="51"/>
      <c r="AA444" s="51"/>
      <c r="AB444" s="51"/>
      <c r="AC444" s="51"/>
    </row>
    <row r="445" ht="15.75" customHeight="1">
      <c r="A445" s="56"/>
      <c r="B445" s="57"/>
      <c r="C445" s="58"/>
      <c r="D445" s="56"/>
      <c r="E445" s="56"/>
      <c r="F445" s="56"/>
      <c r="G445" s="56"/>
      <c r="H445" s="56"/>
      <c r="I445" s="56"/>
      <c r="J445" s="56"/>
      <c r="K445" s="56"/>
      <c r="L445" s="56"/>
      <c r="M445" s="56"/>
      <c r="N445" s="56"/>
      <c r="O445" s="59"/>
      <c r="P445" s="56"/>
      <c r="Q445" s="56"/>
      <c r="R445" s="56"/>
      <c r="S445" s="57"/>
      <c r="T445" s="56"/>
      <c r="U445" s="56"/>
      <c r="V445" s="56"/>
      <c r="W445" s="57"/>
      <c r="X445" s="51"/>
      <c r="Y445" s="51"/>
      <c r="Z445" s="51"/>
      <c r="AA445" s="51"/>
      <c r="AB445" s="51"/>
      <c r="AC445" s="51"/>
    </row>
    <row r="446" ht="15.75" customHeight="1">
      <c r="A446" s="56"/>
      <c r="B446" s="57"/>
      <c r="C446" s="58"/>
      <c r="D446" s="56"/>
      <c r="E446" s="56"/>
      <c r="F446" s="56"/>
      <c r="G446" s="56"/>
      <c r="H446" s="56"/>
      <c r="I446" s="56"/>
      <c r="J446" s="56"/>
      <c r="K446" s="56"/>
      <c r="L446" s="56"/>
      <c r="M446" s="56"/>
      <c r="N446" s="56"/>
      <c r="O446" s="59"/>
      <c r="P446" s="56"/>
      <c r="Q446" s="56"/>
      <c r="R446" s="56"/>
      <c r="S446" s="57"/>
      <c r="T446" s="56"/>
      <c r="U446" s="56"/>
      <c r="V446" s="56"/>
      <c r="W446" s="57"/>
      <c r="X446" s="51"/>
      <c r="Y446" s="51"/>
      <c r="Z446" s="51"/>
      <c r="AA446" s="51"/>
      <c r="AB446" s="51"/>
      <c r="AC446" s="51"/>
    </row>
    <row r="447" ht="15.75" customHeight="1">
      <c r="A447" s="56"/>
      <c r="B447" s="57"/>
      <c r="C447" s="58"/>
      <c r="D447" s="56"/>
      <c r="E447" s="56"/>
      <c r="F447" s="56"/>
      <c r="G447" s="56"/>
      <c r="H447" s="56"/>
      <c r="I447" s="56"/>
      <c r="J447" s="56"/>
      <c r="K447" s="56"/>
      <c r="L447" s="56"/>
      <c r="M447" s="56"/>
      <c r="N447" s="56"/>
      <c r="O447" s="59"/>
      <c r="P447" s="56"/>
      <c r="Q447" s="56"/>
      <c r="R447" s="56"/>
      <c r="S447" s="57"/>
      <c r="T447" s="56"/>
      <c r="U447" s="56"/>
      <c r="V447" s="56"/>
      <c r="W447" s="57"/>
      <c r="X447" s="51"/>
      <c r="Y447" s="51"/>
      <c r="Z447" s="51"/>
      <c r="AA447" s="51"/>
      <c r="AB447" s="51"/>
      <c r="AC447" s="51"/>
    </row>
    <row r="448" ht="15.75" customHeight="1">
      <c r="A448" s="56"/>
      <c r="B448" s="57"/>
      <c r="C448" s="58"/>
      <c r="D448" s="56"/>
      <c r="E448" s="56"/>
      <c r="F448" s="56"/>
      <c r="G448" s="56"/>
      <c r="H448" s="56"/>
      <c r="I448" s="56"/>
      <c r="J448" s="56"/>
      <c r="K448" s="56"/>
      <c r="L448" s="56"/>
      <c r="M448" s="56"/>
      <c r="N448" s="56"/>
      <c r="O448" s="59"/>
      <c r="P448" s="56"/>
      <c r="Q448" s="56"/>
      <c r="R448" s="56"/>
      <c r="S448" s="57"/>
      <c r="T448" s="56"/>
      <c r="U448" s="56"/>
      <c r="V448" s="56"/>
      <c r="W448" s="57"/>
      <c r="X448" s="51"/>
      <c r="Y448" s="51"/>
      <c r="Z448" s="51"/>
      <c r="AA448" s="51"/>
      <c r="AB448" s="51"/>
      <c r="AC448" s="51"/>
    </row>
    <row r="449" ht="15.75" customHeight="1">
      <c r="A449" s="56"/>
      <c r="B449" s="57"/>
      <c r="C449" s="58"/>
      <c r="D449" s="56"/>
      <c r="E449" s="56"/>
      <c r="F449" s="56"/>
      <c r="G449" s="56"/>
      <c r="H449" s="56"/>
      <c r="I449" s="56"/>
      <c r="J449" s="56"/>
      <c r="K449" s="56"/>
      <c r="L449" s="56"/>
      <c r="M449" s="56"/>
      <c r="N449" s="56"/>
      <c r="O449" s="59"/>
      <c r="P449" s="56"/>
      <c r="Q449" s="56"/>
      <c r="R449" s="56"/>
      <c r="S449" s="57"/>
      <c r="T449" s="56"/>
      <c r="U449" s="56"/>
      <c r="V449" s="56"/>
      <c r="W449" s="57"/>
      <c r="X449" s="51"/>
      <c r="Y449" s="51"/>
      <c r="Z449" s="51"/>
      <c r="AA449" s="51"/>
      <c r="AB449" s="51"/>
      <c r="AC449" s="51"/>
    </row>
    <row r="450" ht="15.75" customHeight="1">
      <c r="A450" s="56"/>
      <c r="B450" s="57"/>
      <c r="C450" s="58"/>
      <c r="D450" s="56"/>
      <c r="E450" s="56"/>
      <c r="F450" s="56"/>
      <c r="G450" s="56"/>
      <c r="H450" s="56"/>
      <c r="I450" s="56"/>
      <c r="J450" s="56"/>
      <c r="K450" s="56"/>
      <c r="L450" s="56"/>
      <c r="M450" s="56"/>
      <c r="N450" s="56"/>
      <c r="O450" s="59"/>
      <c r="P450" s="56"/>
      <c r="Q450" s="56"/>
      <c r="R450" s="56"/>
      <c r="S450" s="57"/>
      <c r="T450" s="56"/>
      <c r="U450" s="56"/>
      <c r="V450" s="56"/>
      <c r="W450" s="57"/>
      <c r="X450" s="51"/>
      <c r="Y450" s="51"/>
      <c r="Z450" s="51"/>
      <c r="AA450" s="51"/>
      <c r="AB450" s="51"/>
      <c r="AC450" s="51"/>
    </row>
    <row r="451" ht="15.75" customHeight="1">
      <c r="A451" s="56"/>
      <c r="B451" s="57"/>
      <c r="C451" s="58"/>
      <c r="D451" s="56"/>
      <c r="E451" s="56"/>
      <c r="F451" s="56"/>
      <c r="G451" s="56"/>
      <c r="H451" s="56"/>
      <c r="I451" s="56"/>
      <c r="J451" s="56"/>
      <c r="K451" s="56"/>
      <c r="L451" s="56"/>
      <c r="M451" s="56"/>
      <c r="N451" s="56"/>
      <c r="O451" s="59"/>
      <c r="P451" s="56"/>
      <c r="Q451" s="56"/>
      <c r="R451" s="56"/>
      <c r="S451" s="57"/>
      <c r="T451" s="56"/>
      <c r="U451" s="56"/>
      <c r="V451" s="56"/>
      <c r="W451" s="57"/>
      <c r="X451" s="51"/>
      <c r="Y451" s="51"/>
      <c r="Z451" s="51"/>
      <c r="AA451" s="51"/>
      <c r="AB451" s="51"/>
      <c r="AC451" s="51"/>
    </row>
    <row r="452" ht="15.75" customHeight="1">
      <c r="A452" s="56"/>
      <c r="B452" s="57"/>
      <c r="C452" s="58"/>
      <c r="D452" s="56"/>
      <c r="E452" s="56"/>
      <c r="F452" s="56"/>
      <c r="G452" s="56"/>
      <c r="H452" s="56"/>
      <c r="I452" s="56"/>
      <c r="J452" s="56"/>
      <c r="K452" s="56"/>
      <c r="L452" s="56"/>
      <c r="M452" s="56"/>
      <c r="N452" s="56"/>
      <c r="O452" s="59"/>
      <c r="P452" s="56"/>
      <c r="Q452" s="56"/>
      <c r="R452" s="56"/>
      <c r="S452" s="57"/>
      <c r="T452" s="56"/>
      <c r="U452" s="56"/>
      <c r="V452" s="56"/>
      <c r="W452" s="57"/>
      <c r="X452" s="51"/>
      <c r="Y452" s="51"/>
      <c r="Z452" s="51"/>
      <c r="AA452" s="51"/>
      <c r="AB452" s="51"/>
      <c r="AC452" s="51"/>
    </row>
    <row r="453" ht="15.75" customHeight="1">
      <c r="A453" s="56"/>
      <c r="B453" s="57"/>
      <c r="C453" s="58"/>
      <c r="D453" s="56"/>
      <c r="E453" s="56"/>
      <c r="F453" s="56"/>
      <c r="G453" s="56"/>
      <c r="H453" s="56"/>
      <c r="I453" s="56"/>
      <c r="J453" s="56"/>
      <c r="K453" s="56"/>
      <c r="L453" s="56"/>
      <c r="M453" s="56"/>
      <c r="N453" s="56"/>
      <c r="O453" s="59"/>
      <c r="P453" s="56"/>
      <c r="Q453" s="56"/>
      <c r="R453" s="56"/>
      <c r="S453" s="57"/>
      <c r="T453" s="56"/>
      <c r="U453" s="56"/>
      <c r="V453" s="56"/>
      <c r="W453" s="57"/>
      <c r="X453" s="51"/>
      <c r="Y453" s="51"/>
      <c r="Z453" s="51"/>
      <c r="AA453" s="51"/>
      <c r="AB453" s="51"/>
      <c r="AC453" s="51"/>
    </row>
    <row r="454" ht="15.75" customHeight="1">
      <c r="A454" s="56"/>
      <c r="B454" s="57"/>
      <c r="C454" s="58"/>
      <c r="D454" s="56"/>
      <c r="E454" s="56"/>
      <c r="F454" s="56"/>
      <c r="G454" s="56"/>
      <c r="H454" s="56"/>
      <c r="I454" s="56"/>
      <c r="J454" s="56"/>
      <c r="K454" s="56"/>
      <c r="L454" s="56"/>
      <c r="M454" s="56"/>
      <c r="N454" s="56"/>
      <c r="O454" s="59"/>
      <c r="P454" s="56"/>
      <c r="Q454" s="56"/>
      <c r="R454" s="56"/>
      <c r="S454" s="57"/>
      <c r="T454" s="56"/>
      <c r="U454" s="56"/>
      <c r="V454" s="56"/>
      <c r="W454" s="57"/>
      <c r="X454" s="51"/>
      <c r="Y454" s="51"/>
      <c r="Z454" s="51"/>
      <c r="AA454" s="51"/>
      <c r="AB454" s="51"/>
      <c r="AC454" s="51"/>
    </row>
    <row r="455" ht="15.75" customHeight="1">
      <c r="A455" s="56"/>
      <c r="B455" s="57"/>
      <c r="C455" s="58"/>
      <c r="D455" s="56"/>
      <c r="E455" s="56"/>
      <c r="F455" s="56"/>
      <c r="G455" s="56"/>
      <c r="H455" s="56"/>
      <c r="I455" s="56"/>
      <c r="J455" s="56"/>
      <c r="K455" s="56"/>
      <c r="L455" s="56"/>
      <c r="M455" s="56"/>
      <c r="N455" s="56"/>
      <c r="O455" s="59"/>
      <c r="P455" s="56"/>
      <c r="Q455" s="56"/>
      <c r="R455" s="56"/>
      <c r="S455" s="57"/>
      <c r="T455" s="56"/>
      <c r="U455" s="56"/>
      <c r="V455" s="56"/>
      <c r="W455" s="57"/>
      <c r="X455" s="51"/>
      <c r="Y455" s="51"/>
      <c r="Z455" s="51"/>
      <c r="AA455" s="51"/>
      <c r="AB455" s="51"/>
      <c r="AC455" s="51"/>
    </row>
    <row r="456" ht="15.75" customHeight="1">
      <c r="A456" s="56"/>
      <c r="B456" s="57"/>
      <c r="C456" s="58"/>
      <c r="D456" s="56"/>
      <c r="E456" s="56"/>
      <c r="F456" s="56"/>
      <c r="G456" s="56"/>
      <c r="H456" s="56"/>
      <c r="I456" s="56"/>
      <c r="J456" s="56"/>
      <c r="K456" s="56"/>
      <c r="L456" s="56"/>
      <c r="M456" s="56"/>
      <c r="N456" s="56"/>
      <c r="O456" s="59"/>
      <c r="P456" s="56"/>
      <c r="Q456" s="56"/>
      <c r="R456" s="56"/>
      <c r="S456" s="57"/>
      <c r="T456" s="56"/>
      <c r="U456" s="56"/>
      <c r="V456" s="56"/>
      <c r="W456" s="57"/>
      <c r="X456" s="51"/>
      <c r="Y456" s="51"/>
      <c r="Z456" s="51"/>
      <c r="AA456" s="51"/>
      <c r="AB456" s="51"/>
      <c r="AC456" s="51"/>
    </row>
    <row r="457" ht="15.75" customHeight="1">
      <c r="A457" s="56"/>
      <c r="B457" s="57"/>
      <c r="C457" s="58"/>
      <c r="D457" s="56"/>
      <c r="E457" s="56"/>
      <c r="F457" s="56"/>
      <c r="G457" s="56"/>
      <c r="H457" s="56"/>
      <c r="I457" s="56"/>
      <c r="J457" s="56"/>
      <c r="K457" s="56"/>
      <c r="L457" s="56"/>
      <c r="M457" s="56"/>
      <c r="N457" s="56"/>
      <c r="O457" s="59"/>
      <c r="P457" s="56"/>
      <c r="Q457" s="56"/>
      <c r="R457" s="56"/>
      <c r="S457" s="57"/>
      <c r="T457" s="56"/>
      <c r="U457" s="56"/>
      <c r="V457" s="56"/>
      <c r="W457" s="57"/>
      <c r="X457" s="51"/>
      <c r="Y457" s="51"/>
      <c r="Z457" s="51"/>
      <c r="AA457" s="51"/>
      <c r="AB457" s="51"/>
      <c r="AC457" s="51"/>
    </row>
    <row r="458" ht="15.75" customHeight="1">
      <c r="A458" s="56"/>
      <c r="B458" s="57"/>
      <c r="C458" s="58"/>
      <c r="D458" s="56"/>
      <c r="E458" s="56"/>
      <c r="F458" s="56"/>
      <c r="G458" s="56"/>
      <c r="H458" s="56"/>
      <c r="I458" s="56"/>
      <c r="J458" s="56"/>
      <c r="K458" s="56"/>
      <c r="L458" s="56"/>
      <c r="M458" s="56"/>
      <c r="N458" s="56"/>
      <c r="O458" s="59"/>
      <c r="P458" s="56"/>
      <c r="Q458" s="56"/>
      <c r="R458" s="56"/>
      <c r="S458" s="57"/>
      <c r="T458" s="56"/>
      <c r="U458" s="56"/>
      <c r="V458" s="56"/>
      <c r="W458" s="57"/>
      <c r="X458" s="51"/>
      <c r="Y458" s="51"/>
      <c r="Z458" s="51"/>
      <c r="AA458" s="51"/>
      <c r="AB458" s="51"/>
      <c r="AC458" s="51"/>
    </row>
    <row r="459" ht="15.75" customHeight="1">
      <c r="A459" s="56"/>
      <c r="B459" s="57"/>
      <c r="C459" s="58"/>
      <c r="D459" s="56"/>
      <c r="E459" s="56"/>
      <c r="F459" s="56"/>
      <c r="G459" s="56"/>
      <c r="H459" s="56"/>
      <c r="I459" s="56"/>
      <c r="J459" s="56"/>
      <c r="K459" s="56"/>
      <c r="L459" s="56"/>
      <c r="M459" s="56"/>
      <c r="N459" s="56"/>
      <c r="O459" s="59"/>
      <c r="P459" s="56"/>
      <c r="Q459" s="56"/>
      <c r="R459" s="56"/>
      <c r="S459" s="57"/>
      <c r="T459" s="56"/>
      <c r="U459" s="56"/>
      <c r="V459" s="56"/>
      <c r="W459" s="57"/>
      <c r="X459" s="51"/>
      <c r="Y459" s="51"/>
      <c r="Z459" s="51"/>
      <c r="AA459" s="51"/>
      <c r="AB459" s="51"/>
      <c r="AC459" s="51"/>
    </row>
    <row r="460" ht="15.75" customHeight="1">
      <c r="A460" s="56"/>
      <c r="B460" s="57"/>
      <c r="C460" s="58"/>
      <c r="D460" s="56"/>
      <c r="E460" s="56"/>
      <c r="F460" s="56"/>
      <c r="G460" s="56"/>
      <c r="H460" s="56"/>
      <c r="I460" s="56"/>
      <c r="J460" s="56"/>
      <c r="K460" s="56"/>
      <c r="L460" s="56"/>
      <c r="M460" s="56"/>
      <c r="N460" s="56"/>
      <c r="O460" s="59"/>
      <c r="P460" s="56"/>
      <c r="Q460" s="56"/>
      <c r="R460" s="56"/>
      <c r="S460" s="57"/>
      <c r="T460" s="56"/>
      <c r="U460" s="56"/>
      <c r="V460" s="56"/>
      <c r="W460" s="57"/>
      <c r="X460" s="51"/>
      <c r="Y460" s="51"/>
      <c r="Z460" s="51"/>
      <c r="AA460" s="51"/>
      <c r="AB460" s="51"/>
      <c r="AC460" s="51"/>
    </row>
    <row r="461" ht="15.75" customHeight="1">
      <c r="A461" s="56"/>
      <c r="B461" s="57"/>
      <c r="C461" s="58"/>
      <c r="D461" s="56"/>
      <c r="E461" s="56"/>
      <c r="F461" s="56"/>
      <c r="G461" s="56"/>
      <c r="H461" s="56"/>
      <c r="I461" s="56"/>
      <c r="J461" s="56"/>
      <c r="K461" s="56"/>
      <c r="L461" s="56"/>
      <c r="M461" s="56"/>
      <c r="N461" s="56"/>
      <c r="O461" s="59"/>
      <c r="P461" s="56"/>
      <c r="Q461" s="56"/>
      <c r="R461" s="56"/>
      <c r="S461" s="57"/>
      <c r="T461" s="56"/>
      <c r="U461" s="56"/>
      <c r="V461" s="56"/>
      <c r="W461" s="57"/>
      <c r="X461" s="51"/>
      <c r="Y461" s="51"/>
      <c r="Z461" s="51"/>
      <c r="AA461" s="51"/>
      <c r="AB461" s="51"/>
      <c r="AC461" s="51"/>
    </row>
    <row r="462" ht="15.75" customHeight="1">
      <c r="A462" s="56"/>
      <c r="B462" s="57"/>
      <c r="C462" s="58"/>
      <c r="D462" s="56"/>
      <c r="E462" s="56"/>
      <c r="F462" s="56"/>
      <c r="G462" s="56"/>
      <c r="H462" s="56"/>
      <c r="I462" s="56"/>
      <c r="J462" s="56"/>
      <c r="K462" s="56"/>
      <c r="L462" s="56"/>
      <c r="M462" s="56"/>
      <c r="N462" s="56"/>
      <c r="O462" s="59"/>
      <c r="P462" s="56"/>
      <c r="Q462" s="56"/>
      <c r="R462" s="56"/>
      <c r="S462" s="57"/>
      <c r="T462" s="56"/>
      <c r="U462" s="56"/>
      <c r="V462" s="56"/>
      <c r="W462" s="57"/>
      <c r="X462" s="51"/>
      <c r="Y462" s="51"/>
      <c r="Z462" s="51"/>
      <c r="AA462" s="51"/>
      <c r="AB462" s="51"/>
      <c r="AC462" s="51"/>
    </row>
    <row r="463" ht="15.75" customHeight="1">
      <c r="A463" s="56"/>
      <c r="B463" s="57"/>
      <c r="C463" s="58"/>
      <c r="D463" s="56"/>
      <c r="E463" s="56"/>
      <c r="F463" s="56"/>
      <c r="G463" s="56"/>
      <c r="H463" s="56"/>
      <c r="I463" s="56"/>
      <c r="J463" s="56"/>
      <c r="K463" s="56"/>
      <c r="L463" s="56"/>
      <c r="M463" s="56"/>
      <c r="N463" s="56"/>
      <c r="O463" s="59"/>
      <c r="P463" s="56"/>
      <c r="Q463" s="56"/>
      <c r="R463" s="56"/>
      <c r="S463" s="57"/>
      <c r="T463" s="56"/>
      <c r="U463" s="56"/>
      <c r="V463" s="56"/>
      <c r="W463" s="57"/>
      <c r="X463" s="51"/>
      <c r="Y463" s="51"/>
      <c r="Z463" s="51"/>
      <c r="AA463" s="51"/>
      <c r="AB463" s="51"/>
      <c r="AC463" s="51"/>
    </row>
    <row r="464" ht="15.75" customHeight="1">
      <c r="A464" s="56"/>
      <c r="B464" s="57"/>
      <c r="C464" s="58"/>
      <c r="D464" s="56"/>
      <c r="E464" s="56"/>
      <c r="F464" s="56"/>
      <c r="G464" s="56"/>
      <c r="H464" s="56"/>
      <c r="I464" s="56"/>
      <c r="J464" s="56"/>
      <c r="K464" s="56"/>
      <c r="L464" s="56"/>
      <c r="M464" s="56"/>
      <c r="N464" s="56"/>
      <c r="O464" s="59"/>
      <c r="P464" s="56"/>
      <c r="Q464" s="56"/>
      <c r="R464" s="56"/>
      <c r="S464" s="57"/>
      <c r="T464" s="56"/>
      <c r="U464" s="56"/>
      <c r="V464" s="56"/>
      <c r="W464" s="57"/>
      <c r="X464" s="51"/>
      <c r="Y464" s="51"/>
      <c r="Z464" s="51"/>
      <c r="AA464" s="51"/>
      <c r="AB464" s="51"/>
      <c r="AC464" s="51"/>
    </row>
    <row r="465" ht="15.75" customHeight="1">
      <c r="A465" s="56"/>
      <c r="B465" s="57"/>
      <c r="C465" s="58"/>
      <c r="D465" s="56"/>
      <c r="E465" s="56"/>
      <c r="F465" s="56"/>
      <c r="G465" s="56"/>
      <c r="H465" s="56"/>
      <c r="I465" s="56"/>
      <c r="J465" s="56"/>
      <c r="K465" s="56"/>
      <c r="L465" s="56"/>
      <c r="M465" s="56"/>
      <c r="N465" s="56"/>
      <c r="O465" s="59"/>
      <c r="P465" s="56"/>
      <c r="Q465" s="56"/>
      <c r="R465" s="56"/>
      <c r="S465" s="57"/>
      <c r="T465" s="56"/>
      <c r="U465" s="56"/>
      <c r="V465" s="56"/>
      <c r="W465" s="57"/>
      <c r="X465" s="51"/>
      <c r="Y465" s="51"/>
      <c r="Z465" s="51"/>
      <c r="AA465" s="51"/>
      <c r="AB465" s="51"/>
      <c r="AC465" s="51"/>
    </row>
    <row r="466" ht="15.75" customHeight="1">
      <c r="A466" s="56"/>
      <c r="B466" s="57"/>
      <c r="C466" s="58"/>
      <c r="D466" s="56"/>
      <c r="E466" s="56"/>
      <c r="F466" s="56"/>
      <c r="G466" s="56"/>
      <c r="H466" s="56"/>
      <c r="I466" s="56"/>
      <c r="J466" s="56"/>
      <c r="K466" s="56"/>
      <c r="L466" s="56"/>
      <c r="M466" s="56"/>
      <c r="N466" s="56"/>
      <c r="O466" s="59"/>
      <c r="P466" s="56"/>
      <c r="Q466" s="56"/>
      <c r="R466" s="56"/>
      <c r="S466" s="57"/>
      <c r="T466" s="56"/>
      <c r="U466" s="56"/>
      <c r="V466" s="56"/>
      <c r="W466" s="57"/>
      <c r="X466" s="51"/>
      <c r="Y466" s="51"/>
      <c r="Z466" s="51"/>
      <c r="AA466" s="51"/>
      <c r="AB466" s="51"/>
      <c r="AC466" s="51"/>
    </row>
    <row r="467" ht="15.75" customHeight="1">
      <c r="A467" s="56"/>
      <c r="B467" s="57"/>
      <c r="C467" s="58"/>
      <c r="D467" s="56"/>
      <c r="E467" s="56"/>
      <c r="F467" s="56"/>
      <c r="G467" s="56"/>
      <c r="H467" s="56"/>
      <c r="I467" s="56"/>
      <c r="J467" s="56"/>
      <c r="K467" s="56"/>
      <c r="L467" s="56"/>
      <c r="M467" s="56"/>
      <c r="N467" s="56"/>
      <c r="O467" s="59"/>
      <c r="P467" s="56"/>
      <c r="Q467" s="56"/>
      <c r="R467" s="56"/>
      <c r="S467" s="57"/>
      <c r="T467" s="56"/>
      <c r="U467" s="56"/>
      <c r="V467" s="56"/>
      <c r="W467" s="57"/>
      <c r="X467" s="51"/>
      <c r="Y467" s="51"/>
      <c r="Z467" s="51"/>
      <c r="AA467" s="51"/>
      <c r="AB467" s="51"/>
      <c r="AC467" s="51"/>
    </row>
    <row r="468" ht="15.75" customHeight="1">
      <c r="A468" s="56"/>
      <c r="B468" s="57"/>
      <c r="C468" s="58"/>
      <c r="D468" s="56"/>
      <c r="E468" s="56"/>
      <c r="F468" s="56"/>
      <c r="G468" s="56"/>
      <c r="H468" s="56"/>
      <c r="I468" s="56"/>
      <c r="J468" s="56"/>
      <c r="K468" s="56"/>
      <c r="L468" s="56"/>
      <c r="M468" s="56"/>
      <c r="N468" s="56"/>
      <c r="O468" s="59"/>
      <c r="P468" s="56"/>
      <c r="Q468" s="56"/>
      <c r="R468" s="56"/>
      <c r="S468" s="57"/>
      <c r="T468" s="56"/>
      <c r="U468" s="56"/>
      <c r="V468" s="56"/>
      <c r="W468" s="57"/>
      <c r="X468" s="51"/>
      <c r="Y468" s="51"/>
      <c r="Z468" s="51"/>
      <c r="AA468" s="51"/>
      <c r="AB468" s="51"/>
      <c r="AC468" s="51"/>
    </row>
    <row r="469" ht="15.75" customHeight="1">
      <c r="A469" s="56"/>
      <c r="B469" s="57"/>
      <c r="C469" s="58"/>
      <c r="D469" s="56"/>
      <c r="E469" s="56"/>
      <c r="F469" s="56"/>
      <c r="G469" s="56"/>
      <c r="H469" s="56"/>
      <c r="I469" s="56"/>
      <c r="J469" s="56"/>
      <c r="K469" s="56"/>
      <c r="L469" s="56"/>
      <c r="M469" s="56"/>
      <c r="N469" s="56"/>
      <c r="O469" s="59"/>
      <c r="P469" s="56"/>
      <c r="Q469" s="56"/>
      <c r="R469" s="56"/>
      <c r="S469" s="57"/>
      <c r="T469" s="56"/>
      <c r="U469" s="56"/>
      <c r="V469" s="56"/>
      <c r="W469" s="57"/>
      <c r="X469" s="51"/>
      <c r="Y469" s="51"/>
      <c r="Z469" s="51"/>
      <c r="AA469" s="51"/>
      <c r="AB469" s="51"/>
      <c r="AC469" s="51"/>
    </row>
    <row r="470" ht="15.75" customHeight="1">
      <c r="A470" s="56"/>
      <c r="B470" s="57"/>
      <c r="C470" s="58"/>
      <c r="D470" s="56"/>
      <c r="E470" s="56"/>
      <c r="F470" s="56"/>
      <c r="G470" s="56"/>
      <c r="H470" s="56"/>
      <c r="I470" s="56"/>
      <c r="J470" s="56"/>
      <c r="K470" s="56"/>
      <c r="L470" s="56"/>
      <c r="M470" s="56"/>
      <c r="N470" s="56"/>
      <c r="O470" s="59"/>
      <c r="P470" s="56"/>
      <c r="Q470" s="56"/>
      <c r="R470" s="56"/>
      <c r="S470" s="57"/>
      <c r="T470" s="56"/>
      <c r="U470" s="56"/>
      <c r="V470" s="56"/>
      <c r="W470" s="57"/>
      <c r="X470" s="51"/>
      <c r="Y470" s="51"/>
      <c r="Z470" s="51"/>
      <c r="AA470" s="51"/>
      <c r="AB470" s="51"/>
      <c r="AC470" s="51"/>
    </row>
    <row r="471" ht="15.75" customHeight="1">
      <c r="A471" s="56"/>
      <c r="B471" s="57"/>
      <c r="C471" s="58"/>
      <c r="D471" s="56"/>
      <c r="E471" s="56"/>
      <c r="F471" s="56"/>
      <c r="G471" s="56"/>
      <c r="H471" s="56"/>
      <c r="I471" s="56"/>
      <c r="J471" s="56"/>
      <c r="K471" s="56"/>
      <c r="L471" s="56"/>
      <c r="M471" s="56"/>
      <c r="N471" s="56"/>
      <c r="O471" s="59"/>
      <c r="P471" s="56"/>
      <c r="Q471" s="56"/>
      <c r="R471" s="56"/>
      <c r="S471" s="57"/>
      <c r="T471" s="56"/>
      <c r="U471" s="56"/>
      <c r="V471" s="56"/>
      <c r="W471" s="57"/>
      <c r="X471" s="51"/>
      <c r="Y471" s="51"/>
      <c r="Z471" s="51"/>
      <c r="AA471" s="51"/>
      <c r="AB471" s="51"/>
      <c r="AC471" s="51"/>
    </row>
    <row r="472" ht="15.75" customHeight="1">
      <c r="A472" s="56"/>
      <c r="B472" s="57"/>
      <c r="C472" s="58"/>
      <c r="D472" s="56"/>
      <c r="E472" s="56"/>
      <c r="F472" s="56"/>
      <c r="G472" s="56"/>
      <c r="H472" s="56"/>
      <c r="I472" s="56"/>
      <c r="J472" s="56"/>
      <c r="K472" s="56"/>
      <c r="L472" s="56"/>
      <c r="M472" s="56"/>
      <c r="N472" s="56"/>
      <c r="O472" s="59"/>
      <c r="P472" s="56"/>
      <c r="Q472" s="56"/>
      <c r="R472" s="56"/>
      <c r="S472" s="57"/>
      <c r="T472" s="56"/>
      <c r="U472" s="56"/>
      <c r="V472" s="56"/>
      <c r="W472" s="57"/>
      <c r="X472" s="51"/>
      <c r="Y472" s="51"/>
      <c r="Z472" s="51"/>
      <c r="AA472" s="51"/>
      <c r="AB472" s="51"/>
      <c r="AC472" s="51"/>
    </row>
    <row r="473" ht="15.75" customHeight="1">
      <c r="A473" s="56"/>
      <c r="B473" s="57"/>
      <c r="C473" s="58"/>
      <c r="D473" s="56"/>
      <c r="E473" s="56"/>
      <c r="F473" s="56"/>
      <c r="G473" s="56"/>
      <c r="H473" s="56"/>
      <c r="I473" s="56"/>
      <c r="J473" s="56"/>
      <c r="K473" s="56"/>
      <c r="L473" s="56"/>
      <c r="M473" s="56"/>
      <c r="N473" s="56"/>
      <c r="O473" s="59"/>
      <c r="P473" s="56"/>
      <c r="Q473" s="56"/>
      <c r="R473" s="56"/>
      <c r="S473" s="57"/>
      <c r="T473" s="56"/>
      <c r="U473" s="56"/>
      <c r="V473" s="56"/>
      <c r="W473" s="57"/>
      <c r="X473" s="51"/>
      <c r="Y473" s="51"/>
      <c r="Z473" s="51"/>
      <c r="AA473" s="51"/>
      <c r="AB473" s="51"/>
      <c r="AC473" s="51"/>
    </row>
    <row r="474" ht="15.75" customHeight="1">
      <c r="A474" s="56"/>
      <c r="B474" s="57"/>
      <c r="C474" s="58"/>
      <c r="D474" s="56"/>
      <c r="E474" s="56"/>
      <c r="F474" s="56"/>
      <c r="G474" s="56"/>
      <c r="H474" s="56"/>
      <c r="I474" s="56"/>
      <c r="J474" s="56"/>
      <c r="K474" s="56"/>
      <c r="L474" s="56"/>
      <c r="M474" s="56"/>
      <c r="N474" s="56"/>
      <c r="O474" s="59"/>
      <c r="P474" s="56"/>
      <c r="Q474" s="56"/>
      <c r="R474" s="56"/>
      <c r="S474" s="57"/>
      <c r="T474" s="56"/>
      <c r="U474" s="56"/>
      <c r="V474" s="56"/>
      <c r="W474" s="57"/>
      <c r="X474" s="51"/>
      <c r="Y474" s="51"/>
      <c r="Z474" s="51"/>
      <c r="AA474" s="51"/>
      <c r="AB474" s="51"/>
      <c r="AC474" s="51"/>
    </row>
    <row r="475" ht="15.75" customHeight="1">
      <c r="A475" s="56"/>
      <c r="B475" s="57"/>
      <c r="C475" s="58"/>
      <c r="D475" s="56"/>
      <c r="E475" s="56"/>
      <c r="F475" s="56"/>
      <c r="G475" s="56"/>
      <c r="H475" s="56"/>
      <c r="I475" s="56"/>
      <c r="J475" s="56"/>
      <c r="K475" s="56"/>
      <c r="L475" s="56"/>
      <c r="M475" s="56"/>
      <c r="N475" s="56"/>
      <c r="O475" s="59"/>
      <c r="P475" s="56"/>
      <c r="Q475" s="56"/>
      <c r="R475" s="56"/>
      <c r="S475" s="57"/>
      <c r="T475" s="56"/>
      <c r="U475" s="56"/>
      <c r="V475" s="56"/>
      <c r="W475" s="57"/>
      <c r="X475" s="51"/>
      <c r="Y475" s="51"/>
      <c r="Z475" s="51"/>
      <c r="AA475" s="51"/>
      <c r="AB475" s="51"/>
      <c r="AC475" s="51"/>
    </row>
    <row r="476" ht="15.75" customHeight="1">
      <c r="A476" s="56"/>
      <c r="B476" s="57"/>
      <c r="C476" s="58"/>
      <c r="D476" s="56"/>
      <c r="E476" s="56"/>
      <c r="F476" s="56"/>
      <c r="G476" s="56"/>
      <c r="H476" s="56"/>
      <c r="I476" s="56"/>
      <c r="J476" s="56"/>
      <c r="K476" s="56"/>
      <c r="L476" s="56"/>
      <c r="M476" s="56"/>
      <c r="N476" s="56"/>
      <c r="O476" s="59"/>
      <c r="P476" s="56"/>
      <c r="Q476" s="56"/>
      <c r="R476" s="56"/>
      <c r="S476" s="57"/>
      <c r="T476" s="56"/>
      <c r="U476" s="56"/>
      <c r="V476" s="56"/>
      <c r="W476" s="57"/>
      <c r="X476" s="51"/>
      <c r="Y476" s="51"/>
      <c r="Z476" s="51"/>
      <c r="AA476" s="51"/>
      <c r="AB476" s="51"/>
      <c r="AC476" s="51"/>
    </row>
    <row r="477" ht="15.75" customHeight="1">
      <c r="A477" s="56"/>
      <c r="B477" s="57"/>
      <c r="C477" s="58"/>
      <c r="D477" s="56"/>
      <c r="E477" s="56"/>
      <c r="F477" s="56"/>
      <c r="G477" s="56"/>
      <c r="H477" s="56"/>
      <c r="I477" s="56"/>
      <c r="J477" s="56"/>
      <c r="K477" s="56"/>
      <c r="L477" s="56"/>
      <c r="M477" s="56"/>
      <c r="N477" s="56"/>
      <c r="O477" s="59"/>
      <c r="P477" s="56"/>
      <c r="Q477" s="56"/>
      <c r="R477" s="56"/>
      <c r="S477" s="57"/>
      <c r="T477" s="56"/>
      <c r="U477" s="56"/>
      <c r="V477" s="56"/>
      <c r="W477" s="57"/>
      <c r="X477" s="51"/>
      <c r="Y477" s="51"/>
      <c r="Z477" s="51"/>
      <c r="AA477" s="51"/>
      <c r="AB477" s="51"/>
      <c r="AC477" s="51"/>
    </row>
    <row r="478" ht="15.75" customHeight="1">
      <c r="A478" s="56"/>
      <c r="B478" s="57"/>
      <c r="C478" s="58"/>
      <c r="D478" s="56"/>
      <c r="E478" s="56"/>
      <c r="F478" s="56"/>
      <c r="G478" s="56"/>
      <c r="H478" s="56"/>
      <c r="I478" s="56"/>
      <c r="J478" s="56"/>
      <c r="K478" s="56"/>
      <c r="L478" s="56"/>
      <c r="M478" s="56"/>
      <c r="N478" s="56"/>
      <c r="O478" s="59"/>
      <c r="P478" s="56"/>
      <c r="Q478" s="56"/>
      <c r="R478" s="56"/>
      <c r="S478" s="57"/>
      <c r="T478" s="56"/>
      <c r="U478" s="56"/>
      <c r="V478" s="56"/>
      <c r="W478" s="57"/>
      <c r="X478" s="51"/>
      <c r="Y478" s="51"/>
      <c r="Z478" s="51"/>
      <c r="AA478" s="51"/>
      <c r="AB478" s="51"/>
      <c r="AC478" s="51"/>
    </row>
    <row r="479" ht="15.75" customHeight="1">
      <c r="A479" s="56"/>
      <c r="B479" s="57"/>
      <c r="C479" s="58"/>
      <c r="D479" s="56"/>
      <c r="E479" s="56"/>
      <c r="F479" s="56"/>
      <c r="G479" s="56"/>
      <c r="H479" s="56"/>
      <c r="I479" s="56"/>
      <c r="J479" s="56"/>
      <c r="K479" s="56"/>
      <c r="L479" s="56"/>
      <c r="M479" s="56"/>
      <c r="N479" s="56"/>
      <c r="O479" s="59"/>
      <c r="P479" s="56"/>
      <c r="Q479" s="56"/>
      <c r="R479" s="56"/>
      <c r="S479" s="57"/>
      <c r="T479" s="56"/>
      <c r="U479" s="56"/>
      <c r="V479" s="56"/>
      <c r="W479" s="57"/>
      <c r="X479" s="51"/>
      <c r="Y479" s="51"/>
      <c r="Z479" s="51"/>
      <c r="AA479" s="51"/>
      <c r="AB479" s="51"/>
      <c r="AC479" s="51"/>
    </row>
    <row r="480" ht="15.75" customHeight="1">
      <c r="A480" s="56"/>
      <c r="B480" s="57"/>
      <c r="C480" s="58"/>
      <c r="D480" s="56"/>
      <c r="E480" s="56"/>
      <c r="F480" s="56"/>
      <c r="G480" s="56"/>
      <c r="H480" s="56"/>
      <c r="I480" s="56"/>
      <c r="J480" s="56"/>
      <c r="K480" s="56"/>
      <c r="L480" s="56"/>
      <c r="M480" s="56"/>
      <c r="N480" s="56"/>
      <c r="O480" s="59"/>
      <c r="P480" s="56"/>
      <c r="Q480" s="56"/>
      <c r="R480" s="56"/>
      <c r="S480" s="57"/>
      <c r="T480" s="56"/>
      <c r="U480" s="56"/>
      <c r="V480" s="56"/>
      <c r="W480" s="57"/>
      <c r="X480" s="51"/>
      <c r="Y480" s="51"/>
      <c r="Z480" s="51"/>
      <c r="AA480" s="51"/>
      <c r="AB480" s="51"/>
      <c r="AC480" s="51"/>
    </row>
    <row r="481" ht="15.75" customHeight="1">
      <c r="A481" s="56"/>
      <c r="B481" s="57"/>
      <c r="C481" s="58"/>
      <c r="D481" s="56"/>
      <c r="E481" s="56"/>
      <c r="F481" s="56"/>
      <c r="G481" s="56"/>
      <c r="H481" s="56"/>
      <c r="I481" s="56"/>
      <c r="J481" s="56"/>
      <c r="K481" s="56"/>
      <c r="L481" s="56"/>
      <c r="M481" s="56"/>
      <c r="N481" s="56"/>
      <c r="O481" s="59"/>
      <c r="P481" s="56"/>
      <c r="Q481" s="56"/>
      <c r="R481" s="56"/>
      <c r="S481" s="57"/>
      <c r="T481" s="56"/>
      <c r="U481" s="56"/>
      <c r="V481" s="56"/>
      <c r="W481" s="57"/>
      <c r="X481" s="51"/>
      <c r="Y481" s="51"/>
      <c r="Z481" s="51"/>
      <c r="AA481" s="51"/>
      <c r="AB481" s="51"/>
      <c r="AC481" s="51"/>
    </row>
    <row r="482" ht="15.75" customHeight="1">
      <c r="A482" s="56"/>
      <c r="B482" s="57"/>
      <c r="C482" s="58"/>
      <c r="D482" s="56"/>
      <c r="E482" s="56"/>
      <c r="F482" s="56"/>
      <c r="G482" s="56"/>
      <c r="H482" s="56"/>
      <c r="I482" s="56"/>
      <c r="J482" s="56"/>
      <c r="K482" s="56"/>
      <c r="L482" s="56"/>
      <c r="M482" s="56"/>
      <c r="N482" s="56"/>
      <c r="O482" s="59"/>
      <c r="P482" s="56"/>
      <c r="Q482" s="56"/>
      <c r="R482" s="56"/>
      <c r="S482" s="57"/>
      <c r="T482" s="56"/>
      <c r="U482" s="56"/>
      <c r="V482" s="56"/>
      <c r="W482" s="57"/>
      <c r="X482" s="51"/>
      <c r="Y482" s="51"/>
      <c r="Z482" s="51"/>
      <c r="AA482" s="51"/>
      <c r="AB482" s="51"/>
      <c r="AC482" s="51"/>
    </row>
    <row r="483" ht="15.75" customHeight="1">
      <c r="A483" s="56"/>
      <c r="B483" s="57"/>
      <c r="C483" s="58"/>
      <c r="D483" s="56"/>
      <c r="E483" s="56"/>
      <c r="F483" s="56"/>
      <c r="G483" s="56"/>
      <c r="H483" s="56"/>
      <c r="I483" s="56"/>
      <c r="J483" s="56"/>
      <c r="K483" s="56"/>
      <c r="L483" s="56"/>
      <c r="M483" s="56"/>
      <c r="N483" s="56"/>
      <c r="O483" s="59"/>
      <c r="P483" s="56"/>
      <c r="Q483" s="56"/>
      <c r="R483" s="56"/>
      <c r="S483" s="57"/>
      <c r="T483" s="56"/>
      <c r="U483" s="56"/>
      <c r="V483" s="56"/>
      <c r="W483" s="57"/>
      <c r="X483" s="51"/>
      <c r="Y483" s="51"/>
      <c r="Z483" s="51"/>
      <c r="AA483" s="51"/>
      <c r="AB483" s="51"/>
      <c r="AC483" s="51"/>
    </row>
    <row r="484" ht="15.75" customHeight="1">
      <c r="A484" s="56"/>
      <c r="B484" s="57"/>
      <c r="C484" s="58"/>
      <c r="D484" s="56"/>
      <c r="E484" s="56"/>
      <c r="F484" s="56"/>
      <c r="G484" s="56"/>
      <c r="H484" s="56"/>
      <c r="I484" s="56"/>
      <c r="J484" s="56"/>
      <c r="K484" s="56"/>
      <c r="L484" s="56"/>
      <c r="M484" s="56"/>
      <c r="N484" s="56"/>
      <c r="O484" s="59"/>
      <c r="P484" s="56"/>
      <c r="Q484" s="56"/>
      <c r="R484" s="56"/>
      <c r="S484" s="57"/>
      <c r="T484" s="56"/>
      <c r="U484" s="56"/>
      <c r="V484" s="56"/>
      <c r="W484" s="57"/>
      <c r="X484" s="51"/>
      <c r="Y484" s="51"/>
      <c r="Z484" s="51"/>
      <c r="AA484" s="51"/>
      <c r="AB484" s="51"/>
      <c r="AC484" s="51"/>
    </row>
    <row r="485" ht="15.75" customHeight="1">
      <c r="A485" s="56"/>
      <c r="B485" s="57"/>
      <c r="C485" s="58"/>
      <c r="D485" s="56"/>
      <c r="E485" s="56"/>
      <c r="F485" s="56"/>
      <c r="G485" s="56"/>
      <c r="H485" s="56"/>
      <c r="I485" s="56"/>
      <c r="J485" s="56"/>
      <c r="K485" s="56"/>
      <c r="L485" s="56"/>
      <c r="M485" s="56"/>
      <c r="N485" s="56"/>
      <c r="O485" s="59"/>
      <c r="P485" s="56"/>
      <c r="Q485" s="56"/>
      <c r="R485" s="56"/>
      <c r="S485" s="57"/>
      <c r="T485" s="56"/>
      <c r="U485" s="56"/>
      <c r="V485" s="56"/>
      <c r="W485" s="57"/>
      <c r="X485" s="51"/>
      <c r="Y485" s="51"/>
      <c r="Z485" s="51"/>
      <c r="AA485" s="51"/>
      <c r="AB485" s="51"/>
      <c r="AC485" s="51"/>
    </row>
    <row r="486" ht="15.75" customHeight="1">
      <c r="A486" s="56"/>
      <c r="B486" s="57"/>
      <c r="C486" s="58"/>
      <c r="D486" s="56"/>
      <c r="E486" s="56"/>
      <c r="F486" s="56"/>
      <c r="G486" s="56"/>
      <c r="H486" s="56"/>
      <c r="I486" s="56"/>
      <c r="J486" s="56"/>
      <c r="K486" s="56"/>
      <c r="L486" s="56"/>
      <c r="M486" s="56"/>
      <c r="N486" s="56"/>
      <c r="O486" s="59"/>
      <c r="P486" s="56"/>
      <c r="Q486" s="56"/>
      <c r="R486" s="56"/>
      <c r="S486" s="57"/>
      <c r="T486" s="56"/>
      <c r="U486" s="56"/>
      <c r="V486" s="56"/>
      <c r="W486" s="57"/>
      <c r="X486" s="51"/>
      <c r="Y486" s="51"/>
      <c r="Z486" s="51"/>
      <c r="AA486" s="51"/>
      <c r="AB486" s="51"/>
      <c r="AC486" s="51"/>
    </row>
    <row r="487" ht="15.75" customHeight="1">
      <c r="A487" s="56"/>
      <c r="B487" s="57"/>
      <c r="C487" s="58"/>
      <c r="D487" s="56"/>
      <c r="E487" s="56"/>
      <c r="F487" s="56"/>
      <c r="G487" s="56"/>
      <c r="H487" s="56"/>
      <c r="I487" s="56"/>
      <c r="J487" s="56"/>
      <c r="K487" s="56"/>
      <c r="L487" s="56"/>
      <c r="M487" s="56"/>
      <c r="N487" s="56"/>
      <c r="O487" s="59"/>
      <c r="P487" s="56"/>
      <c r="Q487" s="56"/>
      <c r="R487" s="56"/>
      <c r="S487" s="57"/>
      <c r="T487" s="56"/>
      <c r="U487" s="56"/>
      <c r="V487" s="56"/>
      <c r="W487" s="57"/>
      <c r="X487" s="51"/>
      <c r="Y487" s="51"/>
      <c r="Z487" s="51"/>
      <c r="AA487" s="51"/>
      <c r="AB487" s="51"/>
      <c r="AC487" s="51"/>
    </row>
    <row r="488" ht="15.75" customHeight="1">
      <c r="A488" s="56"/>
      <c r="B488" s="57"/>
      <c r="C488" s="58"/>
      <c r="D488" s="56"/>
      <c r="E488" s="56"/>
      <c r="F488" s="56"/>
      <c r="G488" s="56"/>
      <c r="H488" s="56"/>
      <c r="I488" s="56"/>
      <c r="J488" s="56"/>
      <c r="K488" s="56"/>
      <c r="L488" s="56"/>
      <c r="M488" s="56"/>
      <c r="N488" s="56"/>
      <c r="O488" s="59"/>
      <c r="P488" s="56"/>
      <c r="Q488" s="56"/>
      <c r="R488" s="56"/>
      <c r="S488" s="57"/>
      <c r="T488" s="56"/>
      <c r="U488" s="56"/>
      <c r="V488" s="56"/>
      <c r="W488" s="57"/>
      <c r="X488" s="51"/>
      <c r="Y488" s="51"/>
      <c r="Z488" s="51"/>
      <c r="AA488" s="51"/>
      <c r="AB488" s="51"/>
      <c r="AC488" s="51"/>
    </row>
    <row r="489" ht="15.75" customHeight="1">
      <c r="A489" s="56"/>
      <c r="B489" s="57"/>
      <c r="C489" s="58"/>
      <c r="D489" s="56"/>
      <c r="E489" s="56"/>
      <c r="F489" s="56"/>
      <c r="G489" s="56"/>
      <c r="H489" s="56"/>
      <c r="I489" s="56"/>
      <c r="J489" s="56"/>
      <c r="K489" s="56"/>
      <c r="L489" s="56"/>
      <c r="M489" s="56"/>
      <c r="N489" s="56"/>
      <c r="O489" s="59"/>
      <c r="P489" s="56"/>
      <c r="Q489" s="56"/>
      <c r="R489" s="56"/>
      <c r="S489" s="57"/>
      <c r="T489" s="56"/>
      <c r="U489" s="56"/>
      <c r="V489" s="56"/>
      <c r="W489" s="57"/>
      <c r="X489" s="51"/>
      <c r="Y489" s="51"/>
      <c r="Z489" s="51"/>
      <c r="AA489" s="51"/>
      <c r="AB489" s="51"/>
      <c r="AC489" s="51"/>
    </row>
    <row r="490" ht="15.75" customHeight="1">
      <c r="A490" s="56"/>
      <c r="B490" s="57"/>
      <c r="C490" s="58"/>
      <c r="D490" s="56"/>
      <c r="E490" s="56"/>
      <c r="F490" s="56"/>
      <c r="G490" s="56"/>
      <c r="H490" s="56"/>
      <c r="I490" s="56"/>
      <c r="J490" s="56"/>
      <c r="K490" s="56"/>
      <c r="L490" s="56"/>
      <c r="M490" s="56"/>
      <c r="N490" s="56"/>
      <c r="O490" s="59"/>
      <c r="P490" s="56"/>
      <c r="Q490" s="56"/>
      <c r="R490" s="56"/>
      <c r="S490" s="57"/>
      <c r="T490" s="56"/>
      <c r="U490" s="56"/>
      <c r="V490" s="56"/>
      <c r="W490" s="57"/>
      <c r="X490" s="51"/>
      <c r="Y490" s="51"/>
      <c r="Z490" s="51"/>
      <c r="AA490" s="51"/>
      <c r="AB490" s="51"/>
      <c r="AC490" s="51"/>
    </row>
    <row r="491" ht="15.75" customHeight="1">
      <c r="A491" s="56"/>
      <c r="B491" s="57"/>
      <c r="C491" s="58"/>
      <c r="D491" s="56"/>
      <c r="E491" s="56"/>
      <c r="F491" s="56"/>
      <c r="G491" s="56"/>
      <c r="H491" s="56"/>
      <c r="I491" s="56"/>
      <c r="J491" s="56"/>
      <c r="K491" s="56"/>
      <c r="L491" s="56"/>
      <c r="M491" s="56"/>
      <c r="N491" s="56"/>
      <c r="O491" s="59"/>
      <c r="P491" s="56"/>
      <c r="Q491" s="56"/>
      <c r="R491" s="56"/>
      <c r="S491" s="57"/>
      <c r="T491" s="56"/>
      <c r="U491" s="56"/>
      <c r="V491" s="56"/>
      <c r="W491" s="57"/>
      <c r="X491" s="51"/>
      <c r="Y491" s="51"/>
      <c r="Z491" s="51"/>
      <c r="AA491" s="51"/>
      <c r="AB491" s="51"/>
      <c r="AC491" s="51"/>
    </row>
    <row r="492" ht="15.75" customHeight="1">
      <c r="A492" s="56"/>
      <c r="B492" s="57"/>
      <c r="C492" s="58"/>
      <c r="D492" s="56"/>
      <c r="E492" s="56"/>
      <c r="F492" s="56"/>
      <c r="G492" s="56"/>
      <c r="H492" s="56"/>
      <c r="I492" s="56"/>
      <c r="J492" s="56"/>
      <c r="K492" s="56"/>
      <c r="L492" s="56"/>
      <c r="M492" s="56"/>
      <c r="N492" s="56"/>
      <c r="O492" s="59"/>
      <c r="P492" s="56"/>
      <c r="Q492" s="56"/>
      <c r="R492" s="56"/>
      <c r="S492" s="57"/>
      <c r="T492" s="56"/>
      <c r="U492" s="56"/>
      <c r="V492" s="56"/>
      <c r="W492" s="57"/>
      <c r="X492" s="51"/>
      <c r="Y492" s="51"/>
      <c r="Z492" s="51"/>
      <c r="AA492" s="51"/>
      <c r="AB492" s="51"/>
      <c r="AC492" s="51"/>
    </row>
    <row r="493" ht="15.75" customHeight="1">
      <c r="A493" s="56"/>
      <c r="B493" s="57"/>
      <c r="C493" s="58"/>
      <c r="D493" s="56"/>
      <c r="E493" s="56"/>
      <c r="F493" s="56"/>
      <c r="G493" s="56"/>
      <c r="H493" s="56"/>
      <c r="I493" s="56"/>
      <c r="J493" s="56"/>
      <c r="K493" s="56"/>
      <c r="L493" s="56"/>
      <c r="M493" s="56"/>
      <c r="N493" s="56"/>
      <c r="O493" s="59"/>
      <c r="P493" s="56"/>
      <c r="Q493" s="56"/>
      <c r="R493" s="56"/>
      <c r="S493" s="57"/>
      <c r="T493" s="56"/>
      <c r="U493" s="56"/>
      <c r="V493" s="56"/>
      <c r="W493" s="57"/>
      <c r="X493" s="51"/>
      <c r="Y493" s="51"/>
      <c r="Z493" s="51"/>
      <c r="AA493" s="51"/>
      <c r="AB493" s="51"/>
      <c r="AC493" s="51"/>
    </row>
    <row r="494" ht="15.75" customHeight="1">
      <c r="A494" s="56"/>
      <c r="B494" s="57"/>
      <c r="C494" s="58"/>
      <c r="D494" s="56"/>
      <c r="E494" s="56"/>
      <c r="F494" s="56"/>
      <c r="G494" s="56"/>
      <c r="H494" s="56"/>
      <c r="I494" s="56"/>
      <c r="J494" s="56"/>
      <c r="K494" s="56"/>
      <c r="L494" s="56"/>
      <c r="M494" s="56"/>
      <c r="N494" s="56"/>
      <c r="O494" s="59"/>
      <c r="P494" s="56"/>
      <c r="Q494" s="56"/>
      <c r="R494" s="56"/>
      <c r="S494" s="57"/>
      <c r="T494" s="56"/>
      <c r="U494" s="56"/>
      <c r="V494" s="56"/>
      <c r="W494" s="57"/>
      <c r="X494" s="51"/>
      <c r="Y494" s="51"/>
      <c r="Z494" s="51"/>
      <c r="AA494" s="51"/>
      <c r="AB494" s="51"/>
      <c r="AC494" s="51"/>
    </row>
    <row r="495" ht="15.75" customHeight="1">
      <c r="A495" s="56"/>
      <c r="B495" s="57"/>
      <c r="C495" s="58"/>
      <c r="D495" s="56"/>
      <c r="E495" s="56"/>
      <c r="F495" s="56"/>
      <c r="G495" s="56"/>
      <c r="H495" s="56"/>
      <c r="I495" s="56"/>
      <c r="J495" s="56"/>
      <c r="K495" s="56"/>
      <c r="L495" s="56"/>
      <c r="M495" s="56"/>
      <c r="N495" s="56"/>
      <c r="O495" s="59"/>
      <c r="P495" s="56"/>
      <c r="Q495" s="56"/>
      <c r="R495" s="56"/>
      <c r="S495" s="57"/>
      <c r="T495" s="56"/>
      <c r="U495" s="56"/>
      <c r="V495" s="56"/>
      <c r="W495" s="57"/>
      <c r="X495" s="51"/>
      <c r="Y495" s="51"/>
      <c r="Z495" s="51"/>
      <c r="AA495" s="51"/>
      <c r="AB495" s="51"/>
      <c r="AC495" s="51"/>
    </row>
    <row r="496" ht="15.75" customHeight="1">
      <c r="A496" s="56"/>
      <c r="B496" s="57"/>
      <c r="C496" s="58"/>
      <c r="D496" s="56"/>
      <c r="E496" s="56"/>
      <c r="F496" s="56"/>
      <c r="G496" s="56"/>
      <c r="H496" s="56"/>
      <c r="I496" s="56"/>
      <c r="J496" s="56"/>
      <c r="K496" s="56"/>
      <c r="L496" s="56"/>
      <c r="M496" s="56"/>
      <c r="N496" s="56"/>
      <c r="O496" s="59"/>
      <c r="P496" s="56"/>
      <c r="Q496" s="56"/>
      <c r="R496" s="56"/>
      <c r="S496" s="57"/>
      <c r="T496" s="56"/>
      <c r="U496" s="56"/>
      <c r="V496" s="56"/>
      <c r="W496" s="57"/>
      <c r="X496" s="51"/>
      <c r="Y496" s="51"/>
      <c r="Z496" s="51"/>
      <c r="AA496" s="51"/>
      <c r="AB496" s="51"/>
      <c r="AC496" s="51"/>
    </row>
    <row r="497" ht="15.75" customHeight="1">
      <c r="A497" s="56"/>
      <c r="B497" s="57"/>
      <c r="C497" s="58"/>
      <c r="D497" s="56"/>
      <c r="E497" s="56"/>
      <c r="F497" s="56"/>
      <c r="G497" s="56"/>
      <c r="H497" s="56"/>
      <c r="I497" s="56"/>
      <c r="J497" s="56"/>
      <c r="K497" s="56"/>
      <c r="L497" s="56"/>
      <c r="M497" s="56"/>
      <c r="N497" s="56"/>
      <c r="O497" s="59"/>
      <c r="P497" s="56"/>
      <c r="Q497" s="56"/>
      <c r="R497" s="56"/>
      <c r="S497" s="57"/>
      <c r="T497" s="56"/>
      <c r="U497" s="56"/>
      <c r="V497" s="56"/>
      <c r="W497" s="57"/>
      <c r="X497" s="51"/>
      <c r="Y497" s="51"/>
      <c r="Z497" s="51"/>
      <c r="AA497" s="51"/>
      <c r="AB497" s="51"/>
      <c r="AC497" s="51"/>
    </row>
    <row r="498" ht="15.75" customHeight="1">
      <c r="A498" s="56"/>
      <c r="B498" s="57"/>
      <c r="C498" s="58"/>
      <c r="D498" s="56"/>
      <c r="E498" s="56"/>
      <c r="F498" s="56"/>
      <c r="G498" s="56"/>
      <c r="H498" s="56"/>
      <c r="I498" s="56"/>
      <c r="J498" s="56"/>
      <c r="K498" s="56"/>
      <c r="L498" s="56"/>
      <c r="M498" s="56"/>
      <c r="N498" s="56"/>
      <c r="O498" s="59"/>
      <c r="P498" s="56"/>
      <c r="Q498" s="56"/>
      <c r="R498" s="56"/>
      <c r="S498" s="57"/>
      <c r="T498" s="56"/>
      <c r="U498" s="56"/>
      <c r="V498" s="56"/>
      <c r="W498" s="57"/>
      <c r="X498" s="51"/>
      <c r="Y498" s="51"/>
      <c r="Z498" s="51"/>
      <c r="AA498" s="51"/>
      <c r="AB498" s="51"/>
      <c r="AC498" s="51"/>
    </row>
    <row r="499" ht="15.75" customHeight="1">
      <c r="A499" s="56"/>
      <c r="B499" s="57"/>
      <c r="C499" s="58"/>
      <c r="D499" s="56"/>
      <c r="E499" s="56"/>
      <c r="F499" s="56"/>
      <c r="G499" s="56"/>
      <c r="H499" s="56"/>
      <c r="I499" s="56"/>
      <c r="J499" s="56"/>
      <c r="K499" s="56"/>
      <c r="L499" s="56"/>
      <c r="M499" s="56"/>
      <c r="N499" s="56"/>
      <c r="O499" s="59"/>
      <c r="P499" s="56"/>
      <c r="Q499" s="56"/>
      <c r="R499" s="56"/>
      <c r="S499" s="57"/>
      <c r="T499" s="56"/>
      <c r="U499" s="56"/>
      <c r="V499" s="56"/>
      <c r="W499" s="57"/>
      <c r="X499" s="51"/>
      <c r="Y499" s="51"/>
      <c r="Z499" s="51"/>
      <c r="AA499" s="51"/>
      <c r="AB499" s="51"/>
      <c r="AC499" s="51"/>
    </row>
    <row r="500" ht="15.75" customHeight="1">
      <c r="A500" s="56"/>
      <c r="B500" s="57"/>
      <c r="C500" s="58"/>
      <c r="D500" s="56"/>
      <c r="E500" s="56"/>
      <c r="F500" s="56"/>
      <c r="G500" s="56"/>
      <c r="H500" s="56"/>
      <c r="I500" s="56"/>
      <c r="J500" s="56"/>
      <c r="K500" s="56"/>
      <c r="L500" s="56"/>
      <c r="M500" s="56"/>
      <c r="N500" s="56"/>
      <c r="O500" s="59"/>
      <c r="P500" s="56"/>
      <c r="Q500" s="56"/>
      <c r="R500" s="56"/>
      <c r="S500" s="57"/>
      <c r="T500" s="56"/>
      <c r="U500" s="56"/>
      <c r="V500" s="56"/>
      <c r="W500" s="57"/>
      <c r="X500" s="51"/>
      <c r="Y500" s="51"/>
      <c r="Z500" s="51"/>
      <c r="AA500" s="51"/>
      <c r="AB500" s="51"/>
      <c r="AC500" s="51"/>
    </row>
    <row r="501" ht="15.75" customHeight="1">
      <c r="A501" s="56"/>
      <c r="B501" s="57"/>
      <c r="C501" s="58"/>
      <c r="D501" s="56"/>
      <c r="E501" s="56"/>
      <c r="F501" s="56"/>
      <c r="G501" s="56"/>
      <c r="H501" s="56"/>
      <c r="I501" s="56"/>
      <c r="J501" s="56"/>
      <c r="K501" s="56"/>
      <c r="L501" s="56"/>
      <c r="M501" s="56"/>
      <c r="N501" s="56"/>
      <c r="O501" s="59"/>
      <c r="P501" s="56"/>
      <c r="Q501" s="56"/>
      <c r="R501" s="56"/>
      <c r="S501" s="57"/>
      <c r="T501" s="56"/>
      <c r="U501" s="56"/>
      <c r="V501" s="56"/>
      <c r="W501" s="57"/>
      <c r="X501" s="51"/>
      <c r="Y501" s="51"/>
      <c r="Z501" s="51"/>
      <c r="AA501" s="51"/>
      <c r="AB501" s="51"/>
      <c r="AC501" s="51"/>
    </row>
    <row r="502" ht="15.75" customHeight="1">
      <c r="A502" s="56"/>
      <c r="B502" s="57"/>
      <c r="C502" s="58"/>
      <c r="D502" s="56"/>
      <c r="E502" s="56"/>
      <c r="F502" s="56"/>
      <c r="G502" s="56"/>
      <c r="H502" s="56"/>
      <c r="I502" s="56"/>
      <c r="J502" s="56"/>
      <c r="K502" s="56"/>
      <c r="L502" s="56"/>
      <c r="M502" s="56"/>
      <c r="N502" s="56"/>
      <c r="O502" s="59"/>
      <c r="P502" s="56"/>
      <c r="Q502" s="56"/>
      <c r="R502" s="56"/>
      <c r="S502" s="57"/>
      <c r="T502" s="56"/>
      <c r="U502" s="56"/>
      <c r="V502" s="56"/>
      <c r="W502" s="57"/>
      <c r="X502" s="51"/>
      <c r="Y502" s="51"/>
      <c r="Z502" s="51"/>
      <c r="AA502" s="51"/>
      <c r="AB502" s="51"/>
      <c r="AC502" s="51"/>
    </row>
    <row r="503" ht="15.75" customHeight="1">
      <c r="A503" s="56"/>
      <c r="B503" s="57"/>
      <c r="C503" s="58"/>
      <c r="D503" s="56"/>
      <c r="E503" s="56"/>
      <c r="F503" s="56"/>
      <c r="G503" s="56"/>
      <c r="H503" s="56"/>
      <c r="I503" s="56"/>
      <c r="J503" s="56"/>
      <c r="K503" s="56"/>
      <c r="L503" s="56"/>
      <c r="M503" s="56"/>
      <c r="N503" s="56"/>
      <c r="O503" s="59"/>
      <c r="P503" s="56"/>
      <c r="Q503" s="56"/>
      <c r="R503" s="56"/>
      <c r="S503" s="57"/>
      <c r="T503" s="56"/>
      <c r="U503" s="56"/>
      <c r="V503" s="56"/>
      <c r="W503" s="57"/>
      <c r="X503" s="51"/>
      <c r="Y503" s="51"/>
      <c r="Z503" s="51"/>
      <c r="AA503" s="51"/>
      <c r="AB503" s="51"/>
      <c r="AC503" s="51"/>
    </row>
    <row r="504" ht="15.75" customHeight="1">
      <c r="A504" s="56"/>
      <c r="B504" s="57"/>
      <c r="C504" s="58"/>
      <c r="D504" s="56"/>
      <c r="E504" s="56"/>
      <c r="F504" s="56"/>
      <c r="G504" s="56"/>
      <c r="H504" s="56"/>
      <c r="I504" s="56"/>
      <c r="J504" s="56"/>
      <c r="K504" s="56"/>
      <c r="L504" s="56"/>
      <c r="M504" s="56"/>
      <c r="N504" s="56"/>
      <c r="O504" s="59"/>
      <c r="P504" s="56"/>
      <c r="Q504" s="56"/>
      <c r="R504" s="56"/>
      <c r="S504" s="57"/>
      <c r="T504" s="56"/>
      <c r="U504" s="56"/>
      <c r="V504" s="56"/>
      <c r="W504" s="57"/>
      <c r="X504" s="51"/>
      <c r="Y504" s="51"/>
      <c r="Z504" s="51"/>
      <c r="AA504" s="51"/>
      <c r="AB504" s="51"/>
      <c r="AC504" s="51"/>
    </row>
    <row r="505" ht="15.75" customHeight="1">
      <c r="A505" s="56"/>
      <c r="B505" s="57"/>
      <c r="C505" s="58"/>
      <c r="D505" s="56"/>
      <c r="E505" s="56"/>
      <c r="F505" s="56"/>
      <c r="G505" s="56"/>
      <c r="H505" s="56"/>
      <c r="I505" s="56"/>
      <c r="J505" s="56"/>
      <c r="K505" s="56"/>
      <c r="L505" s="56"/>
      <c r="M505" s="56"/>
      <c r="N505" s="56"/>
      <c r="O505" s="59"/>
      <c r="P505" s="56"/>
      <c r="Q505" s="56"/>
      <c r="R505" s="56"/>
      <c r="S505" s="57"/>
      <c r="T505" s="56"/>
      <c r="U505" s="56"/>
      <c r="V505" s="56"/>
      <c r="W505" s="57"/>
      <c r="X505" s="51"/>
      <c r="Y505" s="51"/>
      <c r="Z505" s="51"/>
      <c r="AA505" s="51"/>
      <c r="AB505" s="51"/>
      <c r="AC505" s="51"/>
    </row>
    <row r="506" ht="15.75" customHeight="1">
      <c r="A506" s="56"/>
      <c r="B506" s="57"/>
      <c r="C506" s="58"/>
      <c r="D506" s="56"/>
      <c r="E506" s="56"/>
      <c r="F506" s="56"/>
      <c r="G506" s="56"/>
      <c r="H506" s="56"/>
      <c r="I506" s="56"/>
      <c r="J506" s="56"/>
      <c r="K506" s="56"/>
      <c r="L506" s="56"/>
      <c r="M506" s="56"/>
      <c r="N506" s="56"/>
      <c r="O506" s="59"/>
      <c r="P506" s="56"/>
      <c r="Q506" s="56"/>
      <c r="R506" s="56"/>
      <c r="S506" s="57"/>
      <c r="T506" s="56"/>
      <c r="U506" s="56"/>
      <c r="V506" s="56"/>
      <c r="W506" s="57"/>
      <c r="X506" s="51"/>
      <c r="Y506" s="51"/>
      <c r="Z506" s="51"/>
      <c r="AA506" s="51"/>
      <c r="AB506" s="51"/>
      <c r="AC506" s="51"/>
    </row>
    <row r="507" ht="15.75" customHeight="1">
      <c r="A507" s="56"/>
      <c r="B507" s="57"/>
      <c r="C507" s="58"/>
      <c r="D507" s="56"/>
      <c r="E507" s="56"/>
      <c r="F507" s="56"/>
      <c r="G507" s="56"/>
      <c r="H507" s="56"/>
      <c r="I507" s="56"/>
      <c r="J507" s="56"/>
      <c r="K507" s="56"/>
      <c r="L507" s="56"/>
      <c r="M507" s="56"/>
      <c r="N507" s="56"/>
      <c r="O507" s="59"/>
      <c r="P507" s="56"/>
      <c r="Q507" s="56"/>
      <c r="R507" s="56"/>
      <c r="S507" s="57"/>
      <c r="T507" s="56"/>
      <c r="U507" s="56"/>
      <c r="V507" s="56"/>
      <c r="W507" s="57"/>
      <c r="X507" s="51"/>
      <c r="Y507" s="51"/>
      <c r="Z507" s="51"/>
      <c r="AA507" s="51"/>
      <c r="AB507" s="51"/>
      <c r="AC507" s="51"/>
    </row>
    <row r="508" ht="15.75" customHeight="1">
      <c r="A508" s="56"/>
      <c r="B508" s="57"/>
      <c r="C508" s="58"/>
      <c r="D508" s="56"/>
      <c r="E508" s="56"/>
      <c r="F508" s="56"/>
      <c r="G508" s="56"/>
      <c r="H508" s="56"/>
      <c r="I508" s="56"/>
      <c r="J508" s="56"/>
      <c r="K508" s="56"/>
      <c r="L508" s="56"/>
      <c r="M508" s="56"/>
      <c r="N508" s="56"/>
      <c r="O508" s="59"/>
      <c r="P508" s="56"/>
      <c r="Q508" s="56"/>
      <c r="R508" s="56"/>
      <c r="S508" s="57"/>
      <c r="T508" s="56"/>
      <c r="U508" s="56"/>
      <c r="V508" s="56"/>
      <c r="W508" s="57"/>
      <c r="X508" s="51"/>
      <c r="Y508" s="51"/>
      <c r="Z508" s="51"/>
      <c r="AA508" s="51"/>
      <c r="AB508" s="51"/>
      <c r="AC508" s="51"/>
    </row>
    <row r="509" ht="15.75" customHeight="1">
      <c r="A509" s="56"/>
      <c r="B509" s="57"/>
      <c r="C509" s="58"/>
      <c r="D509" s="56"/>
      <c r="E509" s="56"/>
      <c r="F509" s="56"/>
      <c r="G509" s="56"/>
      <c r="H509" s="56"/>
      <c r="I509" s="56"/>
      <c r="J509" s="56"/>
      <c r="K509" s="56"/>
      <c r="L509" s="56"/>
      <c r="M509" s="56"/>
      <c r="N509" s="56"/>
      <c r="O509" s="59"/>
      <c r="P509" s="56"/>
      <c r="Q509" s="56"/>
      <c r="R509" s="56"/>
      <c r="S509" s="57"/>
      <c r="T509" s="56"/>
      <c r="U509" s="56"/>
      <c r="V509" s="56"/>
      <c r="W509" s="57"/>
      <c r="X509" s="51"/>
      <c r="Y509" s="51"/>
      <c r="Z509" s="51"/>
      <c r="AA509" s="51"/>
      <c r="AB509" s="51"/>
      <c r="AC509" s="51"/>
    </row>
    <row r="510" ht="15.75" customHeight="1">
      <c r="A510" s="56"/>
      <c r="B510" s="57"/>
      <c r="C510" s="58"/>
      <c r="D510" s="56"/>
      <c r="E510" s="56"/>
      <c r="F510" s="56"/>
      <c r="G510" s="56"/>
      <c r="H510" s="56"/>
      <c r="I510" s="56"/>
      <c r="J510" s="56"/>
      <c r="K510" s="56"/>
      <c r="L510" s="56"/>
      <c r="M510" s="56"/>
      <c r="N510" s="56"/>
      <c r="O510" s="59"/>
      <c r="P510" s="56"/>
      <c r="Q510" s="56"/>
      <c r="R510" s="56"/>
      <c r="S510" s="57"/>
      <c r="T510" s="56"/>
      <c r="U510" s="56"/>
      <c r="V510" s="56"/>
      <c r="W510" s="57"/>
      <c r="X510" s="51"/>
      <c r="Y510" s="51"/>
      <c r="Z510" s="51"/>
      <c r="AA510" s="51"/>
      <c r="AB510" s="51"/>
      <c r="AC510" s="51"/>
    </row>
    <row r="511" ht="15.75" customHeight="1">
      <c r="A511" s="56"/>
      <c r="B511" s="57"/>
      <c r="C511" s="58"/>
      <c r="D511" s="56"/>
      <c r="E511" s="56"/>
      <c r="F511" s="56"/>
      <c r="G511" s="56"/>
      <c r="H511" s="56"/>
      <c r="I511" s="56"/>
      <c r="J511" s="56"/>
      <c r="K511" s="56"/>
      <c r="L511" s="56"/>
      <c r="M511" s="56"/>
      <c r="N511" s="56"/>
      <c r="O511" s="59"/>
      <c r="P511" s="56"/>
      <c r="Q511" s="56"/>
      <c r="R511" s="56"/>
      <c r="S511" s="57"/>
      <c r="T511" s="56"/>
      <c r="U511" s="56"/>
      <c r="V511" s="56"/>
      <c r="W511" s="57"/>
      <c r="X511" s="51"/>
      <c r="Y511" s="51"/>
      <c r="Z511" s="51"/>
      <c r="AA511" s="51"/>
      <c r="AB511" s="51"/>
      <c r="AC511" s="51"/>
    </row>
    <row r="512" ht="15.75" customHeight="1">
      <c r="A512" s="56"/>
      <c r="B512" s="57"/>
      <c r="C512" s="58"/>
      <c r="D512" s="56"/>
      <c r="E512" s="56"/>
      <c r="F512" s="56"/>
      <c r="G512" s="56"/>
      <c r="H512" s="56"/>
      <c r="I512" s="56"/>
      <c r="J512" s="56"/>
      <c r="K512" s="56"/>
      <c r="L512" s="56"/>
      <c r="M512" s="56"/>
      <c r="N512" s="56"/>
      <c r="O512" s="59"/>
      <c r="P512" s="56"/>
      <c r="Q512" s="56"/>
      <c r="R512" s="56"/>
      <c r="S512" s="57"/>
      <c r="T512" s="56"/>
      <c r="U512" s="56"/>
      <c r="V512" s="56"/>
      <c r="W512" s="57"/>
      <c r="X512" s="51"/>
      <c r="Y512" s="51"/>
      <c r="Z512" s="51"/>
      <c r="AA512" s="51"/>
      <c r="AB512" s="51"/>
      <c r="AC512" s="51"/>
    </row>
    <row r="513" ht="15.75" customHeight="1">
      <c r="A513" s="56"/>
      <c r="B513" s="57"/>
      <c r="C513" s="58"/>
      <c r="D513" s="56"/>
      <c r="E513" s="56"/>
      <c r="F513" s="56"/>
      <c r="G513" s="56"/>
      <c r="H513" s="56"/>
      <c r="I513" s="56"/>
      <c r="J513" s="56"/>
      <c r="K513" s="56"/>
      <c r="L513" s="56"/>
      <c r="M513" s="56"/>
      <c r="N513" s="56"/>
      <c r="O513" s="59"/>
      <c r="P513" s="56"/>
      <c r="Q513" s="56"/>
      <c r="R513" s="56"/>
      <c r="S513" s="57"/>
      <c r="T513" s="56"/>
      <c r="U513" s="56"/>
      <c r="V513" s="56"/>
      <c r="W513" s="57"/>
      <c r="X513" s="51"/>
      <c r="Y513" s="51"/>
      <c r="Z513" s="51"/>
      <c r="AA513" s="51"/>
      <c r="AB513" s="51"/>
      <c r="AC513" s="51"/>
    </row>
    <row r="514" ht="15.75" customHeight="1">
      <c r="A514" s="56"/>
      <c r="B514" s="57"/>
      <c r="C514" s="58"/>
      <c r="D514" s="56"/>
      <c r="E514" s="56"/>
      <c r="F514" s="56"/>
      <c r="G514" s="56"/>
      <c r="H514" s="56"/>
      <c r="I514" s="56"/>
      <c r="J514" s="56"/>
      <c r="K514" s="56"/>
      <c r="L514" s="56"/>
      <c r="M514" s="56"/>
      <c r="N514" s="56"/>
      <c r="O514" s="59"/>
      <c r="P514" s="56"/>
      <c r="Q514" s="56"/>
      <c r="R514" s="56"/>
      <c r="S514" s="57"/>
      <c r="T514" s="56"/>
      <c r="U514" s="56"/>
      <c r="V514" s="56"/>
      <c r="W514" s="57"/>
      <c r="X514" s="51"/>
      <c r="Y514" s="51"/>
      <c r="Z514" s="51"/>
      <c r="AA514" s="51"/>
      <c r="AB514" s="51"/>
      <c r="AC514" s="51"/>
    </row>
    <row r="515" ht="15.75" customHeight="1">
      <c r="A515" s="56"/>
      <c r="B515" s="57"/>
      <c r="C515" s="58"/>
      <c r="D515" s="56"/>
      <c r="E515" s="56"/>
      <c r="F515" s="56"/>
      <c r="G515" s="56"/>
      <c r="H515" s="56"/>
      <c r="I515" s="56"/>
      <c r="J515" s="56"/>
      <c r="K515" s="56"/>
      <c r="L515" s="56"/>
      <c r="M515" s="56"/>
      <c r="N515" s="56"/>
      <c r="O515" s="59"/>
      <c r="P515" s="56"/>
      <c r="Q515" s="56"/>
      <c r="R515" s="56"/>
      <c r="S515" s="57"/>
      <c r="T515" s="56"/>
      <c r="U515" s="56"/>
      <c r="V515" s="56"/>
      <c r="W515" s="57"/>
      <c r="X515" s="51"/>
      <c r="Y515" s="51"/>
      <c r="Z515" s="51"/>
      <c r="AA515" s="51"/>
      <c r="AB515" s="51"/>
      <c r="AC515" s="51"/>
    </row>
    <row r="516" ht="15.75" customHeight="1">
      <c r="A516" s="56"/>
      <c r="B516" s="57"/>
      <c r="C516" s="58"/>
      <c r="D516" s="56"/>
      <c r="E516" s="56"/>
      <c r="F516" s="56"/>
      <c r="G516" s="56"/>
      <c r="H516" s="56"/>
      <c r="I516" s="56"/>
      <c r="J516" s="56"/>
      <c r="K516" s="56"/>
      <c r="L516" s="56"/>
      <c r="M516" s="56"/>
      <c r="N516" s="56"/>
      <c r="O516" s="59"/>
      <c r="P516" s="56"/>
      <c r="Q516" s="56"/>
      <c r="R516" s="56"/>
      <c r="S516" s="57"/>
      <c r="T516" s="56"/>
      <c r="U516" s="56"/>
      <c r="V516" s="56"/>
      <c r="W516" s="57"/>
      <c r="X516" s="51"/>
      <c r="Y516" s="51"/>
      <c r="Z516" s="51"/>
      <c r="AA516" s="51"/>
      <c r="AB516" s="51"/>
      <c r="AC516" s="51"/>
    </row>
    <row r="517" ht="15.75" customHeight="1">
      <c r="A517" s="56"/>
      <c r="B517" s="57"/>
      <c r="C517" s="58"/>
      <c r="D517" s="56"/>
      <c r="E517" s="56"/>
      <c r="F517" s="56"/>
      <c r="G517" s="56"/>
      <c r="H517" s="56"/>
      <c r="I517" s="56"/>
      <c r="J517" s="56"/>
      <c r="K517" s="56"/>
      <c r="L517" s="56"/>
      <c r="M517" s="56"/>
      <c r="N517" s="56"/>
      <c r="O517" s="59"/>
      <c r="P517" s="56"/>
      <c r="Q517" s="56"/>
      <c r="R517" s="56"/>
      <c r="S517" s="57"/>
      <c r="T517" s="56"/>
      <c r="U517" s="56"/>
      <c r="V517" s="56"/>
      <c r="W517" s="57"/>
      <c r="X517" s="51"/>
      <c r="Y517" s="51"/>
      <c r="Z517" s="51"/>
      <c r="AA517" s="51"/>
      <c r="AB517" s="51"/>
      <c r="AC517" s="51"/>
    </row>
    <row r="518" ht="15.75" customHeight="1">
      <c r="A518" s="56"/>
      <c r="B518" s="57"/>
      <c r="C518" s="58"/>
      <c r="D518" s="56"/>
      <c r="E518" s="56"/>
      <c r="F518" s="56"/>
      <c r="G518" s="56"/>
      <c r="H518" s="56"/>
      <c r="I518" s="56"/>
      <c r="J518" s="56"/>
      <c r="K518" s="56"/>
      <c r="L518" s="56"/>
      <c r="M518" s="56"/>
      <c r="N518" s="56"/>
      <c r="O518" s="59"/>
      <c r="P518" s="56"/>
      <c r="Q518" s="56"/>
      <c r="R518" s="56"/>
      <c r="S518" s="57"/>
      <c r="T518" s="56"/>
      <c r="U518" s="56"/>
      <c r="V518" s="56"/>
      <c r="W518" s="57"/>
      <c r="X518" s="51"/>
      <c r="Y518" s="51"/>
      <c r="Z518" s="51"/>
      <c r="AA518" s="51"/>
      <c r="AB518" s="51"/>
      <c r="AC518" s="51"/>
    </row>
    <row r="519" ht="15.75" customHeight="1">
      <c r="A519" s="56"/>
      <c r="B519" s="57"/>
      <c r="C519" s="58"/>
      <c r="D519" s="56"/>
      <c r="E519" s="56"/>
      <c r="F519" s="56"/>
      <c r="G519" s="56"/>
      <c r="H519" s="56"/>
      <c r="I519" s="56"/>
      <c r="J519" s="56"/>
      <c r="K519" s="56"/>
      <c r="L519" s="56"/>
      <c r="M519" s="56"/>
      <c r="N519" s="56"/>
      <c r="O519" s="59"/>
      <c r="P519" s="56"/>
      <c r="Q519" s="56"/>
      <c r="R519" s="56"/>
      <c r="S519" s="57"/>
      <c r="T519" s="56"/>
      <c r="U519" s="56"/>
      <c r="V519" s="56"/>
      <c r="W519" s="57"/>
      <c r="X519" s="51"/>
      <c r="Y519" s="51"/>
      <c r="Z519" s="51"/>
      <c r="AA519" s="51"/>
      <c r="AB519" s="51"/>
      <c r="AC519" s="51"/>
    </row>
    <row r="520" ht="15.75" customHeight="1">
      <c r="A520" s="56"/>
      <c r="B520" s="57"/>
      <c r="C520" s="58"/>
      <c r="D520" s="56"/>
      <c r="E520" s="56"/>
      <c r="F520" s="56"/>
      <c r="G520" s="56"/>
      <c r="H520" s="56"/>
      <c r="I520" s="56"/>
      <c r="J520" s="56"/>
      <c r="K520" s="56"/>
      <c r="L520" s="56"/>
      <c r="M520" s="56"/>
      <c r="N520" s="56"/>
      <c r="O520" s="59"/>
      <c r="P520" s="56"/>
      <c r="Q520" s="56"/>
      <c r="R520" s="56"/>
      <c r="S520" s="57"/>
      <c r="T520" s="56"/>
      <c r="U520" s="56"/>
      <c r="V520" s="56"/>
      <c r="W520" s="57"/>
      <c r="X520" s="51"/>
      <c r="Y520" s="51"/>
      <c r="Z520" s="51"/>
      <c r="AA520" s="51"/>
      <c r="AB520" s="51"/>
      <c r="AC520" s="51"/>
    </row>
    <row r="521" ht="15.75" customHeight="1">
      <c r="A521" s="56"/>
      <c r="B521" s="57"/>
      <c r="C521" s="58"/>
      <c r="D521" s="56"/>
      <c r="E521" s="56"/>
      <c r="F521" s="56"/>
      <c r="G521" s="56"/>
      <c r="H521" s="56"/>
      <c r="I521" s="56"/>
      <c r="J521" s="56"/>
      <c r="K521" s="56"/>
      <c r="L521" s="56"/>
      <c r="M521" s="56"/>
      <c r="N521" s="56"/>
      <c r="O521" s="59"/>
      <c r="P521" s="56"/>
      <c r="Q521" s="56"/>
      <c r="R521" s="56"/>
      <c r="S521" s="57"/>
      <c r="T521" s="56"/>
      <c r="U521" s="56"/>
      <c r="V521" s="56"/>
      <c r="W521" s="57"/>
      <c r="X521" s="51"/>
      <c r="Y521" s="51"/>
      <c r="Z521" s="51"/>
      <c r="AA521" s="51"/>
      <c r="AB521" s="51"/>
      <c r="AC521" s="51"/>
    </row>
    <row r="522" ht="15.75" customHeight="1">
      <c r="A522" s="56"/>
      <c r="B522" s="57"/>
      <c r="C522" s="58"/>
      <c r="D522" s="56"/>
      <c r="E522" s="56"/>
      <c r="F522" s="56"/>
      <c r="G522" s="56"/>
      <c r="H522" s="56"/>
      <c r="I522" s="56"/>
      <c r="J522" s="56"/>
      <c r="K522" s="56"/>
      <c r="L522" s="56"/>
      <c r="M522" s="56"/>
      <c r="N522" s="56"/>
      <c r="O522" s="59"/>
      <c r="P522" s="56"/>
      <c r="Q522" s="56"/>
      <c r="R522" s="56"/>
      <c r="S522" s="57"/>
      <c r="T522" s="56"/>
      <c r="U522" s="56"/>
      <c r="V522" s="56"/>
      <c r="W522" s="57"/>
      <c r="X522" s="51"/>
      <c r="Y522" s="51"/>
      <c r="Z522" s="51"/>
      <c r="AA522" s="51"/>
      <c r="AB522" s="51"/>
      <c r="AC522" s="51"/>
    </row>
    <row r="523" ht="15.75" customHeight="1">
      <c r="A523" s="56"/>
      <c r="B523" s="57"/>
      <c r="C523" s="58"/>
      <c r="D523" s="56"/>
      <c r="E523" s="56"/>
      <c r="F523" s="56"/>
      <c r="G523" s="56"/>
      <c r="H523" s="56"/>
      <c r="I523" s="56"/>
      <c r="J523" s="56"/>
      <c r="K523" s="56"/>
      <c r="L523" s="56"/>
      <c r="M523" s="56"/>
      <c r="N523" s="56"/>
      <c r="O523" s="59"/>
      <c r="P523" s="56"/>
      <c r="Q523" s="56"/>
      <c r="R523" s="56"/>
      <c r="S523" s="57"/>
      <c r="T523" s="56"/>
      <c r="U523" s="56"/>
      <c r="V523" s="56"/>
      <c r="W523" s="57"/>
      <c r="X523" s="51"/>
      <c r="Y523" s="51"/>
      <c r="Z523" s="51"/>
      <c r="AA523" s="51"/>
      <c r="AB523" s="51"/>
      <c r="AC523" s="51"/>
    </row>
    <row r="524" ht="15.75" customHeight="1">
      <c r="A524" s="56"/>
      <c r="B524" s="57"/>
      <c r="C524" s="58"/>
      <c r="D524" s="56"/>
      <c r="E524" s="56"/>
      <c r="F524" s="56"/>
      <c r="G524" s="56"/>
      <c r="H524" s="56"/>
      <c r="I524" s="56"/>
      <c r="J524" s="56"/>
      <c r="K524" s="56"/>
      <c r="L524" s="56"/>
      <c r="M524" s="56"/>
      <c r="N524" s="56"/>
      <c r="O524" s="59"/>
      <c r="P524" s="56"/>
      <c r="Q524" s="56"/>
      <c r="R524" s="56"/>
      <c r="S524" s="57"/>
      <c r="T524" s="56"/>
      <c r="U524" s="56"/>
      <c r="V524" s="56"/>
      <c r="W524" s="57"/>
      <c r="X524" s="51"/>
      <c r="Y524" s="51"/>
      <c r="Z524" s="51"/>
      <c r="AA524" s="51"/>
      <c r="AB524" s="51"/>
      <c r="AC524" s="51"/>
    </row>
    <row r="525" ht="15.75" customHeight="1">
      <c r="A525" s="56"/>
      <c r="B525" s="57"/>
      <c r="C525" s="58"/>
      <c r="D525" s="56"/>
      <c r="E525" s="56"/>
      <c r="F525" s="56"/>
      <c r="G525" s="56"/>
      <c r="H525" s="56"/>
      <c r="I525" s="56"/>
      <c r="J525" s="56"/>
      <c r="K525" s="56"/>
      <c r="L525" s="56"/>
      <c r="M525" s="56"/>
      <c r="N525" s="56"/>
      <c r="O525" s="59"/>
      <c r="P525" s="56"/>
      <c r="Q525" s="56"/>
      <c r="R525" s="56"/>
      <c r="S525" s="57"/>
      <c r="T525" s="56"/>
      <c r="U525" s="56"/>
      <c r="V525" s="56"/>
      <c r="W525" s="57"/>
      <c r="X525" s="51"/>
      <c r="Y525" s="51"/>
      <c r="Z525" s="51"/>
      <c r="AA525" s="51"/>
      <c r="AB525" s="51"/>
      <c r="AC525" s="51"/>
    </row>
    <row r="526" ht="15.75" customHeight="1">
      <c r="A526" s="56"/>
      <c r="B526" s="57"/>
      <c r="C526" s="58"/>
      <c r="D526" s="56"/>
      <c r="E526" s="56"/>
      <c r="F526" s="56"/>
      <c r="G526" s="56"/>
      <c r="H526" s="56"/>
      <c r="I526" s="56"/>
      <c r="J526" s="56"/>
      <c r="K526" s="56"/>
      <c r="L526" s="56"/>
      <c r="M526" s="56"/>
      <c r="N526" s="56"/>
      <c r="O526" s="59"/>
      <c r="P526" s="56"/>
      <c r="Q526" s="56"/>
      <c r="R526" s="56"/>
      <c r="S526" s="57"/>
      <c r="T526" s="56"/>
      <c r="U526" s="56"/>
      <c r="V526" s="56"/>
      <c r="W526" s="57"/>
      <c r="X526" s="51"/>
      <c r="Y526" s="51"/>
      <c r="Z526" s="51"/>
      <c r="AA526" s="51"/>
      <c r="AB526" s="51"/>
      <c r="AC526" s="51"/>
    </row>
    <row r="527" ht="15.75" customHeight="1">
      <c r="A527" s="56"/>
      <c r="B527" s="57"/>
      <c r="C527" s="58"/>
      <c r="D527" s="56"/>
      <c r="E527" s="56"/>
      <c r="F527" s="56"/>
      <c r="G527" s="56"/>
      <c r="H527" s="56"/>
      <c r="I527" s="56"/>
      <c r="J527" s="56"/>
      <c r="K527" s="56"/>
      <c r="L527" s="56"/>
      <c r="M527" s="56"/>
      <c r="N527" s="56"/>
      <c r="O527" s="59"/>
      <c r="P527" s="56"/>
      <c r="Q527" s="56"/>
      <c r="R527" s="56"/>
      <c r="S527" s="57"/>
      <c r="T527" s="56"/>
      <c r="U527" s="56"/>
      <c r="V527" s="56"/>
      <c r="W527" s="57"/>
      <c r="X527" s="51"/>
      <c r="Y527" s="51"/>
      <c r="Z527" s="51"/>
      <c r="AA527" s="51"/>
      <c r="AB527" s="51"/>
      <c r="AC527" s="51"/>
    </row>
    <row r="528" ht="15.75" customHeight="1">
      <c r="A528" s="56"/>
      <c r="B528" s="57"/>
      <c r="C528" s="58"/>
      <c r="D528" s="56"/>
      <c r="E528" s="56"/>
      <c r="F528" s="56"/>
      <c r="G528" s="56"/>
      <c r="H528" s="56"/>
      <c r="I528" s="56"/>
      <c r="J528" s="56"/>
      <c r="K528" s="56"/>
      <c r="L528" s="56"/>
      <c r="M528" s="56"/>
      <c r="N528" s="56"/>
      <c r="O528" s="59"/>
      <c r="P528" s="56"/>
      <c r="Q528" s="56"/>
      <c r="R528" s="56"/>
      <c r="S528" s="57"/>
      <c r="T528" s="56"/>
      <c r="U528" s="56"/>
      <c r="V528" s="56"/>
      <c r="W528" s="57"/>
      <c r="X528" s="51"/>
      <c r="Y528" s="51"/>
      <c r="Z528" s="51"/>
      <c r="AA528" s="51"/>
      <c r="AB528" s="51"/>
      <c r="AC528" s="51"/>
    </row>
    <row r="529" ht="15.75" customHeight="1">
      <c r="A529" s="56"/>
      <c r="B529" s="57"/>
      <c r="C529" s="58"/>
      <c r="D529" s="56"/>
      <c r="E529" s="56"/>
      <c r="F529" s="56"/>
      <c r="G529" s="56"/>
      <c r="H529" s="56"/>
      <c r="I529" s="56"/>
      <c r="J529" s="56"/>
      <c r="K529" s="56"/>
      <c r="L529" s="56"/>
      <c r="M529" s="56"/>
      <c r="N529" s="56"/>
      <c r="O529" s="59"/>
      <c r="P529" s="56"/>
      <c r="Q529" s="56"/>
      <c r="R529" s="56"/>
      <c r="S529" s="57"/>
      <c r="T529" s="56"/>
      <c r="U529" s="56"/>
      <c r="V529" s="56"/>
      <c r="W529" s="57"/>
      <c r="X529" s="51"/>
      <c r="Y529" s="51"/>
      <c r="Z529" s="51"/>
      <c r="AA529" s="51"/>
      <c r="AB529" s="51"/>
      <c r="AC529" s="51"/>
    </row>
    <row r="530" ht="15.75" customHeight="1">
      <c r="A530" s="56"/>
      <c r="B530" s="57"/>
      <c r="C530" s="58"/>
      <c r="D530" s="56"/>
      <c r="E530" s="56"/>
      <c r="F530" s="56"/>
      <c r="G530" s="56"/>
      <c r="H530" s="56"/>
      <c r="I530" s="56"/>
      <c r="J530" s="56"/>
      <c r="K530" s="56"/>
      <c r="L530" s="56"/>
      <c r="M530" s="56"/>
      <c r="N530" s="56"/>
      <c r="O530" s="59"/>
      <c r="P530" s="56"/>
      <c r="Q530" s="56"/>
      <c r="R530" s="56"/>
      <c r="S530" s="57"/>
      <c r="T530" s="56"/>
      <c r="U530" s="56"/>
      <c r="V530" s="56"/>
      <c r="W530" s="57"/>
      <c r="X530" s="51"/>
      <c r="Y530" s="51"/>
      <c r="Z530" s="51"/>
      <c r="AA530" s="51"/>
      <c r="AB530" s="51"/>
      <c r="AC530" s="51"/>
    </row>
    <row r="531" ht="15.75" customHeight="1">
      <c r="A531" s="56"/>
      <c r="B531" s="57"/>
      <c r="C531" s="58"/>
      <c r="D531" s="56"/>
      <c r="E531" s="56"/>
      <c r="F531" s="56"/>
      <c r="G531" s="56"/>
      <c r="H531" s="56"/>
      <c r="I531" s="56"/>
      <c r="J531" s="56"/>
      <c r="K531" s="56"/>
      <c r="L531" s="56"/>
      <c r="M531" s="56"/>
      <c r="N531" s="56"/>
      <c r="O531" s="59"/>
      <c r="P531" s="56"/>
      <c r="Q531" s="56"/>
      <c r="R531" s="56"/>
      <c r="S531" s="57"/>
      <c r="T531" s="56"/>
      <c r="U531" s="56"/>
      <c r="V531" s="56"/>
      <c r="W531" s="57"/>
      <c r="X531" s="51"/>
      <c r="Y531" s="51"/>
      <c r="Z531" s="51"/>
      <c r="AA531" s="51"/>
      <c r="AB531" s="51"/>
      <c r="AC531" s="51"/>
    </row>
    <row r="532" ht="15.75" customHeight="1">
      <c r="A532" s="56"/>
      <c r="B532" s="57"/>
      <c r="C532" s="58"/>
      <c r="D532" s="56"/>
      <c r="E532" s="56"/>
      <c r="F532" s="56"/>
      <c r="G532" s="56"/>
      <c r="H532" s="56"/>
      <c r="I532" s="56"/>
      <c r="J532" s="56"/>
      <c r="K532" s="56"/>
      <c r="L532" s="56"/>
      <c r="M532" s="56"/>
      <c r="N532" s="56"/>
      <c r="O532" s="59"/>
      <c r="P532" s="56"/>
      <c r="Q532" s="56"/>
      <c r="R532" s="56"/>
      <c r="S532" s="57"/>
      <c r="T532" s="56"/>
      <c r="U532" s="56"/>
      <c r="V532" s="56"/>
      <c r="W532" s="57"/>
      <c r="X532" s="51"/>
      <c r="Y532" s="51"/>
      <c r="Z532" s="51"/>
      <c r="AA532" s="51"/>
      <c r="AB532" s="51"/>
      <c r="AC532" s="51"/>
    </row>
    <row r="533" ht="15.75" customHeight="1">
      <c r="A533" s="56"/>
      <c r="B533" s="57"/>
      <c r="C533" s="58"/>
      <c r="D533" s="56"/>
      <c r="E533" s="56"/>
      <c r="F533" s="56"/>
      <c r="G533" s="56"/>
      <c r="H533" s="56"/>
      <c r="I533" s="56"/>
      <c r="J533" s="56"/>
      <c r="K533" s="56"/>
      <c r="L533" s="56"/>
      <c r="M533" s="56"/>
      <c r="N533" s="56"/>
      <c r="O533" s="59"/>
      <c r="P533" s="56"/>
      <c r="Q533" s="56"/>
      <c r="R533" s="56"/>
      <c r="S533" s="57"/>
      <c r="T533" s="56"/>
      <c r="U533" s="56"/>
      <c r="V533" s="56"/>
      <c r="W533" s="57"/>
      <c r="X533" s="51"/>
      <c r="Y533" s="51"/>
      <c r="Z533" s="51"/>
      <c r="AA533" s="51"/>
      <c r="AB533" s="51"/>
      <c r="AC533" s="51"/>
    </row>
    <row r="534" ht="15.75" customHeight="1">
      <c r="A534" s="56"/>
      <c r="B534" s="57"/>
      <c r="C534" s="58"/>
      <c r="D534" s="56"/>
      <c r="E534" s="56"/>
      <c r="F534" s="56"/>
      <c r="G534" s="56"/>
      <c r="H534" s="56"/>
      <c r="I534" s="56"/>
      <c r="J534" s="56"/>
      <c r="K534" s="56"/>
      <c r="L534" s="56"/>
      <c r="M534" s="56"/>
      <c r="N534" s="56"/>
      <c r="O534" s="59"/>
      <c r="P534" s="56"/>
      <c r="Q534" s="56"/>
      <c r="R534" s="56"/>
      <c r="S534" s="57"/>
      <c r="T534" s="56"/>
      <c r="U534" s="56"/>
      <c r="V534" s="56"/>
      <c r="W534" s="57"/>
      <c r="X534" s="51"/>
      <c r="Y534" s="51"/>
      <c r="Z534" s="51"/>
      <c r="AA534" s="51"/>
      <c r="AB534" s="51"/>
      <c r="AC534" s="51"/>
    </row>
    <row r="535" ht="15.75" customHeight="1">
      <c r="A535" s="56"/>
      <c r="B535" s="57"/>
      <c r="C535" s="58"/>
      <c r="D535" s="56"/>
      <c r="E535" s="56"/>
      <c r="F535" s="56"/>
      <c r="G535" s="56"/>
      <c r="H535" s="56"/>
      <c r="I535" s="56"/>
      <c r="J535" s="56"/>
      <c r="K535" s="56"/>
      <c r="L535" s="56"/>
      <c r="M535" s="56"/>
      <c r="N535" s="56"/>
      <c r="O535" s="59"/>
      <c r="P535" s="56"/>
      <c r="Q535" s="56"/>
      <c r="R535" s="56"/>
      <c r="S535" s="57"/>
      <c r="T535" s="56"/>
      <c r="U535" s="56"/>
      <c r="V535" s="56"/>
      <c r="W535" s="57"/>
      <c r="X535" s="51"/>
      <c r="Y535" s="51"/>
      <c r="Z535" s="51"/>
      <c r="AA535" s="51"/>
      <c r="AB535" s="51"/>
      <c r="AC535" s="51"/>
    </row>
    <row r="536" ht="15.75" customHeight="1">
      <c r="A536" s="56"/>
      <c r="B536" s="57"/>
      <c r="C536" s="58"/>
      <c r="D536" s="56"/>
      <c r="E536" s="56"/>
      <c r="F536" s="56"/>
      <c r="G536" s="56"/>
      <c r="H536" s="56"/>
      <c r="I536" s="56"/>
      <c r="J536" s="56"/>
      <c r="K536" s="56"/>
      <c r="L536" s="56"/>
      <c r="M536" s="56"/>
      <c r="N536" s="56"/>
      <c r="O536" s="59"/>
      <c r="P536" s="56"/>
      <c r="Q536" s="56"/>
      <c r="R536" s="56"/>
      <c r="S536" s="57"/>
      <c r="T536" s="56"/>
      <c r="U536" s="56"/>
      <c r="V536" s="56"/>
      <c r="W536" s="57"/>
      <c r="X536" s="51"/>
      <c r="Y536" s="51"/>
      <c r="Z536" s="51"/>
      <c r="AA536" s="51"/>
      <c r="AB536" s="51"/>
      <c r="AC536" s="51"/>
    </row>
    <row r="537" ht="15.75" customHeight="1">
      <c r="A537" s="56"/>
      <c r="B537" s="57"/>
      <c r="C537" s="58"/>
      <c r="D537" s="56"/>
      <c r="E537" s="56"/>
      <c r="F537" s="56"/>
      <c r="G537" s="56"/>
      <c r="H537" s="56"/>
      <c r="I537" s="56"/>
      <c r="J537" s="56"/>
      <c r="K537" s="56"/>
      <c r="L537" s="56"/>
      <c r="M537" s="56"/>
      <c r="N537" s="56"/>
      <c r="O537" s="59"/>
      <c r="P537" s="56"/>
      <c r="Q537" s="56"/>
      <c r="R537" s="56"/>
      <c r="S537" s="57"/>
      <c r="T537" s="56"/>
      <c r="U537" s="56"/>
      <c r="V537" s="56"/>
      <c r="W537" s="57"/>
      <c r="X537" s="51"/>
      <c r="Y537" s="51"/>
      <c r="Z537" s="51"/>
      <c r="AA537" s="51"/>
      <c r="AB537" s="51"/>
      <c r="AC537" s="51"/>
    </row>
    <row r="538" ht="15.75" customHeight="1">
      <c r="A538" s="56"/>
      <c r="B538" s="57"/>
      <c r="C538" s="58"/>
      <c r="D538" s="56"/>
      <c r="E538" s="56"/>
      <c r="F538" s="56"/>
      <c r="G538" s="56"/>
      <c r="H538" s="56"/>
      <c r="I538" s="56"/>
      <c r="J538" s="56"/>
      <c r="K538" s="56"/>
      <c r="L538" s="56"/>
      <c r="M538" s="56"/>
      <c r="N538" s="56"/>
      <c r="O538" s="59"/>
      <c r="P538" s="56"/>
      <c r="Q538" s="56"/>
      <c r="R538" s="56"/>
      <c r="S538" s="57"/>
      <c r="T538" s="56"/>
      <c r="U538" s="56"/>
      <c r="V538" s="56"/>
      <c r="W538" s="57"/>
      <c r="X538" s="51"/>
      <c r="Y538" s="51"/>
      <c r="Z538" s="51"/>
      <c r="AA538" s="51"/>
      <c r="AB538" s="51"/>
      <c r="AC538" s="51"/>
    </row>
    <row r="539" ht="15.75" customHeight="1">
      <c r="A539" s="56"/>
      <c r="B539" s="57"/>
      <c r="C539" s="58"/>
      <c r="D539" s="56"/>
      <c r="E539" s="56"/>
      <c r="F539" s="56"/>
      <c r="G539" s="56"/>
      <c r="H539" s="56"/>
      <c r="I539" s="56"/>
      <c r="J539" s="56"/>
      <c r="K539" s="56"/>
      <c r="L539" s="56"/>
      <c r="M539" s="56"/>
      <c r="N539" s="56"/>
      <c r="O539" s="59"/>
      <c r="P539" s="56"/>
      <c r="Q539" s="56"/>
      <c r="R539" s="56"/>
      <c r="S539" s="57"/>
      <c r="T539" s="56"/>
      <c r="U539" s="56"/>
      <c r="V539" s="56"/>
      <c r="W539" s="57"/>
      <c r="X539" s="51"/>
      <c r="Y539" s="51"/>
      <c r="Z539" s="51"/>
      <c r="AA539" s="51"/>
      <c r="AB539" s="51"/>
      <c r="AC539" s="51"/>
    </row>
    <row r="540" ht="15.75" customHeight="1">
      <c r="A540" s="56"/>
      <c r="B540" s="57"/>
      <c r="C540" s="58"/>
      <c r="D540" s="56"/>
      <c r="E540" s="56"/>
      <c r="F540" s="56"/>
      <c r="G540" s="56"/>
      <c r="H540" s="56"/>
      <c r="I540" s="56"/>
      <c r="J540" s="56"/>
      <c r="K540" s="56"/>
      <c r="L540" s="56"/>
      <c r="M540" s="56"/>
      <c r="N540" s="56"/>
      <c r="O540" s="59"/>
      <c r="P540" s="56"/>
      <c r="Q540" s="56"/>
      <c r="R540" s="56"/>
      <c r="S540" s="57"/>
      <c r="T540" s="56"/>
      <c r="U540" s="56"/>
      <c r="V540" s="56"/>
      <c r="W540" s="57"/>
      <c r="X540" s="51"/>
      <c r="Y540" s="51"/>
      <c r="Z540" s="51"/>
      <c r="AA540" s="51"/>
      <c r="AB540" s="51"/>
      <c r="AC540" s="51"/>
    </row>
    <row r="541" ht="15.75" customHeight="1">
      <c r="A541" s="56"/>
      <c r="B541" s="57"/>
      <c r="C541" s="58"/>
      <c r="D541" s="56"/>
      <c r="E541" s="56"/>
      <c r="F541" s="56"/>
      <c r="G541" s="56"/>
      <c r="H541" s="56"/>
      <c r="I541" s="56"/>
      <c r="J541" s="56"/>
      <c r="K541" s="56"/>
      <c r="L541" s="56"/>
      <c r="M541" s="56"/>
      <c r="N541" s="56"/>
      <c r="O541" s="59"/>
      <c r="P541" s="56"/>
      <c r="Q541" s="56"/>
      <c r="R541" s="56"/>
      <c r="S541" s="57"/>
      <c r="T541" s="56"/>
      <c r="U541" s="56"/>
      <c r="V541" s="56"/>
      <c r="W541" s="57"/>
      <c r="X541" s="51"/>
      <c r="Y541" s="51"/>
      <c r="Z541" s="51"/>
      <c r="AA541" s="51"/>
      <c r="AB541" s="51"/>
      <c r="AC541" s="51"/>
    </row>
    <row r="542" ht="15.75" customHeight="1">
      <c r="A542" s="56"/>
      <c r="B542" s="57"/>
      <c r="C542" s="58"/>
      <c r="D542" s="56"/>
      <c r="E542" s="56"/>
      <c r="F542" s="56"/>
      <c r="G542" s="56"/>
      <c r="H542" s="56"/>
      <c r="I542" s="56"/>
      <c r="J542" s="56"/>
      <c r="K542" s="56"/>
      <c r="L542" s="56"/>
      <c r="M542" s="56"/>
      <c r="N542" s="56"/>
      <c r="O542" s="59"/>
      <c r="P542" s="56"/>
      <c r="Q542" s="56"/>
      <c r="R542" s="56"/>
      <c r="S542" s="57"/>
      <c r="T542" s="56"/>
      <c r="U542" s="56"/>
      <c r="V542" s="56"/>
      <c r="W542" s="57"/>
      <c r="X542" s="51"/>
      <c r="Y542" s="51"/>
      <c r="Z542" s="51"/>
      <c r="AA542" s="51"/>
      <c r="AB542" s="51"/>
      <c r="AC542" s="51"/>
    </row>
    <row r="543" ht="15.75" customHeight="1">
      <c r="A543" s="56"/>
      <c r="B543" s="57"/>
      <c r="C543" s="58"/>
      <c r="D543" s="56"/>
      <c r="E543" s="56"/>
      <c r="F543" s="56"/>
      <c r="G543" s="56"/>
      <c r="H543" s="56"/>
      <c r="I543" s="56"/>
      <c r="J543" s="56"/>
      <c r="K543" s="56"/>
      <c r="L543" s="56"/>
      <c r="M543" s="56"/>
      <c r="N543" s="56"/>
      <c r="O543" s="59"/>
      <c r="P543" s="56"/>
      <c r="Q543" s="56"/>
      <c r="R543" s="56"/>
      <c r="S543" s="57"/>
      <c r="T543" s="56"/>
      <c r="U543" s="56"/>
      <c r="V543" s="56"/>
      <c r="W543" s="57"/>
      <c r="X543" s="51"/>
      <c r="Y543" s="51"/>
      <c r="Z543" s="51"/>
      <c r="AA543" s="51"/>
      <c r="AB543" s="51"/>
      <c r="AC543" s="51"/>
    </row>
    <row r="544" ht="15.75" customHeight="1">
      <c r="A544" s="56"/>
      <c r="B544" s="57"/>
      <c r="C544" s="58"/>
      <c r="D544" s="56"/>
      <c r="E544" s="56"/>
      <c r="F544" s="56"/>
      <c r="G544" s="56"/>
      <c r="H544" s="56"/>
      <c r="I544" s="56"/>
      <c r="J544" s="56"/>
      <c r="K544" s="56"/>
      <c r="L544" s="56"/>
      <c r="M544" s="56"/>
      <c r="N544" s="56"/>
      <c r="O544" s="59"/>
      <c r="P544" s="56"/>
      <c r="Q544" s="56"/>
      <c r="R544" s="56"/>
      <c r="S544" s="57"/>
      <c r="T544" s="56"/>
      <c r="U544" s="56"/>
      <c r="V544" s="56"/>
      <c r="W544" s="57"/>
      <c r="X544" s="51"/>
      <c r="Y544" s="51"/>
      <c r="Z544" s="51"/>
      <c r="AA544" s="51"/>
      <c r="AB544" s="51"/>
      <c r="AC544" s="51"/>
    </row>
    <row r="545" ht="15.75" customHeight="1">
      <c r="A545" s="56"/>
      <c r="B545" s="57"/>
      <c r="C545" s="58"/>
      <c r="D545" s="56"/>
      <c r="E545" s="56"/>
      <c r="F545" s="56"/>
      <c r="G545" s="56"/>
      <c r="H545" s="56"/>
      <c r="I545" s="56"/>
      <c r="J545" s="56"/>
      <c r="K545" s="56"/>
      <c r="L545" s="56"/>
      <c r="M545" s="56"/>
      <c r="N545" s="56"/>
      <c r="O545" s="59"/>
      <c r="P545" s="56"/>
      <c r="Q545" s="56"/>
      <c r="R545" s="56"/>
      <c r="S545" s="57"/>
      <c r="T545" s="56"/>
      <c r="U545" s="56"/>
      <c r="V545" s="56"/>
      <c r="W545" s="57"/>
      <c r="X545" s="51"/>
      <c r="Y545" s="51"/>
      <c r="Z545" s="51"/>
      <c r="AA545" s="51"/>
      <c r="AB545" s="51"/>
      <c r="AC545" s="51"/>
    </row>
    <row r="546" ht="15.75" customHeight="1">
      <c r="A546" s="56"/>
      <c r="B546" s="57"/>
      <c r="C546" s="58"/>
      <c r="D546" s="56"/>
      <c r="E546" s="56"/>
      <c r="F546" s="56"/>
      <c r="G546" s="56"/>
      <c r="H546" s="56"/>
      <c r="I546" s="56"/>
      <c r="J546" s="56"/>
      <c r="K546" s="56"/>
      <c r="L546" s="56"/>
      <c r="M546" s="56"/>
      <c r="N546" s="56"/>
      <c r="O546" s="59"/>
      <c r="P546" s="56"/>
      <c r="Q546" s="56"/>
      <c r="R546" s="56"/>
      <c r="S546" s="57"/>
      <c r="T546" s="56"/>
      <c r="U546" s="56"/>
      <c r="V546" s="56"/>
      <c r="W546" s="57"/>
      <c r="X546" s="51"/>
      <c r="Y546" s="51"/>
      <c r="Z546" s="51"/>
      <c r="AA546" s="51"/>
      <c r="AB546" s="51"/>
      <c r="AC546" s="51"/>
    </row>
    <row r="547" ht="15.75" customHeight="1">
      <c r="A547" s="56"/>
      <c r="B547" s="57"/>
      <c r="C547" s="58"/>
      <c r="D547" s="56"/>
      <c r="E547" s="56"/>
      <c r="F547" s="56"/>
      <c r="G547" s="56"/>
      <c r="H547" s="56"/>
      <c r="I547" s="56"/>
      <c r="J547" s="56"/>
      <c r="K547" s="56"/>
      <c r="L547" s="56"/>
      <c r="M547" s="56"/>
      <c r="N547" s="56"/>
      <c r="O547" s="59"/>
      <c r="P547" s="56"/>
      <c r="Q547" s="56"/>
      <c r="R547" s="56"/>
      <c r="S547" s="57"/>
      <c r="T547" s="56"/>
      <c r="U547" s="56"/>
      <c r="V547" s="56"/>
      <c r="W547" s="57"/>
      <c r="X547" s="51"/>
      <c r="Y547" s="51"/>
      <c r="Z547" s="51"/>
      <c r="AA547" s="51"/>
      <c r="AB547" s="51"/>
      <c r="AC547" s="51"/>
    </row>
    <row r="548" ht="15.75" customHeight="1">
      <c r="A548" s="56"/>
      <c r="B548" s="57"/>
      <c r="C548" s="58"/>
      <c r="D548" s="56"/>
      <c r="E548" s="56"/>
      <c r="F548" s="56"/>
      <c r="G548" s="56"/>
      <c r="H548" s="56"/>
      <c r="I548" s="56"/>
      <c r="J548" s="56"/>
      <c r="K548" s="56"/>
      <c r="L548" s="56"/>
      <c r="M548" s="56"/>
      <c r="N548" s="56"/>
      <c r="O548" s="59"/>
      <c r="P548" s="56"/>
      <c r="Q548" s="56"/>
      <c r="R548" s="56"/>
      <c r="S548" s="57"/>
      <c r="T548" s="56"/>
      <c r="U548" s="56"/>
      <c r="V548" s="56"/>
      <c r="W548" s="57"/>
      <c r="X548" s="51"/>
      <c r="Y548" s="51"/>
      <c r="Z548" s="51"/>
      <c r="AA548" s="51"/>
      <c r="AB548" s="51"/>
      <c r="AC548" s="51"/>
    </row>
    <row r="549" ht="15.75" customHeight="1">
      <c r="A549" s="56"/>
      <c r="B549" s="57"/>
      <c r="C549" s="58"/>
      <c r="D549" s="56"/>
      <c r="E549" s="56"/>
      <c r="F549" s="56"/>
      <c r="G549" s="56"/>
      <c r="H549" s="56"/>
      <c r="I549" s="56"/>
      <c r="J549" s="56"/>
      <c r="K549" s="56"/>
      <c r="L549" s="56"/>
      <c r="M549" s="56"/>
      <c r="N549" s="56"/>
      <c r="O549" s="59"/>
      <c r="P549" s="56"/>
      <c r="Q549" s="56"/>
      <c r="R549" s="56"/>
      <c r="S549" s="57"/>
      <c r="T549" s="56"/>
      <c r="U549" s="56"/>
      <c r="V549" s="56"/>
      <c r="W549" s="57"/>
      <c r="X549" s="51"/>
      <c r="Y549" s="51"/>
      <c r="Z549" s="51"/>
      <c r="AA549" s="51"/>
      <c r="AB549" s="51"/>
      <c r="AC549" s="51"/>
    </row>
    <row r="550" ht="15.75" customHeight="1">
      <c r="A550" s="56"/>
      <c r="B550" s="57"/>
      <c r="C550" s="58"/>
      <c r="D550" s="56"/>
      <c r="E550" s="56"/>
      <c r="F550" s="56"/>
      <c r="G550" s="56"/>
      <c r="H550" s="56"/>
      <c r="I550" s="56"/>
      <c r="J550" s="56"/>
      <c r="K550" s="56"/>
      <c r="L550" s="56"/>
      <c r="M550" s="56"/>
      <c r="N550" s="56"/>
      <c r="O550" s="59"/>
      <c r="P550" s="56"/>
      <c r="Q550" s="56"/>
      <c r="R550" s="56"/>
      <c r="S550" s="57"/>
      <c r="T550" s="56"/>
      <c r="U550" s="56"/>
      <c r="V550" s="56"/>
      <c r="W550" s="57"/>
      <c r="X550" s="51"/>
      <c r="Y550" s="51"/>
      <c r="Z550" s="51"/>
      <c r="AA550" s="51"/>
      <c r="AB550" s="51"/>
      <c r="AC550" s="51"/>
    </row>
    <row r="551" ht="15.75" customHeight="1">
      <c r="A551" s="56"/>
      <c r="B551" s="57"/>
      <c r="C551" s="58"/>
      <c r="D551" s="56"/>
      <c r="E551" s="56"/>
      <c r="F551" s="56"/>
      <c r="G551" s="56"/>
      <c r="H551" s="56"/>
      <c r="I551" s="56"/>
      <c r="J551" s="56"/>
      <c r="K551" s="56"/>
      <c r="L551" s="56"/>
      <c r="M551" s="56"/>
      <c r="N551" s="56"/>
      <c r="O551" s="59"/>
      <c r="P551" s="56"/>
      <c r="Q551" s="56"/>
      <c r="R551" s="56"/>
      <c r="S551" s="57"/>
      <c r="T551" s="56"/>
      <c r="U551" s="56"/>
      <c r="V551" s="56"/>
      <c r="W551" s="57"/>
      <c r="X551" s="51"/>
      <c r="Y551" s="51"/>
      <c r="Z551" s="51"/>
      <c r="AA551" s="51"/>
      <c r="AB551" s="51"/>
      <c r="AC551" s="51"/>
    </row>
    <row r="552" ht="15.75" customHeight="1">
      <c r="A552" s="56"/>
      <c r="B552" s="57"/>
      <c r="C552" s="58"/>
      <c r="D552" s="56"/>
      <c r="E552" s="56"/>
      <c r="F552" s="56"/>
      <c r="G552" s="56"/>
      <c r="H552" s="56"/>
      <c r="I552" s="56"/>
      <c r="J552" s="56"/>
      <c r="K552" s="56"/>
      <c r="L552" s="56"/>
      <c r="M552" s="56"/>
      <c r="N552" s="56"/>
      <c r="O552" s="59"/>
      <c r="P552" s="56"/>
      <c r="Q552" s="56"/>
      <c r="R552" s="56"/>
      <c r="S552" s="57"/>
      <c r="T552" s="56"/>
      <c r="U552" s="56"/>
      <c r="V552" s="56"/>
      <c r="W552" s="57"/>
      <c r="X552" s="51"/>
      <c r="Y552" s="51"/>
      <c r="Z552" s="51"/>
      <c r="AA552" s="51"/>
      <c r="AB552" s="51"/>
      <c r="AC552" s="51"/>
    </row>
    <row r="553" ht="15.75" customHeight="1">
      <c r="A553" s="56"/>
      <c r="B553" s="57"/>
      <c r="C553" s="58"/>
      <c r="D553" s="56"/>
      <c r="E553" s="56"/>
      <c r="F553" s="56"/>
      <c r="G553" s="56"/>
      <c r="H553" s="56"/>
      <c r="I553" s="56"/>
      <c r="J553" s="56"/>
      <c r="K553" s="56"/>
      <c r="L553" s="56"/>
      <c r="M553" s="56"/>
      <c r="N553" s="56"/>
      <c r="O553" s="59"/>
      <c r="P553" s="56"/>
      <c r="Q553" s="56"/>
      <c r="R553" s="56"/>
      <c r="S553" s="57"/>
      <c r="T553" s="56"/>
      <c r="U553" s="56"/>
      <c r="V553" s="56"/>
      <c r="W553" s="57"/>
      <c r="X553" s="51"/>
      <c r="Y553" s="51"/>
      <c r="Z553" s="51"/>
      <c r="AA553" s="51"/>
      <c r="AB553" s="51"/>
      <c r="AC553" s="51"/>
    </row>
    <row r="554" ht="15.75" customHeight="1">
      <c r="A554" s="56"/>
      <c r="B554" s="57"/>
      <c r="C554" s="58"/>
      <c r="D554" s="56"/>
      <c r="E554" s="56"/>
      <c r="F554" s="56"/>
      <c r="G554" s="56"/>
      <c r="H554" s="56"/>
      <c r="I554" s="56"/>
      <c r="J554" s="56"/>
      <c r="K554" s="56"/>
      <c r="L554" s="56"/>
      <c r="M554" s="56"/>
      <c r="N554" s="56"/>
      <c r="O554" s="59"/>
      <c r="P554" s="56"/>
      <c r="Q554" s="56"/>
      <c r="R554" s="56"/>
      <c r="S554" s="57"/>
      <c r="T554" s="56"/>
      <c r="U554" s="56"/>
      <c r="V554" s="56"/>
      <c r="W554" s="57"/>
      <c r="X554" s="51"/>
      <c r="Y554" s="51"/>
      <c r="Z554" s="51"/>
      <c r="AA554" s="51"/>
      <c r="AB554" s="51"/>
      <c r="AC554" s="51"/>
    </row>
    <row r="555" ht="15.75" customHeight="1">
      <c r="A555" s="56"/>
      <c r="B555" s="57"/>
      <c r="C555" s="58"/>
      <c r="D555" s="56"/>
      <c r="E555" s="56"/>
      <c r="F555" s="56"/>
      <c r="G555" s="56"/>
      <c r="H555" s="56"/>
      <c r="I555" s="56"/>
      <c r="J555" s="56"/>
      <c r="K555" s="56"/>
      <c r="L555" s="56"/>
      <c r="M555" s="56"/>
      <c r="N555" s="56"/>
      <c r="O555" s="59"/>
      <c r="P555" s="56"/>
      <c r="Q555" s="56"/>
      <c r="R555" s="56"/>
      <c r="S555" s="57"/>
      <c r="T555" s="56"/>
      <c r="U555" s="56"/>
      <c r="V555" s="56"/>
      <c r="W555" s="57"/>
      <c r="X555" s="51"/>
      <c r="Y555" s="51"/>
      <c r="Z555" s="51"/>
      <c r="AA555" s="51"/>
      <c r="AB555" s="51"/>
      <c r="AC555" s="51"/>
    </row>
    <row r="556" ht="15.75" customHeight="1">
      <c r="A556" s="56"/>
      <c r="B556" s="57"/>
      <c r="C556" s="58"/>
      <c r="D556" s="56"/>
      <c r="E556" s="56"/>
      <c r="F556" s="56"/>
      <c r="G556" s="56"/>
      <c r="H556" s="56"/>
      <c r="I556" s="56"/>
      <c r="J556" s="56"/>
      <c r="K556" s="56"/>
      <c r="L556" s="56"/>
      <c r="M556" s="56"/>
      <c r="N556" s="56"/>
      <c r="O556" s="59"/>
      <c r="P556" s="56"/>
      <c r="Q556" s="56"/>
      <c r="R556" s="56"/>
      <c r="S556" s="57"/>
      <c r="T556" s="56"/>
      <c r="U556" s="56"/>
      <c r="V556" s="56"/>
      <c r="W556" s="57"/>
      <c r="X556" s="51"/>
      <c r="Y556" s="51"/>
      <c r="Z556" s="51"/>
      <c r="AA556" s="51"/>
      <c r="AB556" s="51"/>
      <c r="AC556" s="51"/>
    </row>
    <row r="557" ht="15.75" customHeight="1">
      <c r="A557" s="56"/>
      <c r="B557" s="57"/>
      <c r="C557" s="58"/>
      <c r="D557" s="56"/>
      <c r="E557" s="56"/>
      <c r="F557" s="56"/>
      <c r="G557" s="56"/>
      <c r="H557" s="56"/>
      <c r="I557" s="56"/>
      <c r="J557" s="56"/>
      <c r="K557" s="56"/>
      <c r="L557" s="56"/>
      <c r="M557" s="56"/>
      <c r="N557" s="56"/>
      <c r="O557" s="59"/>
      <c r="P557" s="56"/>
      <c r="Q557" s="56"/>
      <c r="R557" s="56"/>
      <c r="S557" s="57"/>
      <c r="T557" s="56"/>
      <c r="U557" s="56"/>
      <c r="V557" s="56"/>
      <c r="W557" s="57"/>
      <c r="X557" s="51"/>
      <c r="Y557" s="51"/>
      <c r="Z557" s="51"/>
      <c r="AA557" s="51"/>
      <c r="AB557" s="51"/>
      <c r="AC557" s="51"/>
    </row>
    <row r="558" ht="15.75" customHeight="1">
      <c r="A558" s="56"/>
      <c r="B558" s="57"/>
      <c r="C558" s="58"/>
      <c r="D558" s="56"/>
      <c r="E558" s="56"/>
      <c r="F558" s="56"/>
      <c r="G558" s="56"/>
      <c r="H558" s="56"/>
      <c r="I558" s="56"/>
      <c r="J558" s="56"/>
      <c r="K558" s="56"/>
      <c r="L558" s="56"/>
      <c r="M558" s="56"/>
      <c r="N558" s="56"/>
      <c r="O558" s="59"/>
      <c r="P558" s="56"/>
      <c r="Q558" s="56"/>
      <c r="R558" s="56"/>
      <c r="S558" s="57"/>
      <c r="T558" s="56"/>
      <c r="U558" s="56"/>
      <c r="V558" s="56"/>
      <c r="W558" s="57"/>
      <c r="X558" s="51"/>
      <c r="Y558" s="51"/>
      <c r="Z558" s="51"/>
      <c r="AA558" s="51"/>
      <c r="AB558" s="51"/>
      <c r="AC558" s="51"/>
    </row>
    <row r="559" ht="15.75" customHeight="1">
      <c r="A559" s="56"/>
      <c r="B559" s="57"/>
      <c r="C559" s="58"/>
      <c r="D559" s="56"/>
      <c r="E559" s="56"/>
      <c r="F559" s="56"/>
      <c r="G559" s="56"/>
      <c r="H559" s="56"/>
      <c r="I559" s="56"/>
      <c r="J559" s="56"/>
      <c r="K559" s="56"/>
      <c r="L559" s="56"/>
      <c r="M559" s="56"/>
      <c r="N559" s="56"/>
      <c r="O559" s="59"/>
      <c r="P559" s="56"/>
      <c r="Q559" s="56"/>
      <c r="R559" s="56"/>
      <c r="S559" s="57"/>
      <c r="T559" s="56"/>
      <c r="U559" s="56"/>
      <c r="V559" s="56"/>
      <c r="W559" s="57"/>
      <c r="X559" s="51"/>
      <c r="Y559" s="51"/>
      <c r="Z559" s="51"/>
      <c r="AA559" s="51"/>
      <c r="AB559" s="51"/>
      <c r="AC559" s="51"/>
    </row>
    <row r="560" ht="15.75" customHeight="1">
      <c r="A560" s="56"/>
      <c r="B560" s="57"/>
      <c r="C560" s="58"/>
      <c r="D560" s="56"/>
      <c r="E560" s="56"/>
      <c r="F560" s="56"/>
      <c r="G560" s="56"/>
      <c r="H560" s="56"/>
      <c r="I560" s="56"/>
      <c r="J560" s="56"/>
      <c r="K560" s="56"/>
      <c r="L560" s="56"/>
      <c r="M560" s="56"/>
      <c r="N560" s="56"/>
      <c r="O560" s="59"/>
      <c r="P560" s="56"/>
      <c r="Q560" s="56"/>
      <c r="R560" s="56"/>
      <c r="S560" s="57"/>
      <c r="T560" s="56"/>
      <c r="U560" s="56"/>
      <c r="V560" s="56"/>
      <c r="W560" s="57"/>
      <c r="X560" s="51"/>
      <c r="Y560" s="51"/>
      <c r="Z560" s="51"/>
      <c r="AA560" s="51"/>
      <c r="AB560" s="51"/>
      <c r="AC560" s="51"/>
    </row>
    <row r="561" ht="15.75" customHeight="1">
      <c r="A561" s="56"/>
      <c r="B561" s="57"/>
      <c r="C561" s="58"/>
      <c r="D561" s="56"/>
      <c r="E561" s="56"/>
      <c r="F561" s="56"/>
      <c r="G561" s="56"/>
      <c r="H561" s="56"/>
      <c r="I561" s="56"/>
      <c r="J561" s="56"/>
      <c r="K561" s="56"/>
      <c r="L561" s="56"/>
      <c r="M561" s="56"/>
      <c r="N561" s="56"/>
      <c r="O561" s="59"/>
      <c r="P561" s="56"/>
      <c r="Q561" s="56"/>
      <c r="R561" s="56"/>
      <c r="S561" s="57"/>
      <c r="T561" s="56"/>
      <c r="U561" s="56"/>
      <c r="V561" s="56"/>
      <c r="W561" s="57"/>
      <c r="X561" s="51"/>
      <c r="Y561" s="51"/>
      <c r="Z561" s="51"/>
      <c r="AA561" s="51"/>
      <c r="AB561" s="51"/>
      <c r="AC561" s="51"/>
    </row>
    <row r="562" ht="15.75" customHeight="1">
      <c r="A562" s="56"/>
      <c r="B562" s="57"/>
      <c r="C562" s="58"/>
      <c r="D562" s="56"/>
      <c r="E562" s="56"/>
      <c r="F562" s="56"/>
      <c r="G562" s="56"/>
      <c r="H562" s="56"/>
      <c r="I562" s="56"/>
      <c r="J562" s="56"/>
      <c r="K562" s="56"/>
      <c r="L562" s="56"/>
      <c r="M562" s="56"/>
      <c r="N562" s="56"/>
      <c r="O562" s="59"/>
      <c r="P562" s="56"/>
      <c r="Q562" s="56"/>
      <c r="R562" s="56"/>
      <c r="S562" s="57"/>
      <c r="T562" s="56"/>
      <c r="U562" s="56"/>
      <c r="V562" s="56"/>
      <c r="W562" s="57"/>
      <c r="X562" s="51"/>
      <c r="Y562" s="51"/>
      <c r="Z562" s="51"/>
      <c r="AA562" s="51"/>
      <c r="AB562" s="51"/>
      <c r="AC562" s="51"/>
    </row>
    <row r="563" ht="15.75" customHeight="1">
      <c r="A563" s="56"/>
      <c r="B563" s="57"/>
      <c r="C563" s="58"/>
      <c r="D563" s="56"/>
      <c r="E563" s="56"/>
      <c r="F563" s="56"/>
      <c r="G563" s="56"/>
      <c r="H563" s="56"/>
      <c r="I563" s="56"/>
      <c r="J563" s="56"/>
      <c r="K563" s="56"/>
      <c r="L563" s="56"/>
      <c r="M563" s="56"/>
      <c r="N563" s="56"/>
      <c r="O563" s="59"/>
      <c r="P563" s="56"/>
      <c r="Q563" s="56"/>
      <c r="R563" s="56"/>
      <c r="S563" s="57"/>
      <c r="T563" s="56"/>
      <c r="U563" s="56"/>
      <c r="V563" s="56"/>
      <c r="W563" s="57"/>
      <c r="X563" s="51"/>
      <c r="Y563" s="51"/>
      <c r="Z563" s="51"/>
      <c r="AA563" s="51"/>
      <c r="AB563" s="51"/>
      <c r="AC563" s="51"/>
    </row>
    <row r="564" ht="15.75" customHeight="1">
      <c r="A564" s="56"/>
      <c r="B564" s="57"/>
      <c r="C564" s="58"/>
      <c r="D564" s="56"/>
      <c r="E564" s="56"/>
      <c r="F564" s="56"/>
      <c r="G564" s="56"/>
      <c r="H564" s="56"/>
      <c r="I564" s="56"/>
      <c r="J564" s="56"/>
      <c r="K564" s="56"/>
      <c r="L564" s="56"/>
      <c r="M564" s="56"/>
      <c r="N564" s="56"/>
      <c r="O564" s="59"/>
      <c r="P564" s="56"/>
      <c r="Q564" s="56"/>
      <c r="R564" s="56"/>
      <c r="S564" s="57"/>
      <c r="T564" s="56"/>
      <c r="U564" s="56"/>
      <c r="V564" s="56"/>
      <c r="W564" s="57"/>
      <c r="X564" s="51"/>
      <c r="Y564" s="51"/>
      <c r="Z564" s="51"/>
      <c r="AA564" s="51"/>
      <c r="AB564" s="51"/>
      <c r="AC564" s="51"/>
    </row>
    <row r="565" ht="15.75" customHeight="1">
      <c r="A565" s="56"/>
      <c r="B565" s="57"/>
      <c r="C565" s="58"/>
      <c r="D565" s="56"/>
      <c r="E565" s="56"/>
      <c r="F565" s="56"/>
      <c r="G565" s="56"/>
      <c r="H565" s="56"/>
      <c r="I565" s="56"/>
      <c r="J565" s="56"/>
      <c r="K565" s="56"/>
      <c r="L565" s="56"/>
      <c r="M565" s="56"/>
      <c r="N565" s="56"/>
      <c r="O565" s="59"/>
      <c r="P565" s="56"/>
      <c r="Q565" s="56"/>
      <c r="R565" s="56"/>
      <c r="S565" s="57"/>
      <c r="T565" s="56"/>
      <c r="U565" s="56"/>
      <c r="V565" s="56"/>
      <c r="W565" s="57"/>
      <c r="X565" s="51"/>
      <c r="Y565" s="51"/>
      <c r="Z565" s="51"/>
      <c r="AA565" s="51"/>
      <c r="AB565" s="51"/>
      <c r="AC565" s="51"/>
    </row>
    <row r="566" ht="15.75" customHeight="1">
      <c r="A566" s="56"/>
      <c r="B566" s="57"/>
      <c r="C566" s="58"/>
      <c r="D566" s="56"/>
      <c r="E566" s="56"/>
      <c r="F566" s="56"/>
      <c r="G566" s="56"/>
      <c r="H566" s="56"/>
      <c r="I566" s="56"/>
      <c r="J566" s="56"/>
      <c r="K566" s="56"/>
      <c r="L566" s="56"/>
      <c r="M566" s="56"/>
      <c r="N566" s="56"/>
      <c r="O566" s="59"/>
      <c r="P566" s="56"/>
      <c r="Q566" s="56"/>
      <c r="R566" s="56"/>
      <c r="S566" s="57"/>
      <c r="T566" s="56"/>
      <c r="U566" s="56"/>
      <c r="V566" s="56"/>
      <c r="W566" s="57"/>
      <c r="X566" s="51"/>
      <c r="Y566" s="51"/>
      <c r="Z566" s="51"/>
      <c r="AA566" s="51"/>
      <c r="AB566" s="51"/>
      <c r="AC566" s="51"/>
    </row>
    <row r="567" ht="15.75" customHeight="1">
      <c r="A567" s="56"/>
      <c r="B567" s="57"/>
      <c r="C567" s="58"/>
      <c r="D567" s="56"/>
      <c r="E567" s="56"/>
      <c r="F567" s="56"/>
      <c r="G567" s="56"/>
      <c r="H567" s="56"/>
      <c r="I567" s="56"/>
      <c r="J567" s="56"/>
      <c r="K567" s="56"/>
      <c r="L567" s="56"/>
      <c r="M567" s="56"/>
      <c r="N567" s="56"/>
      <c r="O567" s="59"/>
      <c r="P567" s="56"/>
      <c r="Q567" s="56"/>
      <c r="R567" s="56"/>
      <c r="S567" s="57"/>
      <c r="T567" s="56"/>
      <c r="U567" s="56"/>
      <c r="V567" s="56"/>
      <c r="W567" s="57"/>
      <c r="X567" s="51"/>
      <c r="Y567" s="51"/>
      <c r="Z567" s="51"/>
      <c r="AA567" s="51"/>
      <c r="AB567" s="51"/>
      <c r="AC567" s="51"/>
    </row>
    <row r="568" ht="15.75" customHeight="1">
      <c r="A568" s="56"/>
      <c r="B568" s="57"/>
      <c r="C568" s="58"/>
      <c r="D568" s="56"/>
      <c r="E568" s="56"/>
      <c r="F568" s="56"/>
      <c r="G568" s="56"/>
      <c r="H568" s="56"/>
      <c r="I568" s="56"/>
      <c r="J568" s="56"/>
      <c r="K568" s="56"/>
      <c r="L568" s="56"/>
      <c r="M568" s="56"/>
      <c r="N568" s="56"/>
      <c r="O568" s="59"/>
      <c r="P568" s="56"/>
      <c r="Q568" s="56"/>
      <c r="R568" s="56"/>
      <c r="S568" s="57"/>
      <c r="T568" s="56"/>
      <c r="U568" s="56"/>
      <c r="V568" s="56"/>
      <c r="W568" s="57"/>
      <c r="X568" s="51"/>
      <c r="Y568" s="51"/>
      <c r="Z568" s="51"/>
      <c r="AA568" s="51"/>
      <c r="AB568" s="51"/>
      <c r="AC568" s="51"/>
    </row>
    <row r="569" ht="15.75" customHeight="1">
      <c r="A569" s="56"/>
      <c r="B569" s="57"/>
      <c r="C569" s="58"/>
      <c r="D569" s="56"/>
      <c r="E569" s="56"/>
      <c r="F569" s="56"/>
      <c r="G569" s="56"/>
      <c r="H569" s="56"/>
      <c r="I569" s="56"/>
      <c r="J569" s="56"/>
      <c r="K569" s="56"/>
      <c r="L569" s="56"/>
      <c r="M569" s="56"/>
      <c r="N569" s="56"/>
      <c r="O569" s="59"/>
      <c r="P569" s="56"/>
      <c r="Q569" s="56"/>
      <c r="R569" s="56"/>
      <c r="S569" s="57"/>
      <c r="T569" s="56"/>
      <c r="U569" s="56"/>
      <c r="V569" s="56"/>
      <c r="W569" s="57"/>
      <c r="X569" s="51"/>
      <c r="Y569" s="51"/>
      <c r="Z569" s="51"/>
      <c r="AA569" s="51"/>
      <c r="AB569" s="51"/>
      <c r="AC569" s="51"/>
    </row>
    <row r="570" ht="15.75" customHeight="1">
      <c r="A570" s="56"/>
      <c r="B570" s="57"/>
      <c r="C570" s="58"/>
      <c r="D570" s="56"/>
      <c r="E570" s="56"/>
      <c r="F570" s="56"/>
      <c r="G570" s="56"/>
      <c r="H570" s="56"/>
      <c r="I570" s="56"/>
      <c r="J570" s="56"/>
      <c r="K570" s="56"/>
      <c r="L570" s="56"/>
      <c r="M570" s="56"/>
      <c r="N570" s="56"/>
      <c r="O570" s="59"/>
      <c r="P570" s="56"/>
      <c r="Q570" s="56"/>
      <c r="R570" s="56"/>
      <c r="S570" s="57"/>
      <c r="T570" s="56"/>
      <c r="U570" s="56"/>
      <c r="V570" s="56"/>
      <c r="W570" s="57"/>
      <c r="X570" s="51"/>
      <c r="Y570" s="51"/>
      <c r="Z570" s="51"/>
      <c r="AA570" s="51"/>
      <c r="AB570" s="51"/>
      <c r="AC570" s="51"/>
    </row>
    <row r="571" ht="15.75" customHeight="1">
      <c r="A571" s="56"/>
      <c r="B571" s="57"/>
      <c r="C571" s="58"/>
      <c r="D571" s="56"/>
      <c r="E571" s="56"/>
      <c r="F571" s="56"/>
      <c r="G571" s="56"/>
      <c r="H571" s="56"/>
      <c r="I571" s="56"/>
      <c r="J571" s="56"/>
      <c r="K571" s="56"/>
      <c r="L571" s="56"/>
      <c r="M571" s="56"/>
      <c r="N571" s="56"/>
      <c r="O571" s="59"/>
      <c r="P571" s="56"/>
      <c r="Q571" s="56"/>
      <c r="R571" s="56"/>
      <c r="S571" s="57"/>
      <c r="T571" s="56"/>
      <c r="U571" s="56"/>
      <c r="V571" s="56"/>
      <c r="W571" s="57"/>
      <c r="X571" s="51"/>
      <c r="Y571" s="51"/>
      <c r="Z571" s="51"/>
      <c r="AA571" s="51"/>
      <c r="AB571" s="51"/>
      <c r="AC571" s="51"/>
    </row>
    <row r="572" ht="15.75" customHeight="1">
      <c r="A572" s="56"/>
      <c r="B572" s="57"/>
      <c r="C572" s="58"/>
      <c r="D572" s="56"/>
      <c r="E572" s="56"/>
      <c r="F572" s="56"/>
      <c r="G572" s="56"/>
      <c r="H572" s="56"/>
      <c r="I572" s="56"/>
      <c r="J572" s="56"/>
      <c r="K572" s="56"/>
      <c r="L572" s="56"/>
      <c r="M572" s="56"/>
      <c r="N572" s="56"/>
      <c r="O572" s="59"/>
      <c r="P572" s="56"/>
      <c r="Q572" s="56"/>
      <c r="R572" s="56"/>
      <c r="S572" s="57"/>
      <c r="T572" s="56"/>
      <c r="U572" s="56"/>
      <c r="V572" s="56"/>
      <c r="W572" s="57"/>
      <c r="X572" s="51"/>
      <c r="Y572" s="51"/>
      <c r="Z572" s="51"/>
      <c r="AA572" s="51"/>
      <c r="AB572" s="51"/>
      <c r="AC572" s="51"/>
    </row>
    <row r="573" ht="15.75" customHeight="1">
      <c r="A573" s="56"/>
      <c r="B573" s="57"/>
      <c r="C573" s="58"/>
      <c r="D573" s="56"/>
      <c r="E573" s="56"/>
      <c r="F573" s="56"/>
      <c r="G573" s="56"/>
      <c r="H573" s="56"/>
      <c r="I573" s="56"/>
      <c r="J573" s="56"/>
      <c r="K573" s="56"/>
      <c r="L573" s="56"/>
      <c r="M573" s="56"/>
      <c r="N573" s="56"/>
      <c r="O573" s="59"/>
      <c r="P573" s="56"/>
      <c r="Q573" s="56"/>
      <c r="R573" s="56"/>
      <c r="S573" s="57"/>
      <c r="T573" s="56"/>
      <c r="U573" s="56"/>
      <c r="V573" s="56"/>
      <c r="W573" s="57"/>
      <c r="X573" s="51"/>
      <c r="Y573" s="51"/>
      <c r="Z573" s="51"/>
      <c r="AA573" s="51"/>
      <c r="AB573" s="51"/>
      <c r="AC573" s="51"/>
    </row>
    <row r="574" ht="15.75" customHeight="1">
      <c r="A574" s="56"/>
      <c r="B574" s="57"/>
      <c r="C574" s="58"/>
      <c r="D574" s="56"/>
      <c r="E574" s="56"/>
      <c r="F574" s="56"/>
      <c r="G574" s="56"/>
      <c r="H574" s="56"/>
      <c r="I574" s="56"/>
      <c r="J574" s="56"/>
      <c r="K574" s="56"/>
      <c r="L574" s="56"/>
      <c r="M574" s="56"/>
      <c r="N574" s="56"/>
      <c r="O574" s="59"/>
      <c r="P574" s="56"/>
      <c r="Q574" s="56"/>
      <c r="R574" s="56"/>
      <c r="S574" s="57"/>
      <c r="T574" s="56"/>
      <c r="U574" s="56"/>
      <c r="V574" s="56"/>
      <c r="W574" s="57"/>
      <c r="X574" s="51"/>
      <c r="Y574" s="51"/>
      <c r="Z574" s="51"/>
      <c r="AA574" s="51"/>
      <c r="AB574" s="51"/>
      <c r="AC574" s="51"/>
    </row>
    <row r="575" ht="15.75" customHeight="1">
      <c r="A575" s="56"/>
      <c r="B575" s="57"/>
      <c r="C575" s="58"/>
      <c r="D575" s="56"/>
      <c r="E575" s="56"/>
      <c r="F575" s="56"/>
      <c r="G575" s="56"/>
      <c r="H575" s="56"/>
      <c r="I575" s="56"/>
      <c r="J575" s="56"/>
      <c r="K575" s="56"/>
      <c r="L575" s="56"/>
      <c r="M575" s="56"/>
      <c r="N575" s="56"/>
      <c r="O575" s="59"/>
      <c r="P575" s="56"/>
      <c r="Q575" s="56"/>
      <c r="R575" s="56"/>
      <c r="S575" s="57"/>
      <c r="T575" s="56"/>
      <c r="U575" s="56"/>
      <c r="V575" s="56"/>
      <c r="W575" s="57"/>
      <c r="X575" s="51"/>
      <c r="Y575" s="51"/>
      <c r="Z575" s="51"/>
      <c r="AA575" s="51"/>
      <c r="AB575" s="51"/>
      <c r="AC575" s="51"/>
    </row>
    <row r="576" ht="15.75" customHeight="1">
      <c r="A576" s="56"/>
      <c r="B576" s="57"/>
      <c r="C576" s="58"/>
      <c r="D576" s="56"/>
      <c r="E576" s="56"/>
      <c r="F576" s="56"/>
      <c r="G576" s="56"/>
      <c r="H576" s="56"/>
      <c r="I576" s="56"/>
      <c r="J576" s="56"/>
      <c r="K576" s="56"/>
      <c r="L576" s="56"/>
      <c r="M576" s="56"/>
      <c r="N576" s="56"/>
      <c r="O576" s="59"/>
      <c r="P576" s="56"/>
      <c r="Q576" s="56"/>
      <c r="R576" s="56"/>
      <c r="S576" s="57"/>
      <c r="T576" s="56"/>
      <c r="U576" s="56"/>
      <c r="V576" s="56"/>
      <c r="W576" s="57"/>
      <c r="X576" s="51"/>
      <c r="Y576" s="51"/>
      <c r="Z576" s="51"/>
      <c r="AA576" s="51"/>
      <c r="AB576" s="51"/>
      <c r="AC576" s="51"/>
    </row>
    <row r="577" ht="15.75" customHeight="1">
      <c r="A577" s="56"/>
      <c r="B577" s="57"/>
      <c r="C577" s="58"/>
      <c r="D577" s="56"/>
      <c r="E577" s="56"/>
      <c r="F577" s="56"/>
      <c r="G577" s="56"/>
      <c r="H577" s="56"/>
      <c r="I577" s="56"/>
      <c r="J577" s="56"/>
      <c r="K577" s="56"/>
      <c r="L577" s="56"/>
      <c r="M577" s="56"/>
      <c r="N577" s="56"/>
      <c r="O577" s="59"/>
      <c r="P577" s="56"/>
      <c r="Q577" s="56"/>
      <c r="R577" s="56"/>
      <c r="S577" s="57"/>
      <c r="T577" s="56"/>
      <c r="U577" s="56"/>
      <c r="V577" s="56"/>
      <c r="W577" s="57"/>
      <c r="X577" s="51"/>
      <c r="Y577" s="51"/>
      <c r="Z577" s="51"/>
      <c r="AA577" s="51"/>
      <c r="AB577" s="51"/>
      <c r="AC577" s="51"/>
    </row>
    <row r="578" ht="15.75" customHeight="1">
      <c r="A578" s="56"/>
      <c r="B578" s="57"/>
      <c r="C578" s="58"/>
      <c r="D578" s="56"/>
      <c r="E578" s="56"/>
      <c r="F578" s="56"/>
      <c r="G578" s="56"/>
      <c r="H578" s="56"/>
      <c r="I578" s="56"/>
      <c r="J578" s="56"/>
      <c r="K578" s="56"/>
      <c r="L578" s="56"/>
      <c r="M578" s="56"/>
      <c r="N578" s="56"/>
      <c r="O578" s="59"/>
      <c r="P578" s="56"/>
      <c r="Q578" s="56"/>
      <c r="R578" s="56"/>
      <c r="S578" s="57"/>
      <c r="T578" s="56"/>
      <c r="U578" s="56"/>
      <c r="V578" s="56"/>
      <c r="W578" s="57"/>
      <c r="X578" s="51"/>
      <c r="Y578" s="51"/>
      <c r="Z578" s="51"/>
      <c r="AA578" s="51"/>
      <c r="AB578" s="51"/>
      <c r="AC578" s="51"/>
    </row>
    <row r="579" ht="15.75" customHeight="1">
      <c r="A579" s="56"/>
      <c r="B579" s="57"/>
      <c r="C579" s="58"/>
      <c r="D579" s="56"/>
      <c r="E579" s="56"/>
      <c r="F579" s="56"/>
      <c r="G579" s="56"/>
      <c r="H579" s="56"/>
      <c r="I579" s="56"/>
      <c r="J579" s="56"/>
      <c r="K579" s="56"/>
      <c r="L579" s="56"/>
      <c r="M579" s="56"/>
      <c r="N579" s="56"/>
      <c r="O579" s="59"/>
      <c r="P579" s="56"/>
      <c r="Q579" s="56"/>
      <c r="R579" s="56"/>
      <c r="S579" s="57"/>
      <c r="T579" s="56"/>
      <c r="U579" s="56"/>
      <c r="V579" s="56"/>
      <c r="W579" s="57"/>
      <c r="X579" s="51"/>
      <c r="Y579" s="51"/>
      <c r="Z579" s="51"/>
      <c r="AA579" s="51"/>
      <c r="AB579" s="51"/>
      <c r="AC579" s="51"/>
    </row>
    <row r="580" ht="15.75" customHeight="1">
      <c r="A580" s="56"/>
      <c r="B580" s="57"/>
      <c r="C580" s="58"/>
      <c r="D580" s="56"/>
      <c r="E580" s="56"/>
      <c r="F580" s="56"/>
      <c r="G580" s="56"/>
      <c r="H580" s="56"/>
      <c r="I580" s="56"/>
      <c r="J580" s="56"/>
      <c r="K580" s="56"/>
      <c r="L580" s="56"/>
      <c r="M580" s="56"/>
      <c r="N580" s="56"/>
      <c r="O580" s="59"/>
      <c r="P580" s="56"/>
      <c r="Q580" s="56"/>
      <c r="R580" s="56"/>
      <c r="S580" s="57"/>
      <c r="T580" s="56"/>
      <c r="U580" s="56"/>
      <c r="V580" s="56"/>
      <c r="W580" s="57"/>
      <c r="X580" s="51"/>
      <c r="Y580" s="51"/>
      <c r="Z580" s="51"/>
      <c r="AA580" s="51"/>
      <c r="AB580" s="51"/>
      <c r="AC580" s="51"/>
    </row>
    <row r="581" ht="15.75" customHeight="1">
      <c r="A581" s="56"/>
      <c r="B581" s="57"/>
      <c r="C581" s="58"/>
      <c r="D581" s="56"/>
      <c r="E581" s="56"/>
      <c r="F581" s="56"/>
      <c r="G581" s="56"/>
      <c r="H581" s="56"/>
      <c r="I581" s="56"/>
      <c r="J581" s="56"/>
      <c r="K581" s="56"/>
      <c r="L581" s="56"/>
      <c r="M581" s="56"/>
      <c r="N581" s="56"/>
      <c r="O581" s="59"/>
      <c r="P581" s="56"/>
      <c r="Q581" s="56"/>
      <c r="R581" s="56"/>
      <c r="S581" s="57"/>
      <c r="T581" s="56"/>
      <c r="U581" s="56"/>
      <c r="V581" s="56"/>
      <c r="W581" s="57"/>
      <c r="X581" s="51"/>
      <c r="Y581" s="51"/>
      <c r="Z581" s="51"/>
      <c r="AA581" s="51"/>
      <c r="AB581" s="51"/>
      <c r="AC581" s="51"/>
    </row>
    <row r="582" ht="15.75" customHeight="1">
      <c r="A582" s="56"/>
      <c r="B582" s="57"/>
      <c r="C582" s="58"/>
      <c r="D582" s="56"/>
      <c r="E582" s="56"/>
      <c r="F582" s="56"/>
      <c r="G582" s="56"/>
      <c r="H582" s="56"/>
      <c r="I582" s="56"/>
      <c r="J582" s="56"/>
      <c r="K582" s="56"/>
      <c r="L582" s="56"/>
      <c r="M582" s="56"/>
      <c r="N582" s="56"/>
      <c r="O582" s="59"/>
      <c r="P582" s="56"/>
      <c r="Q582" s="56"/>
      <c r="R582" s="56"/>
      <c r="S582" s="57"/>
      <c r="T582" s="56"/>
      <c r="U582" s="56"/>
      <c r="V582" s="56"/>
      <c r="W582" s="57"/>
      <c r="X582" s="51"/>
      <c r="Y582" s="51"/>
      <c r="Z582" s="51"/>
      <c r="AA582" s="51"/>
      <c r="AB582" s="51"/>
      <c r="AC582" s="51"/>
    </row>
    <row r="583" ht="15.75" customHeight="1">
      <c r="A583" s="56"/>
      <c r="B583" s="57"/>
      <c r="C583" s="58"/>
      <c r="D583" s="56"/>
      <c r="E583" s="56"/>
      <c r="F583" s="56"/>
      <c r="G583" s="56"/>
      <c r="H583" s="56"/>
      <c r="I583" s="56"/>
      <c r="J583" s="56"/>
      <c r="K583" s="56"/>
      <c r="L583" s="56"/>
      <c r="M583" s="56"/>
      <c r="N583" s="56"/>
      <c r="O583" s="59"/>
      <c r="P583" s="56"/>
      <c r="Q583" s="56"/>
      <c r="R583" s="56"/>
      <c r="S583" s="57"/>
      <c r="T583" s="56"/>
      <c r="U583" s="56"/>
      <c r="V583" s="56"/>
      <c r="W583" s="57"/>
      <c r="X583" s="51"/>
      <c r="Y583" s="51"/>
      <c r="Z583" s="51"/>
      <c r="AA583" s="51"/>
      <c r="AB583" s="51"/>
      <c r="AC583" s="51"/>
    </row>
    <row r="584" ht="15.75" customHeight="1">
      <c r="A584" s="56"/>
      <c r="B584" s="57"/>
      <c r="C584" s="58"/>
      <c r="D584" s="56"/>
      <c r="E584" s="56"/>
      <c r="F584" s="56"/>
      <c r="G584" s="56"/>
      <c r="H584" s="56"/>
      <c r="I584" s="56"/>
      <c r="J584" s="56"/>
      <c r="K584" s="56"/>
      <c r="L584" s="56"/>
      <c r="M584" s="56"/>
      <c r="N584" s="56"/>
      <c r="O584" s="59"/>
      <c r="P584" s="56"/>
      <c r="Q584" s="56"/>
      <c r="R584" s="56"/>
      <c r="S584" s="57"/>
      <c r="T584" s="56"/>
      <c r="U584" s="56"/>
      <c r="V584" s="56"/>
      <c r="W584" s="57"/>
      <c r="X584" s="51"/>
      <c r="Y584" s="51"/>
      <c r="Z584" s="51"/>
      <c r="AA584" s="51"/>
      <c r="AB584" s="51"/>
      <c r="AC584" s="51"/>
    </row>
    <row r="585" ht="15.75" customHeight="1">
      <c r="A585" s="56"/>
      <c r="B585" s="57"/>
      <c r="C585" s="58"/>
      <c r="D585" s="56"/>
      <c r="E585" s="56"/>
      <c r="F585" s="56"/>
      <c r="G585" s="56"/>
      <c r="H585" s="56"/>
      <c r="I585" s="56"/>
      <c r="J585" s="56"/>
      <c r="K585" s="56"/>
      <c r="L585" s="56"/>
      <c r="M585" s="56"/>
      <c r="N585" s="56"/>
      <c r="O585" s="59"/>
      <c r="P585" s="56"/>
      <c r="Q585" s="56"/>
      <c r="R585" s="56"/>
      <c r="S585" s="57"/>
      <c r="T585" s="56"/>
      <c r="U585" s="56"/>
      <c r="V585" s="56"/>
      <c r="W585" s="57"/>
      <c r="X585" s="51"/>
      <c r="Y585" s="51"/>
      <c r="Z585" s="51"/>
      <c r="AA585" s="51"/>
      <c r="AB585" s="51"/>
      <c r="AC585" s="51"/>
    </row>
    <row r="586" ht="15.75" customHeight="1">
      <c r="A586" s="56"/>
      <c r="B586" s="57"/>
      <c r="C586" s="58"/>
      <c r="D586" s="56"/>
      <c r="E586" s="56"/>
      <c r="F586" s="56"/>
      <c r="G586" s="56"/>
      <c r="H586" s="56"/>
      <c r="I586" s="56"/>
      <c r="J586" s="56"/>
      <c r="K586" s="56"/>
      <c r="L586" s="56"/>
      <c r="M586" s="56"/>
      <c r="N586" s="56"/>
      <c r="O586" s="59"/>
      <c r="P586" s="56"/>
      <c r="Q586" s="56"/>
      <c r="R586" s="56"/>
      <c r="S586" s="57"/>
      <c r="T586" s="56"/>
      <c r="U586" s="56"/>
      <c r="V586" s="56"/>
      <c r="W586" s="57"/>
      <c r="X586" s="51"/>
      <c r="Y586" s="51"/>
      <c r="Z586" s="51"/>
      <c r="AA586" s="51"/>
      <c r="AB586" s="51"/>
      <c r="AC586" s="51"/>
    </row>
    <row r="587" ht="15.75" customHeight="1">
      <c r="A587" s="56"/>
      <c r="B587" s="57"/>
      <c r="C587" s="58"/>
      <c r="D587" s="56"/>
      <c r="E587" s="56"/>
      <c r="F587" s="56"/>
      <c r="G587" s="56"/>
      <c r="H587" s="56"/>
      <c r="I587" s="56"/>
      <c r="J587" s="56"/>
      <c r="K587" s="56"/>
      <c r="L587" s="56"/>
      <c r="M587" s="56"/>
      <c r="N587" s="56"/>
      <c r="O587" s="59"/>
      <c r="P587" s="56"/>
      <c r="Q587" s="56"/>
      <c r="R587" s="56"/>
      <c r="S587" s="57"/>
      <c r="T587" s="56"/>
      <c r="U587" s="56"/>
      <c r="V587" s="56"/>
      <c r="W587" s="57"/>
      <c r="X587" s="51"/>
      <c r="Y587" s="51"/>
      <c r="Z587" s="51"/>
      <c r="AA587" s="51"/>
      <c r="AB587" s="51"/>
      <c r="AC587" s="51"/>
    </row>
    <row r="588" ht="15.75" customHeight="1">
      <c r="A588" s="56"/>
      <c r="B588" s="57"/>
      <c r="C588" s="58"/>
      <c r="D588" s="56"/>
      <c r="E588" s="56"/>
      <c r="F588" s="56"/>
      <c r="G588" s="56"/>
      <c r="H588" s="56"/>
      <c r="I588" s="56"/>
      <c r="J588" s="56"/>
      <c r="K588" s="56"/>
      <c r="L588" s="56"/>
      <c r="M588" s="56"/>
      <c r="N588" s="56"/>
      <c r="O588" s="59"/>
      <c r="P588" s="56"/>
      <c r="Q588" s="56"/>
      <c r="R588" s="56"/>
      <c r="S588" s="57"/>
      <c r="T588" s="56"/>
      <c r="U588" s="56"/>
      <c r="V588" s="56"/>
      <c r="W588" s="57"/>
      <c r="X588" s="51"/>
      <c r="Y588" s="51"/>
      <c r="Z588" s="51"/>
      <c r="AA588" s="51"/>
      <c r="AB588" s="51"/>
      <c r="AC588" s="51"/>
    </row>
    <row r="589" ht="15.75" customHeight="1">
      <c r="A589" s="56"/>
      <c r="B589" s="57"/>
      <c r="C589" s="58"/>
      <c r="D589" s="56"/>
      <c r="E589" s="56"/>
      <c r="F589" s="56"/>
      <c r="G589" s="56"/>
      <c r="H589" s="56"/>
      <c r="I589" s="56"/>
      <c r="J589" s="56"/>
      <c r="K589" s="56"/>
      <c r="L589" s="56"/>
      <c r="M589" s="56"/>
      <c r="N589" s="56"/>
      <c r="O589" s="59"/>
      <c r="P589" s="56"/>
      <c r="Q589" s="56"/>
      <c r="R589" s="56"/>
      <c r="S589" s="57"/>
      <c r="T589" s="56"/>
      <c r="U589" s="56"/>
      <c r="V589" s="56"/>
      <c r="W589" s="57"/>
      <c r="X589" s="51"/>
      <c r="Y589" s="51"/>
      <c r="Z589" s="51"/>
      <c r="AA589" s="51"/>
      <c r="AB589" s="51"/>
      <c r="AC589" s="51"/>
    </row>
    <row r="590" ht="15.75" customHeight="1">
      <c r="A590" s="56"/>
      <c r="B590" s="57"/>
      <c r="C590" s="58"/>
      <c r="D590" s="56"/>
      <c r="E590" s="56"/>
      <c r="F590" s="56"/>
      <c r="G590" s="56"/>
      <c r="H590" s="56"/>
      <c r="I590" s="56"/>
      <c r="J590" s="56"/>
      <c r="K590" s="56"/>
      <c r="L590" s="56"/>
      <c r="M590" s="56"/>
      <c r="N590" s="56"/>
      <c r="O590" s="59"/>
      <c r="P590" s="56"/>
      <c r="Q590" s="56"/>
      <c r="R590" s="56"/>
      <c r="S590" s="57"/>
      <c r="T590" s="56"/>
      <c r="U590" s="56"/>
      <c r="V590" s="56"/>
      <c r="W590" s="57"/>
      <c r="X590" s="51"/>
      <c r="Y590" s="51"/>
      <c r="Z590" s="51"/>
      <c r="AA590" s="51"/>
      <c r="AB590" s="51"/>
      <c r="AC590" s="51"/>
    </row>
    <row r="591" ht="15.75" customHeight="1">
      <c r="A591" s="56"/>
      <c r="B591" s="57"/>
      <c r="C591" s="58"/>
      <c r="D591" s="56"/>
      <c r="E591" s="56"/>
      <c r="F591" s="56"/>
      <c r="G591" s="56"/>
      <c r="H591" s="56"/>
      <c r="I591" s="56"/>
      <c r="J591" s="56"/>
      <c r="K591" s="56"/>
      <c r="L591" s="56"/>
      <c r="M591" s="56"/>
      <c r="N591" s="56"/>
      <c r="O591" s="59"/>
      <c r="P591" s="56"/>
      <c r="Q591" s="56"/>
      <c r="R591" s="56"/>
      <c r="S591" s="57"/>
      <c r="T591" s="56"/>
      <c r="U591" s="56"/>
      <c r="V591" s="56"/>
      <c r="W591" s="57"/>
      <c r="X591" s="51"/>
      <c r="Y591" s="51"/>
      <c r="Z591" s="51"/>
      <c r="AA591" s="51"/>
      <c r="AB591" s="51"/>
      <c r="AC591" s="51"/>
    </row>
    <row r="592" ht="15.75" customHeight="1">
      <c r="A592" s="56"/>
      <c r="B592" s="57"/>
      <c r="C592" s="58"/>
      <c r="D592" s="56"/>
      <c r="E592" s="56"/>
      <c r="F592" s="56"/>
      <c r="G592" s="56"/>
      <c r="H592" s="56"/>
      <c r="I592" s="56"/>
      <c r="J592" s="56"/>
      <c r="K592" s="56"/>
      <c r="L592" s="56"/>
      <c r="M592" s="56"/>
      <c r="N592" s="56"/>
      <c r="O592" s="59"/>
      <c r="P592" s="56"/>
      <c r="Q592" s="56"/>
      <c r="R592" s="56"/>
      <c r="S592" s="57"/>
      <c r="T592" s="56"/>
      <c r="U592" s="56"/>
      <c r="V592" s="56"/>
      <c r="W592" s="57"/>
      <c r="X592" s="51"/>
      <c r="Y592" s="51"/>
      <c r="Z592" s="51"/>
      <c r="AA592" s="51"/>
      <c r="AB592" s="51"/>
      <c r="AC592" s="51"/>
    </row>
    <row r="593" ht="15.75" customHeight="1">
      <c r="A593" s="56"/>
      <c r="B593" s="57"/>
      <c r="C593" s="58"/>
      <c r="D593" s="56"/>
      <c r="E593" s="56"/>
      <c r="F593" s="56"/>
      <c r="G593" s="56"/>
      <c r="H593" s="56"/>
      <c r="I593" s="56"/>
      <c r="J593" s="56"/>
      <c r="K593" s="56"/>
      <c r="L593" s="56"/>
      <c r="M593" s="56"/>
      <c r="N593" s="56"/>
      <c r="O593" s="59"/>
      <c r="P593" s="56"/>
      <c r="Q593" s="56"/>
      <c r="R593" s="56"/>
      <c r="S593" s="57"/>
      <c r="T593" s="56"/>
      <c r="U593" s="56"/>
      <c r="V593" s="56"/>
      <c r="W593" s="57"/>
      <c r="X593" s="51"/>
      <c r="Y593" s="51"/>
      <c r="Z593" s="51"/>
      <c r="AA593" s="51"/>
      <c r="AB593" s="51"/>
      <c r="AC593" s="51"/>
    </row>
    <row r="594" ht="15.75" customHeight="1">
      <c r="A594" s="56"/>
      <c r="B594" s="57"/>
      <c r="C594" s="58"/>
      <c r="D594" s="56"/>
      <c r="E594" s="56"/>
      <c r="F594" s="56"/>
      <c r="G594" s="56"/>
      <c r="H594" s="56"/>
      <c r="I594" s="56"/>
      <c r="J594" s="56"/>
      <c r="K594" s="56"/>
      <c r="L594" s="56"/>
      <c r="M594" s="56"/>
      <c r="N594" s="56"/>
      <c r="O594" s="59"/>
      <c r="P594" s="56"/>
      <c r="Q594" s="56"/>
      <c r="R594" s="56"/>
      <c r="S594" s="57"/>
      <c r="T594" s="56"/>
      <c r="U594" s="56"/>
      <c r="V594" s="56"/>
      <c r="W594" s="57"/>
      <c r="X594" s="51"/>
      <c r="Y594" s="51"/>
      <c r="Z594" s="51"/>
      <c r="AA594" s="51"/>
      <c r="AB594" s="51"/>
      <c r="AC594" s="51"/>
    </row>
    <row r="595" ht="15.75" customHeight="1">
      <c r="A595" s="56"/>
      <c r="B595" s="57"/>
      <c r="C595" s="58"/>
      <c r="D595" s="56"/>
      <c r="E595" s="56"/>
      <c r="F595" s="56"/>
      <c r="G595" s="56"/>
      <c r="H595" s="56"/>
      <c r="I595" s="56"/>
      <c r="J595" s="56"/>
      <c r="K595" s="56"/>
      <c r="L595" s="56"/>
      <c r="M595" s="56"/>
      <c r="N595" s="56"/>
      <c r="O595" s="59"/>
      <c r="P595" s="56"/>
      <c r="Q595" s="56"/>
      <c r="R595" s="56"/>
      <c r="S595" s="57"/>
      <c r="T595" s="56"/>
      <c r="U595" s="56"/>
      <c r="V595" s="56"/>
      <c r="W595" s="57"/>
      <c r="X595" s="51"/>
      <c r="Y595" s="51"/>
      <c r="Z595" s="51"/>
      <c r="AA595" s="51"/>
      <c r="AB595" s="51"/>
      <c r="AC595" s="51"/>
    </row>
    <row r="596" ht="15.75" customHeight="1">
      <c r="A596" s="56"/>
      <c r="B596" s="57"/>
      <c r="C596" s="58"/>
      <c r="D596" s="56"/>
      <c r="E596" s="56"/>
      <c r="F596" s="56"/>
      <c r="G596" s="56"/>
      <c r="H596" s="56"/>
      <c r="I596" s="56"/>
      <c r="J596" s="56"/>
      <c r="K596" s="56"/>
      <c r="L596" s="56"/>
      <c r="M596" s="56"/>
      <c r="N596" s="56"/>
      <c r="O596" s="59"/>
      <c r="P596" s="56"/>
      <c r="Q596" s="56"/>
      <c r="R596" s="56"/>
      <c r="S596" s="57"/>
      <c r="T596" s="56"/>
      <c r="U596" s="56"/>
      <c r="V596" s="56"/>
      <c r="W596" s="57"/>
      <c r="X596" s="51"/>
      <c r="Y596" s="51"/>
      <c r="Z596" s="51"/>
      <c r="AA596" s="51"/>
      <c r="AB596" s="51"/>
      <c r="AC596" s="51"/>
    </row>
    <row r="597" ht="15.75" customHeight="1">
      <c r="A597" s="56"/>
      <c r="B597" s="57"/>
      <c r="C597" s="58"/>
      <c r="D597" s="56"/>
      <c r="E597" s="56"/>
      <c r="F597" s="56"/>
      <c r="G597" s="56"/>
      <c r="H597" s="56"/>
      <c r="I597" s="56"/>
      <c r="J597" s="56"/>
      <c r="K597" s="56"/>
      <c r="L597" s="56"/>
      <c r="M597" s="56"/>
      <c r="N597" s="56"/>
      <c r="O597" s="59"/>
      <c r="P597" s="56"/>
      <c r="Q597" s="56"/>
      <c r="R597" s="56"/>
      <c r="S597" s="57"/>
      <c r="T597" s="56"/>
      <c r="U597" s="56"/>
      <c r="V597" s="56"/>
      <c r="W597" s="57"/>
      <c r="X597" s="51"/>
      <c r="Y597" s="51"/>
      <c r="Z597" s="51"/>
      <c r="AA597" s="51"/>
      <c r="AB597" s="51"/>
      <c r="AC597" s="51"/>
    </row>
    <row r="598" ht="15.75" customHeight="1">
      <c r="A598" s="56"/>
      <c r="B598" s="57"/>
      <c r="C598" s="58"/>
      <c r="D598" s="56"/>
      <c r="E598" s="56"/>
      <c r="F598" s="56"/>
      <c r="G598" s="56"/>
      <c r="H598" s="56"/>
      <c r="I598" s="56"/>
      <c r="J598" s="56"/>
      <c r="K598" s="56"/>
      <c r="L598" s="56"/>
      <c r="M598" s="56"/>
      <c r="N598" s="56"/>
      <c r="O598" s="59"/>
      <c r="P598" s="56"/>
      <c r="Q598" s="56"/>
      <c r="R598" s="56"/>
      <c r="S598" s="57"/>
      <c r="T598" s="56"/>
      <c r="U598" s="56"/>
      <c r="V598" s="56"/>
      <c r="W598" s="57"/>
      <c r="X598" s="51"/>
      <c r="Y598" s="51"/>
      <c r="Z598" s="51"/>
      <c r="AA598" s="51"/>
      <c r="AB598" s="51"/>
      <c r="AC598" s="51"/>
    </row>
    <row r="599" ht="15.75" customHeight="1">
      <c r="A599" s="56"/>
      <c r="B599" s="57"/>
      <c r="C599" s="58"/>
      <c r="D599" s="56"/>
      <c r="E599" s="56"/>
      <c r="F599" s="56"/>
      <c r="G599" s="56"/>
      <c r="H599" s="56"/>
      <c r="I599" s="56"/>
      <c r="J599" s="56"/>
      <c r="K599" s="56"/>
      <c r="L599" s="56"/>
      <c r="M599" s="56"/>
      <c r="N599" s="56"/>
      <c r="O599" s="59"/>
      <c r="P599" s="56"/>
      <c r="Q599" s="56"/>
      <c r="R599" s="56"/>
      <c r="S599" s="57"/>
      <c r="T599" s="56"/>
      <c r="U599" s="56"/>
      <c r="V599" s="56"/>
      <c r="W599" s="57"/>
      <c r="X599" s="51"/>
      <c r="Y599" s="51"/>
      <c r="Z599" s="51"/>
      <c r="AA599" s="51"/>
      <c r="AB599" s="51"/>
      <c r="AC599" s="51"/>
    </row>
    <row r="600" ht="15.75" customHeight="1">
      <c r="A600" s="56"/>
      <c r="B600" s="57"/>
      <c r="C600" s="58"/>
      <c r="D600" s="56"/>
      <c r="E600" s="56"/>
      <c r="F600" s="56"/>
      <c r="G600" s="56"/>
      <c r="H600" s="56"/>
      <c r="I600" s="56"/>
      <c r="J600" s="56"/>
      <c r="K600" s="56"/>
      <c r="L600" s="56"/>
      <c r="M600" s="56"/>
      <c r="N600" s="56"/>
      <c r="O600" s="59"/>
      <c r="P600" s="56"/>
      <c r="Q600" s="56"/>
      <c r="R600" s="56"/>
      <c r="S600" s="57"/>
      <c r="T600" s="56"/>
      <c r="U600" s="56"/>
      <c r="V600" s="56"/>
      <c r="W600" s="57"/>
      <c r="X600" s="51"/>
      <c r="Y600" s="51"/>
      <c r="Z600" s="51"/>
      <c r="AA600" s="51"/>
      <c r="AB600" s="51"/>
      <c r="AC600" s="51"/>
    </row>
    <row r="601" ht="15.75" customHeight="1">
      <c r="A601" s="56"/>
      <c r="B601" s="57"/>
      <c r="C601" s="58"/>
      <c r="D601" s="56"/>
      <c r="E601" s="56"/>
      <c r="F601" s="56"/>
      <c r="G601" s="56"/>
      <c r="H601" s="56"/>
      <c r="I601" s="56"/>
      <c r="J601" s="56"/>
      <c r="K601" s="56"/>
      <c r="L601" s="56"/>
      <c r="M601" s="56"/>
      <c r="N601" s="56"/>
      <c r="O601" s="59"/>
      <c r="P601" s="56"/>
      <c r="Q601" s="56"/>
      <c r="R601" s="56"/>
      <c r="S601" s="57"/>
      <c r="T601" s="56"/>
      <c r="U601" s="56"/>
      <c r="V601" s="56"/>
      <c r="W601" s="57"/>
      <c r="X601" s="51"/>
      <c r="Y601" s="51"/>
      <c r="Z601" s="51"/>
      <c r="AA601" s="51"/>
      <c r="AB601" s="51"/>
      <c r="AC601" s="51"/>
    </row>
    <row r="602" ht="15.75" customHeight="1">
      <c r="A602" s="56"/>
      <c r="B602" s="57"/>
      <c r="C602" s="58"/>
      <c r="D602" s="56"/>
      <c r="E602" s="56"/>
      <c r="F602" s="56"/>
      <c r="G602" s="56"/>
      <c r="H602" s="56"/>
      <c r="I602" s="56"/>
      <c r="J602" s="56"/>
      <c r="K602" s="56"/>
      <c r="L602" s="56"/>
      <c r="M602" s="56"/>
      <c r="N602" s="56"/>
      <c r="O602" s="59"/>
      <c r="P602" s="56"/>
      <c r="Q602" s="56"/>
      <c r="R602" s="56"/>
      <c r="S602" s="57"/>
      <c r="T602" s="56"/>
      <c r="U602" s="56"/>
      <c r="V602" s="56"/>
      <c r="W602" s="57"/>
      <c r="X602" s="51"/>
      <c r="Y602" s="51"/>
      <c r="Z602" s="51"/>
      <c r="AA602" s="51"/>
      <c r="AB602" s="51"/>
      <c r="AC602" s="51"/>
    </row>
    <row r="603" ht="15.75" customHeight="1">
      <c r="A603" s="56"/>
      <c r="B603" s="57"/>
      <c r="C603" s="58"/>
      <c r="D603" s="56"/>
      <c r="E603" s="56"/>
      <c r="F603" s="56"/>
      <c r="G603" s="56"/>
      <c r="H603" s="56"/>
      <c r="I603" s="56"/>
      <c r="J603" s="56"/>
      <c r="K603" s="56"/>
      <c r="L603" s="56"/>
      <c r="M603" s="56"/>
      <c r="N603" s="56"/>
      <c r="O603" s="59"/>
      <c r="P603" s="56"/>
      <c r="Q603" s="56"/>
      <c r="R603" s="56"/>
      <c r="S603" s="57"/>
      <c r="T603" s="56"/>
      <c r="U603" s="56"/>
      <c r="V603" s="56"/>
      <c r="W603" s="57"/>
      <c r="X603" s="51"/>
      <c r="Y603" s="51"/>
      <c r="Z603" s="51"/>
      <c r="AA603" s="51"/>
      <c r="AB603" s="51"/>
      <c r="AC603" s="51"/>
    </row>
    <row r="604" ht="15.75" customHeight="1">
      <c r="A604" s="56"/>
      <c r="B604" s="57"/>
      <c r="C604" s="58"/>
      <c r="D604" s="56"/>
      <c r="E604" s="56"/>
      <c r="F604" s="56"/>
      <c r="G604" s="56"/>
      <c r="H604" s="56"/>
      <c r="I604" s="56"/>
      <c r="J604" s="56"/>
      <c r="K604" s="56"/>
      <c r="L604" s="56"/>
      <c r="M604" s="56"/>
      <c r="N604" s="56"/>
      <c r="O604" s="59"/>
      <c r="P604" s="56"/>
      <c r="Q604" s="56"/>
      <c r="R604" s="56"/>
      <c r="S604" s="57"/>
      <c r="T604" s="56"/>
      <c r="U604" s="56"/>
      <c r="V604" s="56"/>
      <c r="W604" s="57"/>
      <c r="X604" s="51"/>
      <c r="Y604" s="51"/>
      <c r="Z604" s="51"/>
      <c r="AA604" s="51"/>
      <c r="AB604" s="51"/>
      <c r="AC604" s="51"/>
    </row>
    <row r="605" ht="15.75" customHeight="1">
      <c r="A605" s="56"/>
      <c r="B605" s="57"/>
      <c r="C605" s="58"/>
      <c r="D605" s="56"/>
      <c r="E605" s="56"/>
      <c r="F605" s="56"/>
      <c r="G605" s="56"/>
      <c r="H605" s="56"/>
      <c r="I605" s="56"/>
      <c r="J605" s="56"/>
      <c r="K605" s="56"/>
      <c r="L605" s="56"/>
      <c r="M605" s="56"/>
      <c r="N605" s="56"/>
      <c r="O605" s="59"/>
      <c r="P605" s="56"/>
      <c r="Q605" s="56"/>
      <c r="R605" s="56"/>
      <c r="S605" s="57"/>
      <c r="T605" s="56"/>
      <c r="U605" s="56"/>
      <c r="V605" s="56"/>
      <c r="W605" s="57"/>
      <c r="X605" s="51"/>
      <c r="Y605" s="51"/>
      <c r="Z605" s="51"/>
      <c r="AA605" s="51"/>
      <c r="AB605" s="51"/>
      <c r="AC605" s="51"/>
    </row>
    <row r="606" ht="15.75" customHeight="1">
      <c r="A606" s="56"/>
      <c r="B606" s="57"/>
      <c r="C606" s="58"/>
      <c r="D606" s="56"/>
      <c r="E606" s="56"/>
      <c r="F606" s="56"/>
      <c r="G606" s="56"/>
      <c r="H606" s="56"/>
      <c r="I606" s="56"/>
      <c r="J606" s="56"/>
      <c r="K606" s="56"/>
      <c r="L606" s="56"/>
      <c r="M606" s="56"/>
      <c r="N606" s="56"/>
      <c r="O606" s="59"/>
      <c r="P606" s="56"/>
      <c r="Q606" s="56"/>
      <c r="R606" s="56"/>
      <c r="S606" s="57"/>
      <c r="T606" s="56"/>
      <c r="U606" s="56"/>
      <c r="V606" s="56"/>
      <c r="W606" s="57"/>
      <c r="X606" s="51"/>
      <c r="Y606" s="51"/>
      <c r="Z606" s="51"/>
      <c r="AA606" s="51"/>
      <c r="AB606" s="51"/>
      <c r="AC606" s="51"/>
    </row>
    <row r="607" ht="15.75" customHeight="1">
      <c r="A607" s="56"/>
      <c r="B607" s="57"/>
      <c r="C607" s="58"/>
      <c r="D607" s="56"/>
      <c r="E607" s="56"/>
      <c r="F607" s="56"/>
      <c r="G607" s="56"/>
      <c r="H607" s="56"/>
      <c r="I607" s="56"/>
      <c r="J607" s="56"/>
      <c r="K607" s="56"/>
      <c r="L607" s="56"/>
      <c r="M607" s="56"/>
      <c r="N607" s="56"/>
      <c r="O607" s="59"/>
      <c r="P607" s="56"/>
      <c r="Q607" s="56"/>
      <c r="R607" s="56"/>
      <c r="S607" s="57"/>
      <c r="T607" s="56"/>
      <c r="U607" s="56"/>
      <c r="V607" s="56"/>
      <c r="W607" s="57"/>
      <c r="X607" s="51"/>
      <c r="Y607" s="51"/>
      <c r="Z607" s="51"/>
      <c r="AA607" s="51"/>
      <c r="AB607" s="51"/>
      <c r="AC607" s="51"/>
    </row>
    <row r="608" ht="15.75" customHeight="1">
      <c r="A608" s="56"/>
      <c r="B608" s="57"/>
      <c r="C608" s="58"/>
      <c r="D608" s="56"/>
      <c r="E608" s="56"/>
      <c r="F608" s="56"/>
      <c r="G608" s="56"/>
      <c r="H608" s="56"/>
      <c r="I608" s="56"/>
      <c r="J608" s="56"/>
      <c r="K608" s="56"/>
      <c r="L608" s="56"/>
      <c r="M608" s="56"/>
      <c r="N608" s="56"/>
      <c r="O608" s="59"/>
      <c r="P608" s="56"/>
      <c r="Q608" s="56"/>
      <c r="R608" s="56"/>
      <c r="S608" s="57"/>
      <c r="T608" s="56"/>
      <c r="U608" s="56"/>
      <c r="V608" s="56"/>
      <c r="W608" s="57"/>
      <c r="X608" s="51"/>
      <c r="Y608" s="51"/>
      <c r="Z608" s="51"/>
      <c r="AA608" s="51"/>
      <c r="AB608" s="51"/>
      <c r="AC608" s="51"/>
    </row>
    <row r="609" ht="15.75" customHeight="1">
      <c r="A609" s="56"/>
      <c r="B609" s="57"/>
      <c r="C609" s="58"/>
      <c r="D609" s="56"/>
      <c r="E609" s="56"/>
      <c r="F609" s="56"/>
      <c r="G609" s="56"/>
      <c r="H609" s="56"/>
      <c r="I609" s="56"/>
      <c r="J609" s="56"/>
      <c r="K609" s="56"/>
      <c r="L609" s="56"/>
      <c r="M609" s="56"/>
      <c r="N609" s="56"/>
      <c r="O609" s="59"/>
      <c r="P609" s="56"/>
      <c r="Q609" s="56"/>
      <c r="R609" s="56"/>
      <c r="S609" s="57"/>
      <c r="T609" s="56"/>
      <c r="U609" s="56"/>
      <c r="V609" s="56"/>
      <c r="W609" s="57"/>
      <c r="X609" s="51"/>
      <c r="Y609" s="51"/>
      <c r="Z609" s="51"/>
      <c r="AA609" s="51"/>
      <c r="AB609" s="51"/>
      <c r="AC609" s="51"/>
    </row>
    <row r="610" ht="15.75" customHeight="1">
      <c r="A610" s="56"/>
      <c r="B610" s="57"/>
      <c r="C610" s="58"/>
      <c r="D610" s="56"/>
      <c r="E610" s="56"/>
      <c r="F610" s="56"/>
      <c r="G610" s="56"/>
      <c r="H610" s="56"/>
      <c r="I610" s="56"/>
      <c r="J610" s="56"/>
      <c r="K610" s="56"/>
      <c r="L610" s="56"/>
      <c r="M610" s="56"/>
      <c r="N610" s="56"/>
      <c r="O610" s="59"/>
      <c r="P610" s="56"/>
      <c r="Q610" s="56"/>
      <c r="R610" s="56"/>
      <c r="S610" s="57"/>
      <c r="T610" s="56"/>
      <c r="U610" s="56"/>
      <c r="V610" s="56"/>
      <c r="W610" s="57"/>
      <c r="X610" s="51"/>
      <c r="Y610" s="51"/>
      <c r="Z610" s="51"/>
      <c r="AA610" s="51"/>
      <c r="AB610" s="51"/>
      <c r="AC610" s="51"/>
    </row>
    <row r="611" ht="15.75" customHeight="1">
      <c r="A611" s="56"/>
      <c r="B611" s="57"/>
      <c r="C611" s="58"/>
      <c r="D611" s="56"/>
      <c r="E611" s="56"/>
      <c r="F611" s="56"/>
      <c r="G611" s="56"/>
      <c r="H611" s="56"/>
      <c r="I611" s="56"/>
      <c r="J611" s="56"/>
      <c r="K611" s="56"/>
      <c r="L611" s="56"/>
      <c r="M611" s="56"/>
      <c r="N611" s="56"/>
      <c r="O611" s="59"/>
      <c r="P611" s="56"/>
      <c r="Q611" s="56"/>
      <c r="R611" s="56"/>
      <c r="S611" s="57"/>
      <c r="T611" s="56"/>
      <c r="U611" s="56"/>
      <c r="V611" s="56"/>
      <c r="W611" s="57"/>
      <c r="X611" s="51"/>
      <c r="Y611" s="51"/>
      <c r="Z611" s="51"/>
      <c r="AA611" s="51"/>
      <c r="AB611" s="51"/>
      <c r="AC611" s="51"/>
    </row>
    <row r="612" ht="15.75" customHeight="1">
      <c r="A612" s="56"/>
      <c r="B612" s="57"/>
      <c r="C612" s="58"/>
      <c r="D612" s="56"/>
      <c r="E612" s="56"/>
      <c r="F612" s="56"/>
      <c r="G612" s="56"/>
      <c r="H612" s="56"/>
      <c r="I612" s="56"/>
      <c r="J612" s="56"/>
      <c r="K612" s="56"/>
      <c r="L612" s="56"/>
      <c r="M612" s="56"/>
      <c r="N612" s="56"/>
      <c r="O612" s="59"/>
      <c r="P612" s="56"/>
      <c r="Q612" s="56"/>
      <c r="R612" s="56"/>
      <c r="S612" s="57"/>
      <c r="T612" s="56"/>
      <c r="U612" s="56"/>
      <c r="V612" s="56"/>
      <c r="W612" s="57"/>
      <c r="X612" s="51"/>
      <c r="Y612" s="51"/>
      <c r="Z612" s="51"/>
      <c r="AA612" s="51"/>
      <c r="AB612" s="51"/>
      <c r="AC612" s="51"/>
    </row>
    <row r="613" ht="15.75" customHeight="1">
      <c r="A613" s="56"/>
      <c r="B613" s="57"/>
      <c r="C613" s="58"/>
      <c r="D613" s="56"/>
      <c r="E613" s="56"/>
      <c r="F613" s="56"/>
      <c r="G613" s="56"/>
      <c r="H613" s="56"/>
      <c r="I613" s="56"/>
      <c r="J613" s="56"/>
      <c r="K613" s="56"/>
      <c r="L613" s="56"/>
      <c r="M613" s="56"/>
      <c r="N613" s="56"/>
      <c r="O613" s="59"/>
      <c r="P613" s="56"/>
      <c r="Q613" s="56"/>
      <c r="R613" s="56"/>
      <c r="S613" s="57"/>
      <c r="T613" s="56"/>
      <c r="U613" s="56"/>
      <c r="V613" s="56"/>
      <c r="W613" s="57"/>
      <c r="X613" s="51"/>
      <c r="Y613" s="51"/>
      <c r="Z613" s="51"/>
      <c r="AA613" s="51"/>
      <c r="AB613" s="51"/>
      <c r="AC613" s="51"/>
    </row>
    <row r="614" ht="15.75" customHeight="1">
      <c r="A614" s="56"/>
      <c r="B614" s="57"/>
      <c r="C614" s="58"/>
      <c r="D614" s="56"/>
      <c r="E614" s="56"/>
      <c r="F614" s="56"/>
      <c r="G614" s="56"/>
      <c r="H614" s="56"/>
      <c r="I614" s="56"/>
      <c r="J614" s="56"/>
      <c r="K614" s="56"/>
      <c r="L614" s="56"/>
      <c r="M614" s="56"/>
      <c r="N614" s="56"/>
      <c r="O614" s="59"/>
      <c r="P614" s="56"/>
      <c r="Q614" s="56"/>
      <c r="R614" s="56"/>
      <c r="S614" s="57"/>
      <c r="T614" s="56"/>
      <c r="U614" s="56"/>
      <c r="V614" s="56"/>
      <c r="W614" s="57"/>
      <c r="X614" s="51"/>
      <c r="Y614" s="51"/>
      <c r="Z614" s="51"/>
      <c r="AA614" s="51"/>
      <c r="AB614" s="51"/>
      <c r="AC614" s="51"/>
    </row>
    <row r="615" ht="15.75" customHeight="1">
      <c r="A615" s="56"/>
      <c r="B615" s="57"/>
      <c r="C615" s="58"/>
      <c r="D615" s="56"/>
      <c r="E615" s="56"/>
      <c r="F615" s="56"/>
      <c r="G615" s="56"/>
      <c r="H615" s="56"/>
      <c r="I615" s="56"/>
      <c r="J615" s="56"/>
      <c r="K615" s="56"/>
      <c r="L615" s="56"/>
      <c r="M615" s="56"/>
      <c r="N615" s="56"/>
      <c r="O615" s="59"/>
      <c r="P615" s="56"/>
      <c r="Q615" s="56"/>
      <c r="R615" s="56"/>
      <c r="S615" s="57"/>
      <c r="T615" s="56"/>
      <c r="U615" s="56"/>
      <c r="V615" s="56"/>
      <c r="W615" s="57"/>
      <c r="X615" s="51"/>
      <c r="Y615" s="51"/>
      <c r="Z615" s="51"/>
      <c r="AA615" s="51"/>
      <c r="AB615" s="51"/>
      <c r="AC615" s="51"/>
    </row>
    <row r="616" ht="15.75" customHeight="1">
      <c r="A616" s="56"/>
      <c r="B616" s="57"/>
      <c r="C616" s="58"/>
      <c r="D616" s="56"/>
      <c r="E616" s="56"/>
      <c r="F616" s="56"/>
      <c r="G616" s="56"/>
      <c r="H616" s="56"/>
      <c r="I616" s="56"/>
      <c r="J616" s="56"/>
      <c r="K616" s="56"/>
      <c r="L616" s="56"/>
      <c r="M616" s="56"/>
      <c r="N616" s="56"/>
      <c r="O616" s="59"/>
      <c r="P616" s="56"/>
      <c r="Q616" s="56"/>
      <c r="R616" s="56"/>
      <c r="S616" s="57"/>
      <c r="T616" s="56"/>
      <c r="U616" s="56"/>
      <c r="V616" s="56"/>
      <c r="W616" s="57"/>
      <c r="X616" s="51"/>
      <c r="Y616" s="51"/>
      <c r="Z616" s="51"/>
      <c r="AA616" s="51"/>
      <c r="AB616" s="51"/>
      <c r="AC616" s="51"/>
    </row>
    <row r="617" ht="15.75" customHeight="1">
      <c r="A617" s="56"/>
      <c r="B617" s="57"/>
      <c r="C617" s="58"/>
      <c r="D617" s="56"/>
      <c r="E617" s="56"/>
      <c r="F617" s="56"/>
      <c r="G617" s="56"/>
      <c r="H617" s="56"/>
      <c r="I617" s="56"/>
      <c r="J617" s="56"/>
      <c r="K617" s="56"/>
      <c r="L617" s="56"/>
      <c r="M617" s="56"/>
      <c r="N617" s="56"/>
      <c r="O617" s="59"/>
      <c r="P617" s="56"/>
      <c r="Q617" s="56"/>
      <c r="R617" s="56"/>
      <c r="S617" s="57"/>
      <c r="T617" s="56"/>
      <c r="U617" s="56"/>
      <c r="V617" s="56"/>
      <c r="W617" s="57"/>
      <c r="X617" s="51"/>
      <c r="Y617" s="51"/>
      <c r="Z617" s="51"/>
      <c r="AA617" s="51"/>
      <c r="AB617" s="51"/>
      <c r="AC617" s="51"/>
    </row>
    <row r="618" ht="15.75" customHeight="1">
      <c r="A618" s="56"/>
      <c r="B618" s="57"/>
      <c r="C618" s="58"/>
      <c r="D618" s="56"/>
      <c r="E618" s="56"/>
      <c r="F618" s="56"/>
      <c r="G618" s="56"/>
      <c r="H618" s="56"/>
      <c r="I618" s="56"/>
      <c r="J618" s="56"/>
      <c r="K618" s="56"/>
      <c r="L618" s="56"/>
      <c r="M618" s="56"/>
      <c r="N618" s="56"/>
      <c r="O618" s="59"/>
      <c r="P618" s="56"/>
      <c r="Q618" s="56"/>
      <c r="R618" s="56"/>
      <c r="S618" s="57"/>
      <c r="T618" s="56"/>
      <c r="U618" s="56"/>
      <c r="V618" s="56"/>
      <c r="W618" s="57"/>
      <c r="X618" s="51"/>
      <c r="Y618" s="51"/>
      <c r="Z618" s="51"/>
      <c r="AA618" s="51"/>
      <c r="AB618" s="51"/>
      <c r="AC618" s="51"/>
    </row>
    <row r="619" ht="15.75" customHeight="1">
      <c r="A619" s="56"/>
      <c r="B619" s="57"/>
      <c r="C619" s="58"/>
      <c r="D619" s="56"/>
      <c r="E619" s="56"/>
      <c r="F619" s="56"/>
      <c r="G619" s="56"/>
      <c r="H619" s="56"/>
      <c r="I619" s="56"/>
      <c r="J619" s="56"/>
      <c r="K619" s="56"/>
      <c r="L619" s="56"/>
      <c r="M619" s="56"/>
      <c r="N619" s="56"/>
      <c r="O619" s="59"/>
      <c r="P619" s="56"/>
      <c r="Q619" s="56"/>
      <c r="R619" s="56"/>
      <c r="S619" s="57"/>
      <c r="T619" s="56"/>
      <c r="U619" s="56"/>
      <c r="V619" s="56"/>
      <c r="W619" s="57"/>
      <c r="X619" s="51"/>
      <c r="Y619" s="51"/>
      <c r="Z619" s="51"/>
      <c r="AA619" s="51"/>
      <c r="AB619" s="51"/>
      <c r="AC619" s="51"/>
    </row>
    <row r="620" ht="15.75" customHeight="1">
      <c r="A620" s="56"/>
      <c r="B620" s="57"/>
      <c r="C620" s="58"/>
      <c r="D620" s="56"/>
      <c r="E620" s="56"/>
      <c r="F620" s="56"/>
      <c r="G620" s="56"/>
      <c r="H620" s="56"/>
      <c r="I620" s="56"/>
      <c r="J620" s="56"/>
      <c r="K620" s="56"/>
      <c r="L620" s="56"/>
      <c r="M620" s="56"/>
      <c r="N620" s="56"/>
      <c r="O620" s="59"/>
      <c r="P620" s="56"/>
      <c r="Q620" s="56"/>
      <c r="R620" s="56"/>
      <c r="S620" s="57"/>
      <c r="T620" s="56"/>
      <c r="U620" s="56"/>
      <c r="V620" s="56"/>
      <c r="W620" s="57"/>
      <c r="X620" s="51"/>
      <c r="Y620" s="51"/>
      <c r="Z620" s="51"/>
      <c r="AA620" s="51"/>
      <c r="AB620" s="51"/>
      <c r="AC620" s="51"/>
    </row>
    <row r="621" ht="15.75" customHeight="1">
      <c r="A621" s="56"/>
      <c r="B621" s="57"/>
      <c r="C621" s="58"/>
      <c r="D621" s="56"/>
      <c r="E621" s="56"/>
      <c r="F621" s="56"/>
      <c r="G621" s="56"/>
      <c r="H621" s="56"/>
      <c r="I621" s="56"/>
      <c r="J621" s="56"/>
      <c r="K621" s="56"/>
      <c r="L621" s="56"/>
      <c r="M621" s="56"/>
      <c r="N621" s="56"/>
      <c r="O621" s="59"/>
      <c r="P621" s="56"/>
      <c r="Q621" s="56"/>
      <c r="R621" s="56"/>
      <c r="S621" s="57"/>
      <c r="T621" s="56"/>
      <c r="U621" s="56"/>
      <c r="V621" s="56"/>
      <c r="W621" s="57"/>
      <c r="X621" s="51"/>
      <c r="Y621" s="51"/>
      <c r="Z621" s="51"/>
      <c r="AA621" s="51"/>
      <c r="AB621" s="51"/>
      <c r="AC621" s="51"/>
    </row>
    <row r="622" ht="15.75" customHeight="1">
      <c r="A622" s="56"/>
      <c r="B622" s="57"/>
      <c r="C622" s="58"/>
      <c r="D622" s="56"/>
      <c r="E622" s="56"/>
      <c r="F622" s="56"/>
      <c r="G622" s="56"/>
      <c r="H622" s="56"/>
      <c r="I622" s="56"/>
      <c r="J622" s="56"/>
      <c r="K622" s="56"/>
      <c r="L622" s="56"/>
      <c r="M622" s="56"/>
      <c r="N622" s="56"/>
      <c r="O622" s="59"/>
      <c r="P622" s="56"/>
      <c r="Q622" s="56"/>
      <c r="R622" s="56"/>
      <c r="S622" s="57"/>
      <c r="T622" s="56"/>
      <c r="U622" s="56"/>
      <c r="V622" s="56"/>
      <c r="W622" s="57"/>
      <c r="X622" s="51"/>
      <c r="Y622" s="51"/>
      <c r="Z622" s="51"/>
      <c r="AA622" s="51"/>
      <c r="AB622" s="51"/>
      <c r="AC622" s="51"/>
    </row>
    <row r="623" ht="15.75" customHeight="1">
      <c r="A623" s="56"/>
      <c r="B623" s="57"/>
      <c r="C623" s="58"/>
      <c r="D623" s="56"/>
      <c r="E623" s="56"/>
      <c r="F623" s="56"/>
      <c r="G623" s="56"/>
      <c r="H623" s="56"/>
      <c r="I623" s="56"/>
      <c r="J623" s="56"/>
      <c r="K623" s="56"/>
      <c r="L623" s="56"/>
      <c r="M623" s="56"/>
      <c r="N623" s="56"/>
      <c r="O623" s="59"/>
      <c r="P623" s="56"/>
      <c r="Q623" s="56"/>
      <c r="R623" s="56"/>
      <c r="S623" s="57"/>
      <c r="T623" s="56"/>
      <c r="U623" s="56"/>
      <c r="V623" s="56"/>
      <c r="W623" s="57"/>
      <c r="X623" s="51"/>
      <c r="Y623" s="51"/>
      <c r="Z623" s="51"/>
      <c r="AA623" s="51"/>
      <c r="AB623" s="51"/>
      <c r="AC623" s="51"/>
    </row>
    <row r="624" ht="15.75" customHeight="1">
      <c r="A624" s="56"/>
      <c r="B624" s="57"/>
      <c r="C624" s="58"/>
      <c r="D624" s="56"/>
      <c r="E624" s="56"/>
      <c r="F624" s="56"/>
      <c r="G624" s="56"/>
      <c r="H624" s="56"/>
      <c r="I624" s="56"/>
      <c r="J624" s="56"/>
      <c r="K624" s="56"/>
      <c r="L624" s="56"/>
      <c r="M624" s="56"/>
      <c r="N624" s="56"/>
      <c r="O624" s="59"/>
      <c r="P624" s="56"/>
      <c r="Q624" s="56"/>
      <c r="R624" s="56"/>
      <c r="S624" s="57"/>
      <c r="T624" s="56"/>
      <c r="U624" s="56"/>
      <c r="V624" s="56"/>
      <c r="W624" s="57"/>
      <c r="X624" s="51"/>
      <c r="Y624" s="51"/>
      <c r="Z624" s="51"/>
      <c r="AA624" s="51"/>
      <c r="AB624" s="51"/>
      <c r="AC624" s="51"/>
    </row>
    <row r="625" ht="15.75" customHeight="1">
      <c r="A625" s="56"/>
      <c r="B625" s="57"/>
      <c r="C625" s="58"/>
      <c r="D625" s="56"/>
      <c r="E625" s="56"/>
      <c r="F625" s="56"/>
      <c r="G625" s="56"/>
      <c r="H625" s="56"/>
      <c r="I625" s="56"/>
      <c r="J625" s="56"/>
      <c r="K625" s="56"/>
      <c r="L625" s="56"/>
      <c r="M625" s="56"/>
      <c r="N625" s="56"/>
      <c r="O625" s="59"/>
      <c r="P625" s="56"/>
      <c r="Q625" s="56"/>
      <c r="R625" s="56"/>
      <c r="S625" s="57"/>
      <c r="T625" s="56"/>
      <c r="U625" s="56"/>
      <c r="V625" s="56"/>
      <c r="W625" s="57"/>
      <c r="X625" s="51"/>
      <c r="Y625" s="51"/>
      <c r="Z625" s="51"/>
      <c r="AA625" s="51"/>
      <c r="AB625" s="51"/>
      <c r="AC625" s="51"/>
    </row>
    <row r="626" ht="15.75" customHeight="1">
      <c r="A626" s="56"/>
      <c r="B626" s="57"/>
      <c r="C626" s="58"/>
      <c r="D626" s="56"/>
      <c r="E626" s="56"/>
      <c r="F626" s="56"/>
      <c r="G626" s="56"/>
      <c r="H626" s="56"/>
      <c r="I626" s="56"/>
      <c r="J626" s="56"/>
      <c r="K626" s="56"/>
      <c r="L626" s="56"/>
      <c r="M626" s="56"/>
      <c r="N626" s="56"/>
      <c r="O626" s="59"/>
      <c r="P626" s="56"/>
      <c r="Q626" s="56"/>
      <c r="R626" s="56"/>
      <c r="S626" s="57"/>
      <c r="T626" s="56"/>
      <c r="U626" s="56"/>
      <c r="V626" s="56"/>
      <c r="W626" s="57"/>
      <c r="X626" s="51"/>
      <c r="Y626" s="51"/>
      <c r="Z626" s="51"/>
      <c r="AA626" s="51"/>
      <c r="AB626" s="51"/>
      <c r="AC626" s="51"/>
    </row>
    <row r="627" ht="15.75" customHeight="1">
      <c r="A627" s="56"/>
      <c r="B627" s="57"/>
      <c r="C627" s="58"/>
      <c r="D627" s="56"/>
      <c r="E627" s="56"/>
      <c r="F627" s="56"/>
      <c r="G627" s="56"/>
      <c r="H627" s="56"/>
      <c r="I627" s="56"/>
      <c r="J627" s="56"/>
      <c r="K627" s="56"/>
      <c r="L627" s="56"/>
      <c r="M627" s="56"/>
      <c r="N627" s="56"/>
      <c r="O627" s="59"/>
      <c r="P627" s="56"/>
      <c r="Q627" s="56"/>
      <c r="R627" s="56"/>
      <c r="S627" s="57"/>
      <c r="T627" s="56"/>
      <c r="U627" s="56"/>
      <c r="V627" s="56"/>
      <c r="W627" s="57"/>
      <c r="X627" s="51"/>
      <c r="Y627" s="51"/>
      <c r="Z627" s="51"/>
      <c r="AA627" s="51"/>
      <c r="AB627" s="51"/>
      <c r="AC627" s="51"/>
    </row>
    <row r="628" ht="15.75" customHeight="1">
      <c r="A628" s="56"/>
      <c r="B628" s="57"/>
      <c r="C628" s="58"/>
      <c r="D628" s="56"/>
      <c r="E628" s="56"/>
      <c r="F628" s="56"/>
      <c r="G628" s="56"/>
      <c r="H628" s="56"/>
      <c r="I628" s="56"/>
      <c r="J628" s="56"/>
      <c r="K628" s="56"/>
      <c r="L628" s="56"/>
      <c r="M628" s="56"/>
      <c r="N628" s="56"/>
      <c r="O628" s="59"/>
      <c r="P628" s="56"/>
      <c r="Q628" s="56"/>
      <c r="R628" s="56"/>
      <c r="S628" s="57"/>
      <c r="T628" s="56"/>
      <c r="U628" s="56"/>
      <c r="V628" s="56"/>
      <c r="W628" s="57"/>
      <c r="X628" s="51"/>
      <c r="Y628" s="51"/>
      <c r="Z628" s="51"/>
      <c r="AA628" s="51"/>
      <c r="AB628" s="51"/>
      <c r="AC628" s="51"/>
    </row>
    <row r="629" ht="15.75" customHeight="1">
      <c r="A629" s="56"/>
      <c r="B629" s="57"/>
      <c r="C629" s="58"/>
      <c r="D629" s="56"/>
      <c r="E629" s="56"/>
      <c r="F629" s="56"/>
      <c r="G629" s="56"/>
      <c r="H629" s="56"/>
      <c r="I629" s="56"/>
      <c r="J629" s="56"/>
      <c r="K629" s="56"/>
      <c r="L629" s="56"/>
      <c r="M629" s="56"/>
      <c r="N629" s="56"/>
      <c r="O629" s="59"/>
      <c r="P629" s="56"/>
      <c r="Q629" s="56"/>
      <c r="R629" s="56"/>
      <c r="S629" s="57"/>
      <c r="T629" s="56"/>
      <c r="U629" s="56"/>
      <c r="V629" s="56"/>
      <c r="W629" s="57"/>
      <c r="X629" s="51"/>
      <c r="Y629" s="51"/>
      <c r="Z629" s="51"/>
      <c r="AA629" s="51"/>
      <c r="AB629" s="51"/>
      <c r="AC629" s="51"/>
    </row>
    <row r="630" ht="15.75" customHeight="1">
      <c r="A630" s="56"/>
      <c r="B630" s="57"/>
      <c r="C630" s="58"/>
      <c r="D630" s="56"/>
      <c r="E630" s="56"/>
      <c r="F630" s="56"/>
      <c r="G630" s="56"/>
      <c r="H630" s="56"/>
      <c r="I630" s="56"/>
      <c r="J630" s="56"/>
      <c r="K630" s="56"/>
      <c r="L630" s="56"/>
      <c r="M630" s="56"/>
      <c r="N630" s="56"/>
      <c r="O630" s="59"/>
      <c r="P630" s="56"/>
      <c r="Q630" s="56"/>
      <c r="R630" s="56"/>
      <c r="S630" s="57"/>
      <c r="T630" s="56"/>
      <c r="U630" s="56"/>
      <c r="V630" s="56"/>
      <c r="W630" s="57"/>
      <c r="X630" s="51"/>
      <c r="Y630" s="51"/>
      <c r="Z630" s="51"/>
      <c r="AA630" s="51"/>
      <c r="AB630" s="51"/>
      <c r="AC630" s="51"/>
    </row>
    <row r="631" ht="15.75" customHeight="1">
      <c r="A631" s="56"/>
      <c r="B631" s="57"/>
      <c r="C631" s="58"/>
      <c r="D631" s="56"/>
      <c r="E631" s="56"/>
      <c r="F631" s="56"/>
      <c r="G631" s="56"/>
      <c r="H631" s="56"/>
      <c r="I631" s="56"/>
      <c r="J631" s="56"/>
      <c r="K631" s="56"/>
      <c r="L631" s="56"/>
      <c r="M631" s="56"/>
      <c r="N631" s="56"/>
      <c r="O631" s="59"/>
      <c r="P631" s="56"/>
      <c r="Q631" s="56"/>
      <c r="R631" s="56"/>
      <c r="S631" s="57"/>
      <c r="T631" s="56"/>
      <c r="U631" s="56"/>
      <c r="V631" s="56"/>
      <c r="W631" s="57"/>
      <c r="X631" s="51"/>
      <c r="Y631" s="51"/>
      <c r="Z631" s="51"/>
      <c r="AA631" s="51"/>
      <c r="AB631" s="51"/>
      <c r="AC631" s="51"/>
    </row>
    <row r="632" ht="15.75" customHeight="1">
      <c r="A632" s="56"/>
      <c r="B632" s="57"/>
      <c r="C632" s="58"/>
      <c r="D632" s="56"/>
      <c r="E632" s="56"/>
      <c r="F632" s="56"/>
      <c r="G632" s="56"/>
      <c r="H632" s="56"/>
      <c r="I632" s="56"/>
      <c r="J632" s="56"/>
      <c r="K632" s="56"/>
      <c r="L632" s="56"/>
      <c r="M632" s="56"/>
      <c r="N632" s="56"/>
      <c r="O632" s="59"/>
      <c r="P632" s="56"/>
      <c r="Q632" s="56"/>
      <c r="R632" s="56"/>
      <c r="S632" s="57"/>
      <c r="T632" s="56"/>
      <c r="U632" s="56"/>
      <c r="V632" s="56"/>
      <c r="W632" s="57"/>
      <c r="X632" s="51"/>
      <c r="Y632" s="51"/>
      <c r="Z632" s="51"/>
      <c r="AA632" s="51"/>
      <c r="AB632" s="51"/>
      <c r="AC632" s="51"/>
    </row>
    <row r="633" ht="15.75" customHeight="1">
      <c r="A633" s="56"/>
      <c r="B633" s="57"/>
      <c r="C633" s="58"/>
      <c r="D633" s="56"/>
      <c r="E633" s="56"/>
      <c r="F633" s="56"/>
      <c r="G633" s="56"/>
      <c r="H633" s="56"/>
      <c r="I633" s="56"/>
      <c r="J633" s="56"/>
      <c r="K633" s="56"/>
      <c r="L633" s="56"/>
      <c r="M633" s="56"/>
      <c r="N633" s="56"/>
      <c r="O633" s="59"/>
      <c r="P633" s="56"/>
      <c r="Q633" s="56"/>
      <c r="R633" s="56"/>
      <c r="S633" s="57"/>
      <c r="T633" s="56"/>
      <c r="U633" s="56"/>
      <c r="V633" s="56"/>
      <c r="W633" s="57"/>
      <c r="X633" s="51"/>
      <c r="Y633" s="51"/>
      <c r="Z633" s="51"/>
      <c r="AA633" s="51"/>
      <c r="AB633" s="51"/>
      <c r="AC633" s="51"/>
    </row>
    <row r="634" ht="15.75" customHeight="1">
      <c r="A634" s="56"/>
      <c r="B634" s="57"/>
      <c r="C634" s="58"/>
      <c r="D634" s="56"/>
      <c r="E634" s="56"/>
      <c r="F634" s="56"/>
      <c r="G634" s="56"/>
      <c r="H634" s="56"/>
      <c r="I634" s="56"/>
      <c r="J634" s="56"/>
      <c r="K634" s="56"/>
      <c r="L634" s="56"/>
      <c r="M634" s="56"/>
      <c r="N634" s="56"/>
      <c r="O634" s="59"/>
      <c r="P634" s="56"/>
      <c r="Q634" s="56"/>
      <c r="R634" s="56"/>
      <c r="S634" s="57"/>
      <c r="T634" s="56"/>
      <c r="U634" s="56"/>
      <c r="V634" s="56"/>
      <c r="W634" s="57"/>
      <c r="X634" s="51"/>
      <c r="Y634" s="51"/>
      <c r="Z634" s="51"/>
      <c r="AA634" s="51"/>
      <c r="AB634" s="51"/>
      <c r="AC634" s="51"/>
    </row>
    <row r="635" ht="15.75" customHeight="1">
      <c r="A635" s="56"/>
      <c r="B635" s="57"/>
      <c r="C635" s="58"/>
      <c r="D635" s="56"/>
      <c r="E635" s="56"/>
      <c r="F635" s="56"/>
      <c r="G635" s="56"/>
      <c r="H635" s="56"/>
      <c r="I635" s="56"/>
      <c r="J635" s="56"/>
      <c r="K635" s="56"/>
      <c r="L635" s="56"/>
      <c r="M635" s="56"/>
      <c r="N635" s="56"/>
      <c r="O635" s="59"/>
      <c r="P635" s="56"/>
      <c r="Q635" s="56"/>
      <c r="R635" s="56"/>
      <c r="S635" s="57"/>
      <c r="T635" s="56"/>
      <c r="U635" s="56"/>
      <c r="V635" s="56"/>
      <c r="W635" s="57"/>
      <c r="X635" s="51"/>
      <c r="Y635" s="51"/>
      <c r="Z635" s="51"/>
      <c r="AA635" s="51"/>
      <c r="AB635" s="51"/>
      <c r="AC635" s="51"/>
    </row>
    <row r="636" ht="15.75" customHeight="1">
      <c r="A636" s="56"/>
      <c r="B636" s="57"/>
      <c r="C636" s="58"/>
      <c r="D636" s="56"/>
      <c r="E636" s="56"/>
      <c r="F636" s="56"/>
      <c r="G636" s="56"/>
      <c r="H636" s="56"/>
      <c r="I636" s="56"/>
      <c r="J636" s="56"/>
      <c r="K636" s="56"/>
      <c r="L636" s="56"/>
      <c r="M636" s="56"/>
      <c r="N636" s="56"/>
      <c r="O636" s="59"/>
      <c r="P636" s="56"/>
      <c r="Q636" s="56"/>
      <c r="R636" s="56"/>
      <c r="S636" s="57"/>
      <c r="T636" s="56"/>
      <c r="U636" s="56"/>
      <c r="V636" s="56"/>
      <c r="W636" s="57"/>
      <c r="X636" s="51"/>
      <c r="Y636" s="51"/>
      <c r="Z636" s="51"/>
      <c r="AA636" s="51"/>
      <c r="AB636" s="51"/>
      <c r="AC636" s="51"/>
    </row>
    <row r="637" ht="15.75" customHeight="1">
      <c r="A637" s="56"/>
      <c r="B637" s="57"/>
      <c r="C637" s="58"/>
      <c r="D637" s="56"/>
      <c r="E637" s="56"/>
      <c r="F637" s="56"/>
      <c r="G637" s="56"/>
      <c r="H637" s="56"/>
      <c r="I637" s="56"/>
      <c r="J637" s="56"/>
      <c r="K637" s="56"/>
      <c r="L637" s="56"/>
      <c r="M637" s="56"/>
      <c r="N637" s="56"/>
      <c r="O637" s="59"/>
      <c r="P637" s="56"/>
      <c r="Q637" s="56"/>
      <c r="R637" s="56"/>
      <c r="S637" s="57"/>
      <c r="T637" s="56"/>
      <c r="U637" s="56"/>
      <c r="V637" s="56"/>
      <c r="W637" s="57"/>
      <c r="X637" s="51"/>
      <c r="Y637" s="51"/>
      <c r="Z637" s="51"/>
      <c r="AA637" s="51"/>
      <c r="AB637" s="51"/>
      <c r="AC637" s="51"/>
    </row>
    <row r="638" ht="15.75" customHeight="1">
      <c r="A638" s="56"/>
      <c r="B638" s="57"/>
      <c r="C638" s="58"/>
      <c r="D638" s="56"/>
      <c r="E638" s="56"/>
      <c r="F638" s="56"/>
      <c r="G638" s="56"/>
      <c r="H638" s="56"/>
      <c r="I638" s="56"/>
      <c r="J638" s="56"/>
      <c r="K638" s="56"/>
      <c r="L638" s="56"/>
      <c r="M638" s="56"/>
      <c r="N638" s="56"/>
      <c r="O638" s="59"/>
      <c r="P638" s="56"/>
      <c r="Q638" s="56"/>
      <c r="R638" s="56"/>
      <c r="S638" s="57"/>
      <c r="T638" s="56"/>
      <c r="U638" s="56"/>
      <c r="V638" s="56"/>
      <c r="W638" s="57"/>
      <c r="X638" s="51"/>
      <c r="Y638" s="51"/>
      <c r="Z638" s="51"/>
      <c r="AA638" s="51"/>
      <c r="AB638" s="51"/>
      <c r="AC638" s="51"/>
    </row>
    <row r="639" ht="15.75" customHeight="1">
      <c r="A639" s="56"/>
      <c r="B639" s="57"/>
      <c r="C639" s="58"/>
      <c r="D639" s="56"/>
      <c r="E639" s="56"/>
      <c r="F639" s="56"/>
      <c r="G639" s="56"/>
      <c r="H639" s="56"/>
      <c r="I639" s="56"/>
      <c r="J639" s="56"/>
      <c r="K639" s="56"/>
      <c r="L639" s="56"/>
      <c r="M639" s="56"/>
      <c r="N639" s="56"/>
      <c r="O639" s="59"/>
      <c r="P639" s="56"/>
      <c r="Q639" s="56"/>
      <c r="R639" s="56"/>
      <c r="S639" s="57"/>
      <c r="T639" s="56"/>
      <c r="U639" s="56"/>
      <c r="V639" s="56"/>
      <c r="W639" s="57"/>
      <c r="X639" s="51"/>
      <c r="Y639" s="51"/>
      <c r="Z639" s="51"/>
      <c r="AA639" s="51"/>
      <c r="AB639" s="51"/>
      <c r="AC639" s="51"/>
    </row>
    <row r="640" ht="15.75" customHeight="1">
      <c r="A640" s="56"/>
      <c r="B640" s="57"/>
      <c r="C640" s="58"/>
      <c r="D640" s="56"/>
      <c r="E640" s="56"/>
      <c r="F640" s="56"/>
      <c r="G640" s="56"/>
      <c r="H640" s="56"/>
      <c r="I640" s="56"/>
      <c r="J640" s="56"/>
      <c r="K640" s="56"/>
      <c r="L640" s="56"/>
      <c r="M640" s="56"/>
      <c r="N640" s="56"/>
      <c r="O640" s="59"/>
      <c r="P640" s="56"/>
      <c r="Q640" s="56"/>
      <c r="R640" s="56"/>
      <c r="S640" s="57"/>
      <c r="T640" s="56"/>
      <c r="U640" s="56"/>
      <c r="V640" s="56"/>
      <c r="W640" s="57"/>
      <c r="X640" s="51"/>
      <c r="Y640" s="51"/>
      <c r="Z640" s="51"/>
      <c r="AA640" s="51"/>
      <c r="AB640" s="51"/>
      <c r="AC640" s="51"/>
    </row>
    <row r="641" ht="15.75" customHeight="1">
      <c r="A641" s="56"/>
      <c r="B641" s="57"/>
      <c r="C641" s="58"/>
      <c r="D641" s="56"/>
      <c r="E641" s="56"/>
      <c r="F641" s="56"/>
      <c r="G641" s="56"/>
      <c r="H641" s="56"/>
      <c r="I641" s="56"/>
      <c r="J641" s="56"/>
      <c r="K641" s="56"/>
      <c r="L641" s="56"/>
      <c r="M641" s="56"/>
      <c r="N641" s="56"/>
      <c r="O641" s="59"/>
      <c r="P641" s="56"/>
      <c r="Q641" s="56"/>
      <c r="R641" s="56"/>
      <c r="S641" s="57"/>
      <c r="T641" s="56"/>
      <c r="U641" s="56"/>
      <c r="V641" s="56"/>
      <c r="W641" s="57"/>
      <c r="X641" s="51"/>
      <c r="Y641" s="51"/>
      <c r="Z641" s="51"/>
      <c r="AA641" s="51"/>
      <c r="AB641" s="51"/>
      <c r="AC641" s="51"/>
    </row>
    <row r="642" ht="15.75" customHeight="1">
      <c r="A642" s="56"/>
      <c r="B642" s="57"/>
      <c r="C642" s="58"/>
      <c r="D642" s="56"/>
      <c r="E642" s="56"/>
      <c r="F642" s="56"/>
      <c r="G642" s="56"/>
      <c r="H642" s="56"/>
      <c r="I642" s="56"/>
      <c r="J642" s="56"/>
      <c r="K642" s="56"/>
      <c r="L642" s="56"/>
      <c r="M642" s="56"/>
      <c r="N642" s="56"/>
      <c r="O642" s="59"/>
      <c r="P642" s="56"/>
      <c r="Q642" s="56"/>
      <c r="R642" s="56"/>
      <c r="S642" s="57"/>
      <c r="T642" s="56"/>
      <c r="U642" s="56"/>
      <c r="V642" s="56"/>
      <c r="W642" s="57"/>
      <c r="X642" s="51"/>
      <c r="Y642" s="51"/>
      <c r="Z642" s="51"/>
      <c r="AA642" s="51"/>
      <c r="AB642" s="51"/>
      <c r="AC642" s="51"/>
    </row>
    <row r="643" ht="15.75" customHeight="1">
      <c r="A643" s="56"/>
      <c r="B643" s="57"/>
      <c r="C643" s="58"/>
      <c r="D643" s="56"/>
      <c r="E643" s="56"/>
      <c r="F643" s="56"/>
      <c r="G643" s="56"/>
      <c r="H643" s="56"/>
      <c r="I643" s="56"/>
      <c r="J643" s="56"/>
      <c r="K643" s="56"/>
      <c r="L643" s="56"/>
      <c r="M643" s="56"/>
      <c r="N643" s="56"/>
      <c r="O643" s="59"/>
      <c r="P643" s="56"/>
      <c r="Q643" s="56"/>
      <c r="R643" s="56"/>
      <c r="S643" s="57"/>
      <c r="T643" s="56"/>
      <c r="U643" s="56"/>
      <c r="V643" s="56"/>
      <c r="W643" s="57"/>
      <c r="X643" s="51"/>
      <c r="Y643" s="51"/>
      <c r="Z643" s="51"/>
      <c r="AA643" s="51"/>
      <c r="AB643" s="51"/>
      <c r="AC643" s="51"/>
    </row>
    <row r="644" ht="15.75" customHeight="1">
      <c r="A644" s="56"/>
      <c r="B644" s="57"/>
      <c r="C644" s="58"/>
      <c r="D644" s="56"/>
      <c r="E644" s="56"/>
      <c r="F644" s="56"/>
      <c r="G644" s="56"/>
      <c r="H644" s="56"/>
      <c r="I644" s="56"/>
      <c r="J644" s="56"/>
      <c r="K644" s="56"/>
      <c r="L644" s="56"/>
      <c r="M644" s="56"/>
      <c r="N644" s="56"/>
      <c r="O644" s="59"/>
      <c r="P644" s="56"/>
      <c r="Q644" s="56"/>
      <c r="R644" s="56"/>
      <c r="S644" s="57"/>
      <c r="T644" s="56"/>
      <c r="U644" s="56"/>
      <c r="V644" s="56"/>
      <c r="W644" s="57"/>
      <c r="X644" s="51"/>
      <c r="Y644" s="51"/>
      <c r="Z644" s="51"/>
      <c r="AA644" s="51"/>
      <c r="AB644" s="51"/>
      <c r="AC644" s="51"/>
    </row>
    <row r="645" ht="15.75" customHeight="1">
      <c r="A645" s="56"/>
      <c r="B645" s="57"/>
      <c r="C645" s="58"/>
      <c r="D645" s="56"/>
      <c r="E645" s="56"/>
      <c r="F645" s="56"/>
      <c r="G645" s="56"/>
      <c r="H645" s="56"/>
      <c r="I645" s="56"/>
      <c r="J645" s="56"/>
      <c r="K645" s="56"/>
      <c r="L645" s="56"/>
      <c r="M645" s="56"/>
      <c r="N645" s="56"/>
      <c r="O645" s="59"/>
      <c r="P645" s="56"/>
      <c r="Q645" s="56"/>
      <c r="R645" s="56"/>
      <c r="S645" s="57"/>
      <c r="T645" s="56"/>
      <c r="U645" s="56"/>
      <c r="V645" s="56"/>
      <c r="W645" s="57"/>
      <c r="X645" s="51"/>
      <c r="Y645" s="51"/>
      <c r="Z645" s="51"/>
      <c r="AA645" s="51"/>
      <c r="AB645" s="51"/>
      <c r="AC645" s="51"/>
    </row>
    <row r="646" ht="15.75" customHeight="1">
      <c r="A646" s="56"/>
      <c r="B646" s="57"/>
      <c r="C646" s="58"/>
      <c r="D646" s="56"/>
      <c r="E646" s="56"/>
      <c r="F646" s="56"/>
      <c r="G646" s="56"/>
      <c r="H646" s="56"/>
      <c r="I646" s="56"/>
      <c r="J646" s="56"/>
      <c r="K646" s="56"/>
      <c r="L646" s="56"/>
      <c r="M646" s="56"/>
      <c r="N646" s="56"/>
      <c r="O646" s="59"/>
      <c r="P646" s="56"/>
      <c r="Q646" s="56"/>
      <c r="R646" s="56"/>
      <c r="S646" s="57"/>
      <c r="T646" s="56"/>
      <c r="U646" s="56"/>
      <c r="V646" s="56"/>
      <c r="W646" s="57"/>
      <c r="X646" s="51"/>
      <c r="Y646" s="51"/>
      <c r="Z646" s="51"/>
      <c r="AA646" s="51"/>
      <c r="AB646" s="51"/>
      <c r="AC646" s="51"/>
    </row>
    <row r="647" ht="15.75" customHeight="1">
      <c r="A647" s="56"/>
      <c r="B647" s="57"/>
      <c r="C647" s="58"/>
      <c r="D647" s="56"/>
      <c r="E647" s="56"/>
      <c r="F647" s="56"/>
      <c r="G647" s="56"/>
      <c r="H647" s="56"/>
      <c r="I647" s="56"/>
      <c r="J647" s="56"/>
      <c r="K647" s="56"/>
      <c r="L647" s="56"/>
      <c r="M647" s="56"/>
      <c r="N647" s="56"/>
      <c r="O647" s="59"/>
      <c r="P647" s="56"/>
      <c r="Q647" s="56"/>
      <c r="R647" s="56"/>
      <c r="S647" s="57"/>
      <c r="T647" s="56"/>
      <c r="U647" s="56"/>
      <c r="V647" s="56"/>
      <c r="W647" s="57"/>
      <c r="X647" s="51"/>
      <c r="Y647" s="51"/>
      <c r="Z647" s="51"/>
      <c r="AA647" s="51"/>
      <c r="AB647" s="51"/>
      <c r="AC647" s="51"/>
    </row>
    <row r="648" ht="15.75" customHeight="1">
      <c r="A648" s="56"/>
      <c r="B648" s="57"/>
      <c r="C648" s="58"/>
      <c r="D648" s="56"/>
      <c r="E648" s="56"/>
      <c r="F648" s="56"/>
      <c r="G648" s="56"/>
      <c r="H648" s="56"/>
      <c r="I648" s="56"/>
      <c r="J648" s="56"/>
      <c r="K648" s="56"/>
      <c r="L648" s="56"/>
      <c r="M648" s="56"/>
      <c r="N648" s="56"/>
      <c r="O648" s="59"/>
      <c r="P648" s="56"/>
      <c r="Q648" s="56"/>
      <c r="R648" s="56"/>
      <c r="S648" s="57"/>
      <c r="T648" s="56"/>
      <c r="U648" s="56"/>
      <c r="V648" s="56"/>
      <c r="W648" s="57"/>
      <c r="X648" s="51"/>
      <c r="Y648" s="51"/>
      <c r="Z648" s="51"/>
      <c r="AA648" s="51"/>
      <c r="AB648" s="51"/>
      <c r="AC648" s="51"/>
    </row>
    <row r="649" ht="15.75" customHeight="1">
      <c r="A649" s="56"/>
      <c r="B649" s="57"/>
      <c r="C649" s="58"/>
      <c r="D649" s="56"/>
      <c r="E649" s="56"/>
      <c r="F649" s="56"/>
      <c r="G649" s="56"/>
      <c r="H649" s="56"/>
      <c r="I649" s="56"/>
      <c r="J649" s="56"/>
      <c r="K649" s="56"/>
      <c r="L649" s="56"/>
      <c r="M649" s="56"/>
      <c r="N649" s="56"/>
      <c r="O649" s="59"/>
      <c r="P649" s="56"/>
      <c r="Q649" s="56"/>
      <c r="R649" s="56"/>
      <c r="S649" s="57"/>
      <c r="T649" s="56"/>
      <c r="U649" s="56"/>
      <c r="V649" s="56"/>
      <c r="W649" s="57"/>
      <c r="X649" s="51"/>
      <c r="Y649" s="51"/>
      <c r="Z649" s="51"/>
      <c r="AA649" s="51"/>
      <c r="AB649" s="51"/>
      <c r="AC649" s="51"/>
    </row>
    <row r="650" ht="15.75" customHeight="1">
      <c r="A650" s="56"/>
      <c r="B650" s="57"/>
      <c r="C650" s="58"/>
      <c r="D650" s="56"/>
      <c r="E650" s="56"/>
      <c r="F650" s="56"/>
      <c r="G650" s="56"/>
      <c r="H650" s="56"/>
      <c r="I650" s="56"/>
      <c r="J650" s="56"/>
      <c r="K650" s="56"/>
      <c r="L650" s="56"/>
      <c r="M650" s="56"/>
      <c r="N650" s="56"/>
      <c r="O650" s="59"/>
      <c r="P650" s="56"/>
      <c r="Q650" s="56"/>
      <c r="R650" s="56"/>
      <c r="S650" s="57"/>
      <c r="T650" s="56"/>
      <c r="U650" s="56"/>
      <c r="V650" s="56"/>
      <c r="W650" s="57"/>
      <c r="X650" s="51"/>
      <c r="Y650" s="51"/>
      <c r="Z650" s="51"/>
      <c r="AA650" s="51"/>
      <c r="AB650" s="51"/>
      <c r="AC650" s="51"/>
    </row>
    <row r="651" ht="15.75" customHeight="1">
      <c r="A651" s="56"/>
      <c r="B651" s="57"/>
      <c r="C651" s="58"/>
      <c r="D651" s="56"/>
      <c r="E651" s="56"/>
      <c r="F651" s="56"/>
      <c r="G651" s="56"/>
      <c r="H651" s="56"/>
      <c r="I651" s="56"/>
      <c r="J651" s="56"/>
      <c r="K651" s="56"/>
      <c r="L651" s="56"/>
      <c r="M651" s="56"/>
      <c r="N651" s="56"/>
      <c r="O651" s="59"/>
      <c r="P651" s="56"/>
      <c r="Q651" s="56"/>
      <c r="R651" s="56"/>
      <c r="S651" s="57"/>
      <c r="T651" s="56"/>
      <c r="U651" s="56"/>
      <c r="V651" s="56"/>
      <c r="W651" s="57"/>
      <c r="X651" s="51"/>
      <c r="Y651" s="51"/>
      <c r="Z651" s="51"/>
      <c r="AA651" s="51"/>
      <c r="AB651" s="51"/>
      <c r="AC651" s="51"/>
    </row>
    <row r="652" ht="15.75" customHeight="1">
      <c r="A652" s="56"/>
      <c r="B652" s="57"/>
      <c r="C652" s="58"/>
      <c r="D652" s="56"/>
      <c r="E652" s="56"/>
      <c r="F652" s="56"/>
      <c r="G652" s="56"/>
      <c r="H652" s="56"/>
      <c r="I652" s="56"/>
      <c r="J652" s="56"/>
      <c r="K652" s="56"/>
      <c r="L652" s="56"/>
      <c r="M652" s="56"/>
      <c r="N652" s="56"/>
      <c r="O652" s="59"/>
      <c r="P652" s="56"/>
      <c r="Q652" s="56"/>
      <c r="R652" s="56"/>
      <c r="S652" s="57"/>
      <c r="T652" s="56"/>
      <c r="U652" s="56"/>
      <c r="V652" s="56"/>
      <c r="W652" s="57"/>
      <c r="X652" s="51"/>
      <c r="Y652" s="51"/>
      <c r="Z652" s="51"/>
      <c r="AA652" s="51"/>
      <c r="AB652" s="51"/>
      <c r="AC652" s="51"/>
    </row>
    <row r="653" ht="15.75" customHeight="1">
      <c r="A653" s="56"/>
      <c r="B653" s="57"/>
      <c r="C653" s="58"/>
      <c r="D653" s="56"/>
      <c r="E653" s="56"/>
      <c r="F653" s="56"/>
      <c r="G653" s="56"/>
      <c r="H653" s="56"/>
      <c r="I653" s="56"/>
      <c r="J653" s="56"/>
      <c r="K653" s="56"/>
      <c r="L653" s="56"/>
      <c r="M653" s="56"/>
      <c r="N653" s="56"/>
      <c r="O653" s="59"/>
      <c r="P653" s="56"/>
      <c r="Q653" s="56"/>
      <c r="R653" s="56"/>
      <c r="S653" s="57"/>
      <c r="T653" s="56"/>
      <c r="U653" s="56"/>
      <c r="V653" s="56"/>
      <c r="W653" s="57"/>
      <c r="X653" s="51"/>
      <c r="Y653" s="51"/>
      <c r="Z653" s="51"/>
      <c r="AA653" s="51"/>
      <c r="AB653" s="51"/>
      <c r="AC653" s="51"/>
    </row>
    <row r="654" ht="15.75" customHeight="1">
      <c r="A654" s="56"/>
      <c r="B654" s="57"/>
      <c r="C654" s="58"/>
      <c r="D654" s="56"/>
      <c r="E654" s="56"/>
      <c r="F654" s="56"/>
      <c r="G654" s="56"/>
      <c r="H654" s="56"/>
      <c r="I654" s="56"/>
      <c r="J654" s="56"/>
      <c r="K654" s="56"/>
      <c r="L654" s="56"/>
      <c r="M654" s="56"/>
      <c r="N654" s="56"/>
      <c r="O654" s="59"/>
      <c r="P654" s="56"/>
      <c r="Q654" s="56"/>
      <c r="R654" s="56"/>
      <c r="S654" s="57"/>
      <c r="T654" s="56"/>
      <c r="U654" s="56"/>
      <c r="V654" s="56"/>
      <c r="W654" s="57"/>
      <c r="X654" s="51"/>
      <c r="Y654" s="51"/>
      <c r="Z654" s="51"/>
      <c r="AA654" s="51"/>
      <c r="AB654" s="51"/>
      <c r="AC654" s="51"/>
    </row>
    <row r="655" ht="15.75" customHeight="1">
      <c r="A655" s="56"/>
      <c r="B655" s="57"/>
      <c r="C655" s="58"/>
      <c r="D655" s="56"/>
      <c r="E655" s="56"/>
      <c r="F655" s="56"/>
      <c r="G655" s="56"/>
      <c r="H655" s="56"/>
      <c r="I655" s="56"/>
      <c r="J655" s="56"/>
      <c r="K655" s="56"/>
      <c r="L655" s="56"/>
      <c r="M655" s="56"/>
      <c r="N655" s="56"/>
      <c r="O655" s="59"/>
      <c r="P655" s="56"/>
      <c r="Q655" s="56"/>
      <c r="R655" s="56"/>
      <c r="S655" s="57"/>
      <c r="T655" s="56"/>
      <c r="U655" s="56"/>
      <c r="V655" s="56"/>
      <c r="W655" s="57"/>
      <c r="X655" s="51"/>
      <c r="Y655" s="51"/>
      <c r="Z655" s="51"/>
      <c r="AA655" s="51"/>
      <c r="AB655" s="51"/>
      <c r="AC655" s="51"/>
    </row>
    <row r="656" ht="15.75" customHeight="1">
      <c r="A656" s="56"/>
      <c r="B656" s="57"/>
      <c r="C656" s="58"/>
      <c r="D656" s="56"/>
      <c r="E656" s="56"/>
      <c r="F656" s="56"/>
      <c r="G656" s="56"/>
      <c r="H656" s="56"/>
      <c r="I656" s="56"/>
      <c r="J656" s="56"/>
      <c r="K656" s="56"/>
      <c r="L656" s="56"/>
      <c r="M656" s="56"/>
      <c r="N656" s="56"/>
      <c r="O656" s="59"/>
      <c r="P656" s="56"/>
      <c r="Q656" s="56"/>
      <c r="R656" s="56"/>
      <c r="S656" s="57"/>
      <c r="T656" s="56"/>
      <c r="U656" s="56"/>
      <c r="V656" s="56"/>
      <c r="W656" s="57"/>
      <c r="X656" s="51"/>
      <c r="Y656" s="51"/>
      <c r="Z656" s="51"/>
      <c r="AA656" s="51"/>
      <c r="AB656" s="51"/>
      <c r="AC656" s="51"/>
    </row>
    <row r="657" ht="15.75" customHeight="1">
      <c r="A657" s="56"/>
      <c r="B657" s="57"/>
      <c r="C657" s="58"/>
      <c r="D657" s="56"/>
      <c r="E657" s="56"/>
      <c r="F657" s="56"/>
      <c r="G657" s="56"/>
      <c r="H657" s="56"/>
      <c r="I657" s="56"/>
      <c r="J657" s="56"/>
      <c r="K657" s="56"/>
      <c r="L657" s="56"/>
      <c r="M657" s="56"/>
      <c r="N657" s="56"/>
      <c r="O657" s="59"/>
      <c r="P657" s="56"/>
      <c r="Q657" s="56"/>
      <c r="R657" s="56"/>
      <c r="S657" s="57"/>
      <c r="T657" s="56"/>
      <c r="U657" s="56"/>
      <c r="V657" s="56"/>
      <c r="W657" s="57"/>
      <c r="X657" s="51"/>
      <c r="Y657" s="51"/>
      <c r="Z657" s="51"/>
      <c r="AA657" s="51"/>
      <c r="AB657" s="51"/>
      <c r="AC657" s="51"/>
    </row>
    <row r="658" ht="15.75" customHeight="1">
      <c r="A658" s="56"/>
      <c r="B658" s="57"/>
      <c r="C658" s="58"/>
      <c r="D658" s="56"/>
      <c r="E658" s="56"/>
      <c r="F658" s="56"/>
      <c r="G658" s="56"/>
      <c r="H658" s="56"/>
      <c r="I658" s="56"/>
      <c r="J658" s="56"/>
      <c r="K658" s="56"/>
      <c r="L658" s="56"/>
      <c r="M658" s="56"/>
      <c r="N658" s="56"/>
      <c r="O658" s="59"/>
      <c r="P658" s="56"/>
      <c r="Q658" s="56"/>
      <c r="R658" s="56"/>
      <c r="S658" s="57"/>
      <c r="T658" s="56"/>
      <c r="U658" s="56"/>
      <c r="V658" s="56"/>
      <c r="W658" s="57"/>
      <c r="X658" s="51"/>
      <c r="Y658" s="51"/>
      <c r="Z658" s="51"/>
      <c r="AA658" s="51"/>
      <c r="AB658" s="51"/>
      <c r="AC658" s="51"/>
    </row>
    <row r="659" ht="15.75" customHeight="1">
      <c r="A659" s="56"/>
      <c r="B659" s="57"/>
      <c r="C659" s="58"/>
      <c r="D659" s="56"/>
      <c r="E659" s="56"/>
      <c r="F659" s="56"/>
      <c r="G659" s="56"/>
      <c r="H659" s="56"/>
      <c r="I659" s="56"/>
      <c r="J659" s="56"/>
      <c r="K659" s="56"/>
      <c r="L659" s="56"/>
      <c r="M659" s="56"/>
      <c r="N659" s="56"/>
      <c r="O659" s="59"/>
      <c r="P659" s="56"/>
      <c r="Q659" s="56"/>
      <c r="R659" s="56"/>
      <c r="S659" s="57"/>
      <c r="T659" s="56"/>
      <c r="U659" s="56"/>
      <c r="V659" s="56"/>
      <c r="W659" s="57"/>
      <c r="X659" s="51"/>
      <c r="Y659" s="51"/>
      <c r="Z659" s="51"/>
      <c r="AA659" s="51"/>
      <c r="AB659" s="51"/>
      <c r="AC659" s="51"/>
    </row>
    <row r="660" ht="15.75" customHeight="1">
      <c r="A660" s="56"/>
      <c r="B660" s="57"/>
      <c r="C660" s="58"/>
      <c r="D660" s="56"/>
      <c r="E660" s="56"/>
      <c r="F660" s="56"/>
      <c r="G660" s="56"/>
      <c r="H660" s="56"/>
      <c r="I660" s="56"/>
      <c r="J660" s="56"/>
      <c r="K660" s="56"/>
      <c r="L660" s="56"/>
      <c r="M660" s="56"/>
      <c r="N660" s="56"/>
      <c r="O660" s="59"/>
      <c r="P660" s="56"/>
      <c r="Q660" s="56"/>
      <c r="R660" s="56"/>
      <c r="S660" s="57"/>
      <c r="T660" s="56"/>
      <c r="U660" s="56"/>
      <c r="V660" s="56"/>
      <c r="W660" s="57"/>
      <c r="X660" s="51"/>
      <c r="Y660" s="51"/>
      <c r="Z660" s="51"/>
      <c r="AA660" s="51"/>
      <c r="AB660" s="51"/>
      <c r="AC660" s="51"/>
    </row>
    <row r="661" ht="15.75" customHeight="1">
      <c r="A661" s="56"/>
      <c r="B661" s="57"/>
      <c r="C661" s="58"/>
      <c r="D661" s="56"/>
      <c r="E661" s="56"/>
      <c r="F661" s="56"/>
      <c r="G661" s="56"/>
      <c r="H661" s="56"/>
      <c r="I661" s="56"/>
      <c r="J661" s="56"/>
      <c r="K661" s="56"/>
      <c r="L661" s="56"/>
      <c r="M661" s="56"/>
      <c r="N661" s="56"/>
      <c r="O661" s="59"/>
      <c r="P661" s="56"/>
      <c r="Q661" s="56"/>
      <c r="R661" s="56"/>
      <c r="S661" s="57"/>
      <c r="T661" s="56"/>
      <c r="U661" s="56"/>
      <c r="V661" s="56"/>
      <c r="W661" s="57"/>
      <c r="X661" s="51"/>
      <c r="Y661" s="51"/>
      <c r="Z661" s="51"/>
      <c r="AA661" s="51"/>
      <c r="AB661" s="51"/>
      <c r="AC661" s="51"/>
    </row>
    <row r="662" ht="15.75" customHeight="1">
      <c r="A662" s="56"/>
      <c r="B662" s="57"/>
      <c r="C662" s="58"/>
      <c r="D662" s="56"/>
      <c r="E662" s="56"/>
      <c r="F662" s="56"/>
      <c r="G662" s="56"/>
      <c r="H662" s="56"/>
      <c r="I662" s="56"/>
      <c r="J662" s="56"/>
      <c r="K662" s="56"/>
      <c r="L662" s="56"/>
      <c r="M662" s="56"/>
      <c r="N662" s="56"/>
      <c r="O662" s="59"/>
      <c r="P662" s="56"/>
      <c r="Q662" s="56"/>
      <c r="R662" s="56"/>
      <c r="S662" s="57"/>
      <c r="T662" s="56"/>
      <c r="U662" s="56"/>
      <c r="V662" s="56"/>
      <c r="W662" s="57"/>
      <c r="X662" s="51"/>
      <c r="Y662" s="51"/>
      <c r="Z662" s="51"/>
      <c r="AA662" s="51"/>
      <c r="AB662" s="51"/>
      <c r="AC662" s="51"/>
    </row>
    <row r="663" ht="15.75" customHeight="1">
      <c r="A663" s="56"/>
      <c r="B663" s="57"/>
      <c r="C663" s="58"/>
      <c r="D663" s="56"/>
      <c r="E663" s="56"/>
      <c r="F663" s="56"/>
      <c r="G663" s="56"/>
      <c r="H663" s="56"/>
      <c r="I663" s="56"/>
      <c r="J663" s="56"/>
      <c r="K663" s="56"/>
      <c r="L663" s="56"/>
      <c r="M663" s="56"/>
      <c r="N663" s="56"/>
      <c r="O663" s="59"/>
      <c r="P663" s="56"/>
      <c r="Q663" s="56"/>
      <c r="R663" s="56"/>
      <c r="S663" s="57"/>
      <c r="T663" s="56"/>
      <c r="U663" s="56"/>
      <c r="V663" s="56"/>
      <c r="W663" s="57"/>
      <c r="X663" s="51"/>
      <c r="Y663" s="51"/>
      <c r="Z663" s="51"/>
      <c r="AA663" s="51"/>
      <c r="AB663" s="51"/>
      <c r="AC663" s="51"/>
    </row>
    <row r="664" ht="15.75" customHeight="1">
      <c r="A664" s="56"/>
      <c r="B664" s="57"/>
      <c r="C664" s="58"/>
      <c r="D664" s="56"/>
      <c r="E664" s="56"/>
      <c r="F664" s="56"/>
      <c r="G664" s="56"/>
      <c r="H664" s="56"/>
      <c r="I664" s="56"/>
      <c r="J664" s="56"/>
      <c r="K664" s="56"/>
      <c r="L664" s="56"/>
      <c r="M664" s="56"/>
      <c r="N664" s="56"/>
      <c r="O664" s="59"/>
      <c r="P664" s="56"/>
      <c r="Q664" s="56"/>
      <c r="R664" s="56"/>
      <c r="S664" s="57"/>
      <c r="T664" s="56"/>
      <c r="U664" s="56"/>
      <c r="V664" s="56"/>
      <c r="W664" s="57"/>
      <c r="X664" s="51"/>
      <c r="Y664" s="51"/>
      <c r="Z664" s="51"/>
      <c r="AA664" s="51"/>
      <c r="AB664" s="51"/>
      <c r="AC664" s="51"/>
    </row>
    <row r="665" ht="15.75" customHeight="1">
      <c r="A665" s="56"/>
      <c r="B665" s="57"/>
      <c r="C665" s="58"/>
      <c r="D665" s="56"/>
      <c r="E665" s="56"/>
      <c r="F665" s="56"/>
      <c r="G665" s="56"/>
      <c r="H665" s="56"/>
      <c r="I665" s="56"/>
      <c r="J665" s="56"/>
      <c r="K665" s="56"/>
      <c r="L665" s="56"/>
      <c r="M665" s="56"/>
      <c r="N665" s="56"/>
      <c r="O665" s="59"/>
      <c r="P665" s="56"/>
      <c r="Q665" s="56"/>
      <c r="R665" s="56"/>
      <c r="S665" s="57"/>
      <c r="T665" s="56"/>
      <c r="U665" s="56"/>
      <c r="V665" s="56"/>
      <c r="W665" s="57"/>
      <c r="X665" s="51"/>
      <c r="Y665" s="51"/>
      <c r="Z665" s="51"/>
      <c r="AA665" s="51"/>
      <c r="AB665" s="51"/>
      <c r="AC665" s="51"/>
    </row>
    <row r="666" ht="15.75" customHeight="1">
      <c r="A666" s="56"/>
      <c r="B666" s="57"/>
      <c r="C666" s="58"/>
      <c r="D666" s="56"/>
      <c r="E666" s="56"/>
      <c r="F666" s="56"/>
      <c r="G666" s="56"/>
      <c r="H666" s="56"/>
      <c r="I666" s="56"/>
      <c r="J666" s="56"/>
      <c r="K666" s="56"/>
      <c r="L666" s="56"/>
      <c r="M666" s="56"/>
      <c r="N666" s="56"/>
      <c r="O666" s="59"/>
      <c r="P666" s="56"/>
      <c r="Q666" s="56"/>
      <c r="R666" s="56"/>
      <c r="S666" s="57"/>
      <c r="T666" s="56"/>
      <c r="U666" s="56"/>
      <c r="V666" s="56"/>
      <c r="W666" s="57"/>
      <c r="X666" s="51"/>
      <c r="Y666" s="51"/>
      <c r="Z666" s="51"/>
      <c r="AA666" s="51"/>
      <c r="AB666" s="51"/>
      <c r="AC666" s="51"/>
    </row>
    <row r="667" ht="15.75" customHeight="1">
      <c r="A667" s="56"/>
      <c r="B667" s="57"/>
      <c r="C667" s="58"/>
      <c r="D667" s="56"/>
      <c r="E667" s="56"/>
      <c r="F667" s="56"/>
      <c r="G667" s="56"/>
      <c r="H667" s="56"/>
      <c r="I667" s="56"/>
      <c r="J667" s="56"/>
      <c r="K667" s="56"/>
      <c r="L667" s="56"/>
      <c r="M667" s="56"/>
      <c r="N667" s="56"/>
      <c r="O667" s="59"/>
      <c r="P667" s="56"/>
      <c r="Q667" s="56"/>
      <c r="R667" s="56"/>
      <c r="S667" s="57"/>
      <c r="T667" s="56"/>
      <c r="U667" s="56"/>
      <c r="V667" s="56"/>
      <c r="W667" s="57"/>
      <c r="X667" s="51"/>
      <c r="Y667" s="51"/>
      <c r="Z667" s="51"/>
      <c r="AA667" s="51"/>
      <c r="AB667" s="51"/>
      <c r="AC667" s="51"/>
    </row>
    <row r="668" ht="15.75" customHeight="1">
      <c r="A668" s="56"/>
      <c r="B668" s="57"/>
      <c r="C668" s="58"/>
      <c r="D668" s="56"/>
      <c r="E668" s="56"/>
      <c r="F668" s="56"/>
      <c r="G668" s="56"/>
      <c r="H668" s="56"/>
      <c r="I668" s="56"/>
      <c r="J668" s="56"/>
      <c r="K668" s="56"/>
      <c r="L668" s="56"/>
      <c r="M668" s="56"/>
      <c r="N668" s="56"/>
      <c r="O668" s="59"/>
      <c r="P668" s="56"/>
      <c r="Q668" s="56"/>
      <c r="R668" s="56"/>
      <c r="S668" s="57"/>
      <c r="T668" s="56"/>
      <c r="U668" s="56"/>
      <c r="V668" s="56"/>
      <c r="W668" s="57"/>
      <c r="X668" s="51"/>
      <c r="Y668" s="51"/>
      <c r="Z668" s="51"/>
      <c r="AA668" s="51"/>
      <c r="AB668" s="51"/>
      <c r="AC668" s="51"/>
    </row>
    <row r="669" ht="15.75" customHeight="1">
      <c r="A669" s="56"/>
      <c r="B669" s="57"/>
      <c r="C669" s="58"/>
      <c r="D669" s="56"/>
      <c r="E669" s="56"/>
      <c r="F669" s="56"/>
      <c r="G669" s="56"/>
      <c r="H669" s="56"/>
      <c r="I669" s="56"/>
      <c r="J669" s="56"/>
      <c r="K669" s="56"/>
      <c r="L669" s="56"/>
      <c r="M669" s="56"/>
      <c r="N669" s="56"/>
      <c r="O669" s="59"/>
      <c r="P669" s="56"/>
      <c r="Q669" s="56"/>
      <c r="R669" s="56"/>
      <c r="S669" s="57"/>
      <c r="T669" s="56"/>
      <c r="U669" s="56"/>
      <c r="V669" s="56"/>
      <c r="W669" s="57"/>
      <c r="X669" s="51"/>
      <c r="Y669" s="51"/>
      <c r="Z669" s="51"/>
      <c r="AA669" s="51"/>
      <c r="AB669" s="51"/>
      <c r="AC669" s="51"/>
    </row>
    <row r="670" ht="15.75" customHeight="1">
      <c r="A670" s="56"/>
      <c r="B670" s="57"/>
      <c r="C670" s="58"/>
      <c r="D670" s="56"/>
      <c r="E670" s="56"/>
      <c r="F670" s="56"/>
      <c r="G670" s="56"/>
      <c r="H670" s="56"/>
      <c r="I670" s="56"/>
      <c r="J670" s="56"/>
      <c r="K670" s="56"/>
      <c r="L670" s="56"/>
      <c r="M670" s="56"/>
      <c r="N670" s="56"/>
      <c r="O670" s="59"/>
      <c r="P670" s="56"/>
      <c r="Q670" s="56"/>
      <c r="R670" s="56"/>
      <c r="S670" s="57"/>
      <c r="T670" s="56"/>
      <c r="U670" s="56"/>
      <c r="V670" s="56"/>
      <c r="W670" s="57"/>
      <c r="X670" s="51"/>
      <c r="Y670" s="51"/>
      <c r="Z670" s="51"/>
      <c r="AA670" s="51"/>
      <c r="AB670" s="51"/>
      <c r="AC670" s="51"/>
    </row>
    <row r="671" ht="15.75" customHeight="1">
      <c r="A671" s="56"/>
      <c r="B671" s="57"/>
      <c r="C671" s="58"/>
      <c r="D671" s="56"/>
      <c r="E671" s="56"/>
      <c r="F671" s="56"/>
      <c r="G671" s="56"/>
      <c r="H671" s="56"/>
      <c r="I671" s="56"/>
      <c r="J671" s="56"/>
      <c r="K671" s="56"/>
      <c r="L671" s="56"/>
      <c r="M671" s="56"/>
      <c r="N671" s="56"/>
      <c r="O671" s="59"/>
      <c r="P671" s="56"/>
      <c r="Q671" s="56"/>
      <c r="R671" s="56"/>
      <c r="S671" s="57"/>
      <c r="T671" s="56"/>
      <c r="U671" s="56"/>
      <c r="V671" s="56"/>
      <c r="W671" s="57"/>
      <c r="X671" s="51"/>
      <c r="Y671" s="51"/>
      <c r="Z671" s="51"/>
      <c r="AA671" s="51"/>
      <c r="AB671" s="51"/>
      <c r="AC671" s="51"/>
    </row>
    <row r="672" ht="15.75" customHeight="1">
      <c r="A672" s="56"/>
      <c r="B672" s="57"/>
      <c r="C672" s="58"/>
      <c r="D672" s="56"/>
      <c r="E672" s="56"/>
      <c r="F672" s="56"/>
      <c r="G672" s="56"/>
      <c r="H672" s="56"/>
      <c r="I672" s="56"/>
      <c r="J672" s="56"/>
      <c r="K672" s="56"/>
      <c r="L672" s="56"/>
      <c r="M672" s="56"/>
      <c r="N672" s="56"/>
      <c r="O672" s="59"/>
      <c r="P672" s="56"/>
      <c r="Q672" s="56"/>
      <c r="R672" s="56"/>
      <c r="S672" s="57"/>
      <c r="T672" s="56"/>
      <c r="U672" s="56"/>
      <c r="V672" s="56"/>
      <c r="W672" s="57"/>
      <c r="X672" s="51"/>
      <c r="Y672" s="51"/>
      <c r="Z672" s="51"/>
      <c r="AA672" s="51"/>
      <c r="AB672" s="51"/>
      <c r="AC672" s="51"/>
    </row>
    <row r="673" ht="15.75" customHeight="1">
      <c r="A673" s="56"/>
      <c r="B673" s="57"/>
      <c r="C673" s="58"/>
      <c r="D673" s="56"/>
      <c r="E673" s="56"/>
      <c r="F673" s="56"/>
      <c r="G673" s="56"/>
      <c r="H673" s="56"/>
      <c r="I673" s="56"/>
      <c r="J673" s="56"/>
      <c r="K673" s="56"/>
      <c r="L673" s="56"/>
      <c r="M673" s="56"/>
      <c r="N673" s="56"/>
      <c r="O673" s="59"/>
      <c r="P673" s="56"/>
      <c r="Q673" s="56"/>
      <c r="R673" s="56"/>
      <c r="S673" s="57"/>
      <c r="T673" s="56"/>
      <c r="U673" s="56"/>
      <c r="V673" s="56"/>
      <c r="W673" s="57"/>
      <c r="X673" s="51"/>
      <c r="Y673" s="51"/>
      <c r="Z673" s="51"/>
      <c r="AA673" s="51"/>
      <c r="AB673" s="51"/>
      <c r="AC673" s="51"/>
    </row>
    <row r="674" ht="15.75" customHeight="1">
      <c r="A674" s="56"/>
      <c r="B674" s="57"/>
      <c r="C674" s="58"/>
      <c r="D674" s="56"/>
      <c r="E674" s="56"/>
      <c r="F674" s="56"/>
      <c r="G674" s="56"/>
      <c r="H674" s="56"/>
      <c r="I674" s="56"/>
      <c r="J674" s="56"/>
      <c r="K674" s="56"/>
      <c r="L674" s="56"/>
      <c r="M674" s="56"/>
      <c r="N674" s="56"/>
      <c r="O674" s="59"/>
      <c r="P674" s="56"/>
      <c r="Q674" s="56"/>
      <c r="R674" s="56"/>
      <c r="S674" s="57"/>
      <c r="T674" s="56"/>
      <c r="U674" s="56"/>
      <c r="V674" s="56"/>
      <c r="W674" s="57"/>
      <c r="X674" s="51"/>
      <c r="Y674" s="51"/>
      <c r="Z674" s="51"/>
      <c r="AA674" s="51"/>
      <c r="AB674" s="51"/>
      <c r="AC674" s="51"/>
    </row>
    <row r="675" ht="15.75" customHeight="1">
      <c r="A675" s="56"/>
      <c r="B675" s="57"/>
      <c r="C675" s="58"/>
      <c r="D675" s="56"/>
      <c r="E675" s="56"/>
      <c r="F675" s="56"/>
      <c r="G675" s="56"/>
      <c r="H675" s="56"/>
      <c r="I675" s="56"/>
      <c r="J675" s="56"/>
      <c r="K675" s="56"/>
      <c r="L675" s="56"/>
      <c r="M675" s="56"/>
      <c r="N675" s="56"/>
      <c r="O675" s="59"/>
      <c r="P675" s="56"/>
      <c r="Q675" s="56"/>
      <c r="R675" s="56"/>
      <c r="S675" s="57"/>
      <c r="T675" s="56"/>
      <c r="U675" s="56"/>
      <c r="V675" s="56"/>
      <c r="W675" s="57"/>
      <c r="X675" s="51"/>
      <c r="Y675" s="51"/>
      <c r="Z675" s="51"/>
      <c r="AA675" s="51"/>
      <c r="AB675" s="51"/>
      <c r="AC675" s="51"/>
    </row>
    <row r="676" ht="15.75" customHeight="1">
      <c r="A676" s="56"/>
      <c r="B676" s="57"/>
      <c r="C676" s="58"/>
      <c r="D676" s="56"/>
      <c r="E676" s="56"/>
      <c r="F676" s="56"/>
      <c r="G676" s="56"/>
      <c r="H676" s="56"/>
      <c r="I676" s="56"/>
      <c r="J676" s="56"/>
      <c r="K676" s="56"/>
      <c r="L676" s="56"/>
      <c r="M676" s="56"/>
      <c r="N676" s="56"/>
      <c r="O676" s="59"/>
      <c r="P676" s="56"/>
      <c r="Q676" s="56"/>
      <c r="R676" s="56"/>
      <c r="S676" s="57"/>
      <c r="T676" s="56"/>
      <c r="U676" s="56"/>
      <c r="V676" s="56"/>
      <c r="W676" s="57"/>
      <c r="X676" s="51"/>
      <c r="Y676" s="51"/>
      <c r="Z676" s="51"/>
      <c r="AA676" s="51"/>
      <c r="AB676" s="51"/>
      <c r="AC676" s="51"/>
    </row>
    <row r="677" ht="15.75" customHeight="1">
      <c r="A677" s="56"/>
      <c r="B677" s="57"/>
      <c r="C677" s="58"/>
      <c r="D677" s="56"/>
      <c r="E677" s="56"/>
      <c r="F677" s="56"/>
      <c r="G677" s="56"/>
      <c r="H677" s="56"/>
      <c r="I677" s="56"/>
      <c r="J677" s="56"/>
      <c r="K677" s="56"/>
      <c r="L677" s="56"/>
      <c r="M677" s="56"/>
      <c r="N677" s="56"/>
      <c r="O677" s="59"/>
      <c r="P677" s="56"/>
      <c r="Q677" s="56"/>
      <c r="R677" s="56"/>
      <c r="S677" s="57"/>
      <c r="T677" s="56"/>
      <c r="U677" s="56"/>
      <c r="V677" s="56"/>
      <c r="W677" s="57"/>
      <c r="X677" s="51"/>
      <c r="Y677" s="51"/>
      <c r="Z677" s="51"/>
      <c r="AA677" s="51"/>
      <c r="AB677" s="51"/>
      <c r="AC677" s="51"/>
    </row>
    <row r="678" ht="15.75" customHeight="1">
      <c r="A678" s="56"/>
      <c r="B678" s="57"/>
      <c r="C678" s="58"/>
      <c r="D678" s="56"/>
      <c r="E678" s="56"/>
      <c r="F678" s="56"/>
      <c r="G678" s="56"/>
      <c r="H678" s="56"/>
      <c r="I678" s="56"/>
      <c r="J678" s="56"/>
      <c r="K678" s="56"/>
      <c r="L678" s="56"/>
      <c r="M678" s="56"/>
      <c r="N678" s="56"/>
      <c r="O678" s="59"/>
      <c r="P678" s="56"/>
      <c r="Q678" s="56"/>
      <c r="R678" s="56"/>
      <c r="S678" s="57"/>
      <c r="T678" s="56"/>
      <c r="U678" s="56"/>
      <c r="V678" s="56"/>
      <c r="W678" s="57"/>
      <c r="X678" s="51"/>
      <c r="Y678" s="51"/>
      <c r="Z678" s="51"/>
      <c r="AA678" s="51"/>
      <c r="AB678" s="51"/>
      <c r="AC678" s="51"/>
    </row>
    <row r="679" ht="15.75" customHeight="1">
      <c r="A679" s="56"/>
      <c r="B679" s="57"/>
      <c r="C679" s="58"/>
      <c r="D679" s="56"/>
      <c r="E679" s="56"/>
      <c r="F679" s="56"/>
      <c r="G679" s="56"/>
      <c r="H679" s="56"/>
      <c r="I679" s="56"/>
      <c r="J679" s="56"/>
      <c r="K679" s="56"/>
      <c r="L679" s="56"/>
      <c r="M679" s="56"/>
      <c r="N679" s="56"/>
      <c r="O679" s="59"/>
      <c r="P679" s="56"/>
      <c r="Q679" s="56"/>
      <c r="R679" s="56"/>
      <c r="S679" s="57"/>
      <c r="T679" s="56"/>
      <c r="U679" s="56"/>
      <c r="V679" s="56"/>
      <c r="W679" s="57"/>
      <c r="X679" s="51"/>
      <c r="Y679" s="51"/>
      <c r="Z679" s="51"/>
      <c r="AA679" s="51"/>
      <c r="AB679" s="51"/>
      <c r="AC679" s="51"/>
    </row>
    <row r="680" ht="15.75" customHeight="1">
      <c r="A680" s="56"/>
      <c r="B680" s="57"/>
      <c r="C680" s="58"/>
      <c r="D680" s="56"/>
      <c r="E680" s="56"/>
      <c r="F680" s="56"/>
      <c r="G680" s="56"/>
      <c r="H680" s="56"/>
      <c r="I680" s="56"/>
      <c r="J680" s="56"/>
      <c r="K680" s="56"/>
      <c r="L680" s="56"/>
      <c r="M680" s="56"/>
      <c r="N680" s="56"/>
      <c r="O680" s="59"/>
      <c r="P680" s="56"/>
      <c r="Q680" s="56"/>
      <c r="R680" s="56"/>
      <c r="S680" s="57"/>
      <c r="T680" s="56"/>
      <c r="U680" s="56"/>
      <c r="V680" s="56"/>
      <c r="W680" s="57"/>
      <c r="X680" s="51"/>
      <c r="Y680" s="51"/>
      <c r="Z680" s="51"/>
      <c r="AA680" s="51"/>
      <c r="AB680" s="51"/>
      <c r="AC680" s="51"/>
    </row>
    <row r="681" ht="15.75" customHeight="1">
      <c r="A681" s="56"/>
      <c r="B681" s="57"/>
      <c r="C681" s="58"/>
      <c r="D681" s="56"/>
      <c r="E681" s="56"/>
      <c r="F681" s="56"/>
      <c r="G681" s="56"/>
      <c r="H681" s="56"/>
      <c r="I681" s="56"/>
      <c r="J681" s="56"/>
      <c r="K681" s="56"/>
      <c r="L681" s="56"/>
      <c r="M681" s="56"/>
      <c r="N681" s="56"/>
      <c r="O681" s="59"/>
      <c r="P681" s="56"/>
      <c r="Q681" s="56"/>
      <c r="R681" s="56"/>
      <c r="S681" s="57"/>
      <c r="T681" s="56"/>
      <c r="U681" s="56"/>
      <c r="V681" s="56"/>
      <c r="W681" s="57"/>
      <c r="X681" s="51"/>
      <c r="Y681" s="51"/>
      <c r="Z681" s="51"/>
      <c r="AA681" s="51"/>
      <c r="AB681" s="51"/>
      <c r="AC681" s="51"/>
    </row>
    <row r="682" ht="15.75" customHeight="1">
      <c r="A682" s="56"/>
      <c r="B682" s="57"/>
      <c r="C682" s="58"/>
      <c r="D682" s="56"/>
      <c r="E682" s="56"/>
      <c r="F682" s="56"/>
      <c r="G682" s="56"/>
      <c r="H682" s="56"/>
      <c r="I682" s="56"/>
      <c r="J682" s="56"/>
      <c r="K682" s="56"/>
      <c r="L682" s="56"/>
      <c r="M682" s="56"/>
      <c r="N682" s="56"/>
      <c r="O682" s="59"/>
      <c r="P682" s="56"/>
      <c r="Q682" s="56"/>
      <c r="R682" s="56"/>
      <c r="S682" s="57"/>
      <c r="T682" s="56"/>
      <c r="U682" s="56"/>
      <c r="V682" s="56"/>
      <c r="W682" s="57"/>
      <c r="X682" s="51"/>
      <c r="Y682" s="51"/>
      <c r="Z682" s="51"/>
      <c r="AA682" s="51"/>
      <c r="AB682" s="51"/>
      <c r="AC682" s="51"/>
    </row>
    <row r="683" ht="15.75" customHeight="1">
      <c r="A683" s="56"/>
      <c r="B683" s="57"/>
      <c r="C683" s="58"/>
      <c r="D683" s="56"/>
      <c r="E683" s="56"/>
      <c r="F683" s="56"/>
      <c r="G683" s="56"/>
      <c r="H683" s="56"/>
      <c r="I683" s="56"/>
      <c r="J683" s="56"/>
      <c r="K683" s="56"/>
      <c r="L683" s="56"/>
      <c r="M683" s="56"/>
      <c r="N683" s="56"/>
      <c r="O683" s="59"/>
      <c r="P683" s="56"/>
      <c r="Q683" s="56"/>
      <c r="R683" s="56"/>
      <c r="S683" s="57"/>
      <c r="T683" s="56"/>
      <c r="U683" s="56"/>
      <c r="V683" s="56"/>
      <c r="W683" s="57"/>
      <c r="X683" s="51"/>
      <c r="Y683" s="51"/>
      <c r="Z683" s="51"/>
      <c r="AA683" s="51"/>
      <c r="AB683" s="51"/>
      <c r="AC683" s="51"/>
    </row>
    <row r="684" ht="15.75" customHeight="1">
      <c r="A684" s="56"/>
      <c r="B684" s="57"/>
      <c r="C684" s="58"/>
      <c r="D684" s="56"/>
      <c r="E684" s="56"/>
      <c r="F684" s="56"/>
      <c r="G684" s="56"/>
      <c r="H684" s="56"/>
      <c r="I684" s="56"/>
      <c r="J684" s="56"/>
      <c r="K684" s="56"/>
      <c r="L684" s="56"/>
      <c r="M684" s="56"/>
      <c r="N684" s="56"/>
      <c r="O684" s="59"/>
      <c r="P684" s="56"/>
      <c r="Q684" s="56"/>
      <c r="R684" s="56"/>
      <c r="S684" s="57"/>
      <c r="T684" s="56"/>
      <c r="U684" s="56"/>
      <c r="V684" s="56"/>
      <c r="W684" s="57"/>
      <c r="X684" s="51"/>
      <c r="Y684" s="51"/>
      <c r="Z684" s="51"/>
      <c r="AA684" s="51"/>
      <c r="AB684" s="51"/>
      <c r="AC684" s="51"/>
    </row>
    <row r="685" ht="15.75" customHeight="1">
      <c r="A685" s="56"/>
      <c r="B685" s="57"/>
      <c r="C685" s="58"/>
      <c r="D685" s="56"/>
      <c r="E685" s="56"/>
      <c r="F685" s="56"/>
      <c r="G685" s="56"/>
      <c r="H685" s="56"/>
      <c r="I685" s="56"/>
      <c r="J685" s="56"/>
      <c r="K685" s="56"/>
      <c r="L685" s="56"/>
      <c r="M685" s="56"/>
      <c r="N685" s="56"/>
      <c r="O685" s="59"/>
      <c r="P685" s="56"/>
      <c r="Q685" s="56"/>
      <c r="R685" s="56"/>
      <c r="S685" s="57"/>
      <c r="T685" s="56"/>
      <c r="U685" s="56"/>
      <c r="V685" s="56"/>
      <c r="W685" s="57"/>
      <c r="X685" s="51"/>
      <c r="Y685" s="51"/>
      <c r="Z685" s="51"/>
      <c r="AA685" s="51"/>
      <c r="AB685" s="51"/>
      <c r="AC685" s="51"/>
    </row>
    <row r="686" ht="15.75" customHeight="1">
      <c r="A686" s="56"/>
      <c r="B686" s="57"/>
      <c r="C686" s="58"/>
      <c r="D686" s="56"/>
      <c r="E686" s="56"/>
      <c r="F686" s="56"/>
      <c r="G686" s="56"/>
      <c r="H686" s="56"/>
      <c r="I686" s="56"/>
      <c r="J686" s="56"/>
      <c r="K686" s="56"/>
      <c r="L686" s="56"/>
      <c r="M686" s="56"/>
      <c r="N686" s="56"/>
      <c r="O686" s="59"/>
      <c r="P686" s="56"/>
      <c r="Q686" s="56"/>
      <c r="R686" s="56"/>
      <c r="S686" s="57"/>
      <c r="T686" s="56"/>
      <c r="U686" s="56"/>
      <c r="V686" s="56"/>
      <c r="W686" s="57"/>
      <c r="X686" s="51"/>
      <c r="Y686" s="51"/>
      <c r="Z686" s="51"/>
      <c r="AA686" s="51"/>
      <c r="AB686" s="51"/>
      <c r="AC686" s="51"/>
    </row>
    <row r="687" ht="15.75" customHeight="1">
      <c r="A687" s="56"/>
      <c r="B687" s="57"/>
      <c r="C687" s="58"/>
      <c r="D687" s="56"/>
      <c r="E687" s="56"/>
      <c r="F687" s="56"/>
      <c r="G687" s="56"/>
      <c r="H687" s="56"/>
      <c r="I687" s="56"/>
      <c r="J687" s="56"/>
      <c r="K687" s="56"/>
      <c r="L687" s="56"/>
      <c r="M687" s="56"/>
      <c r="N687" s="56"/>
      <c r="O687" s="59"/>
      <c r="P687" s="56"/>
      <c r="Q687" s="56"/>
      <c r="R687" s="56"/>
      <c r="S687" s="57"/>
      <c r="T687" s="56"/>
      <c r="U687" s="56"/>
      <c r="V687" s="56"/>
      <c r="W687" s="57"/>
      <c r="X687" s="51"/>
      <c r="Y687" s="51"/>
      <c r="Z687" s="51"/>
      <c r="AA687" s="51"/>
      <c r="AB687" s="51"/>
      <c r="AC687" s="51"/>
    </row>
    <row r="688" ht="15.75" customHeight="1">
      <c r="A688" s="56"/>
      <c r="B688" s="57"/>
      <c r="C688" s="58"/>
      <c r="D688" s="56"/>
      <c r="E688" s="56"/>
      <c r="F688" s="56"/>
      <c r="G688" s="56"/>
      <c r="H688" s="56"/>
      <c r="I688" s="56"/>
      <c r="J688" s="56"/>
      <c r="K688" s="56"/>
      <c r="L688" s="56"/>
      <c r="M688" s="56"/>
      <c r="N688" s="56"/>
      <c r="O688" s="59"/>
      <c r="P688" s="56"/>
      <c r="Q688" s="56"/>
      <c r="R688" s="56"/>
      <c r="S688" s="57"/>
      <c r="T688" s="56"/>
      <c r="U688" s="56"/>
      <c r="V688" s="56"/>
      <c r="W688" s="57"/>
      <c r="X688" s="51"/>
      <c r="Y688" s="51"/>
      <c r="Z688" s="51"/>
      <c r="AA688" s="51"/>
      <c r="AB688" s="51"/>
      <c r="AC688" s="51"/>
    </row>
    <row r="689" ht="15.75" customHeight="1">
      <c r="A689" s="56"/>
      <c r="B689" s="57"/>
      <c r="C689" s="58"/>
      <c r="D689" s="56"/>
      <c r="E689" s="56"/>
      <c r="F689" s="56"/>
      <c r="G689" s="56"/>
      <c r="H689" s="56"/>
      <c r="I689" s="56"/>
      <c r="J689" s="56"/>
      <c r="K689" s="56"/>
      <c r="L689" s="56"/>
      <c r="M689" s="56"/>
      <c r="N689" s="56"/>
      <c r="O689" s="59"/>
      <c r="P689" s="56"/>
      <c r="Q689" s="56"/>
      <c r="R689" s="56"/>
      <c r="S689" s="57"/>
      <c r="T689" s="56"/>
      <c r="U689" s="56"/>
      <c r="V689" s="56"/>
      <c r="W689" s="57"/>
      <c r="X689" s="51"/>
      <c r="Y689" s="51"/>
      <c r="Z689" s="51"/>
      <c r="AA689" s="51"/>
      <c r="AB689" s="51"/>
      <c r="AC689" s="51"/>
    </row>
    <row r="690" ht="15.75" customHeight="1">
      <c r="A690" s="56"/>
      <c r="B690" s="57"/>
      <c r="C690" s="58"/>
      <c r="D690" s="56"/>
      <c r="E690" s="56"/>
      <c r="F690" s="56"/>
      <c r="G690" s="56"/>
      <c r="H690" s="56"/>
      <c r="I690" s="56"/>
      <c r="J690" s="56"/>
      <c r="K690" s="56"/>
      <c r="L690" s="56"/>
      <c r="M690" s="56"/>
      <c r="N690" s="56"/>
      <c r="O690" s="59"/>
      <c r="P690" s="56"/>
      <c r="Q690" s="56"/>
      <c r="R690" s="56"/>
      <c r="S690" s="57"/>
      <c r="T690" s="56"/>
      <c r="U690" s="56"/>
      <c r="V690" s="56"/>
      <c r="W690" s="57"/>
      <c r="X690" s="51"/>
      <c r="Y690" s="51"/>
      <c r="Z690" s="51"/>
      <c r="AA690" s="51"/>
      <c r="AB690" s="51"/>
      <c r="AC690" s="51"/>
    </row>
    <row r="691" ht="15.75" customHeight="1">
      <c r="A691" s="56"/>
      <c r="B691" s="57"/>
      <c r="C691" s="58"/>
      <c r="D691" s="56"/>
      <c r="E691" s="56"/>
      <c r="F691" s="56"/>
      <c r="G691" s="56"/>
      <c r="H691" s="56"/>
      <c r="I691" s="56"/>
      <c r="J691" s="56"/>
      <c r="K691" s="56"/>
      <c r="L691" s="56"/>
      <c r="M691" s="56"/>
      <c r="N691" s="56"/>
      <c r="O691" s="59"/>
      <c r="P691" s="56"/>
      <c r="Q691" s="56"/>
      <c r="R691" s="56"/>
      <c r="S691" s="57"/>
      <c r="T691" s="56"/>
      <c r="U691" s="56"/>
      <c r="V691" s="56"/>
      <c r="W691" s="57"/>
      <c r="X691" s="51"/>
      <c r="Y691" s="51"/>
      <c r="Z691" s="51"/>
      <c r="AA691" s="51"/>
      <c r="AB691" s="51"/>
      <c r="AC691" s="51"/>
    </row>
    <row r="692" ht="15.75" customHeight="1">
      <c r="A692" s="56"/>
      <c r="B692" s="57"/>
      <c r="C692" s="58"/>
      <c r="D692" s="56"/>
      <c r="E692" s="56"/>
      <c r="F692" s="56"/>
      <c r="G692" s="56"/>
      <c r="H692" s="56"/>
      <c r="I692" s="56"/>
      <c r="J692" s="56"/>
      <c r="K692" s="56"/>
      <c r="L692" s="56"/>
      <c r="M692" s="56"/>
      <c r="N692" s="56"/>
      <c r="O692" s="59"/>
      <c r="P692" s="56"/>
      <c r="Q692" s="56"/>
      <c r="R692" s="56"/>
      <c r="S692" s="57"/>
      <c r="T692" s="56"/>
      <c r="U692" s="56"/>
      <c r="V692" s="56"/>
      <c r="W692" s="57"/>
      <c r="X692" s="51"/>
      <c r="Y692" s="51"/>
      <c r="Z692" s="51"/>
      <c r="AA692" s="51"/>
      <c r="AB692" s="51"/>
      <c r="AC692" s="51"/>
    </row>
    <row r="693" ht="15.75" customHeight="1">
      <c r="A693" s="56"/>
      <c r="B693" s="57"/>
      <c r="C693" s="58"/>
      <c r="D693" s="56"/>
      <c r="E693" s="56"/>
      <c r="F693" s="56"/>
      <c r="G693" s="56"/>
      <c r="H693" s="56"/>
      <c r="I693" s="56"/>
      <c r="J693" s="56"/>
      <c r="K693" s="56"/>
      <c r="L693" s="56"/>
      <c r="M693" s="56"/>
      <c r="N693" s="56"/>
      <c r="O693" s="59"/>
      <c r="P693" s="56"/>
      <c r="Q693" s="56"/>
      <c r="R693" s="56"/>
      <c r="S693" s="57"/>
      <c r="T693" s="56"/>
      <c r="U693" s="56"/>
      <c r="V693" s="56"/>
      <c r="W693" s="57"/>
      <c r="X693" s="51"/>
      <c r="Y693" s="51"/>
      <c r="Z693" s="51"/>
      <c r="AA693" s="51"/>
      <c r="AB693" s="51"/>
      <c r="AC693" s="51"/>
    </row>
    <row r="694" ht="15.75" customHeight="1">
      <c r="A694" s="56"/>
      <c r="B694" s="57"/>
      <c r="C694" s="58"/>
      <c r="D694" s="56"/>
      <c r="E694" s="56"/>
      <c r="F694" s="56"/>
      <c r="G694" s="56"/>
      <c r="H694" s="56"/>
      <c r="I694" s="56"/>
      <c r="J694" s="56"/>
      <c r="K694" s="56"/>
      <c r="L694" s="56"/>
      <c r="M694" s="56"/>
      <c r="N694" s="56"/>
      <c r="O694" s="59"/>
      <c r="P694" s="56"/>
      <c r="Q694" s="56"/>
      <c r="R694" s="56"/>
      <c r="S694" s="57"/>
      <c r="T694" s="56"/>
      <c r="U694" s="56"/>
      <c r="V694" s="56"/>
      <c r="W694" s="57"/>
      <c r="X694" s="51"/>
      <c r="Y694" s="51"/>
      <c r="Z694" s="51"/>
      <c r="AA694" s="51"/>
      <c r="AB694" s="51"/>
      <c r="AC694" s="51"/>
    </row>
    <row r="695" ht="15.75" customHeight="1">
      <c r="A695" s="56"/>
      <c r="B695" s="57"/>
      <c r="C695" s="58"/>
      <c r="D695" s="56"/>
      <c r="E695" s="56"/>
      <c r="F695" s="56"/>
      <c r="G695" s="56"/>
      <c r="H695" s="56"/>
      <c r="I695" s="56"/>
      <c r="J695" s="56"/>
      <c r="K695" s="56"/>
      <c r="L695" s="56"/>
      <c r="M695" s="56"/>
      <c r="N695" s="56"/>
      <c r="O695" s="59"/>
      <c r="P695" s="56"/>
      <c r="Q695" s="56"/>
      <c r="R695" s="56"/>
      <c r="S695" s="57"/>
      <c r="T695" s="56"/>
      <c r="U695" s="56"/>
      <c r="V695" s="56"/>
      <c r="W695" s="57"/>
      <c r="X695" s="51"/>
      <c r="Y695" s="51"/>
      <c r="Z695" s="51"/>
      <c r="AA695" s="51"/>
      <c r="AB695" s="51"/>
      <c r="AC695" s="51"/>
    </row>
    <row r="696" ht="15.75" customHeight="1">
      <c r="A696" s="56"/>
      <c r="B696" s="57"/>
      <c r="C696" s="58"/>
      <c r="D696" s="56"/>
      <c r="E696" s="56"/>
      <c r="F696" s="56"/>
      <c r="G696" s="56"/>
      <c r="H696" s="56"/>
      <c r="I696" s="56"/>
      <c r="J696" s="56"/>
      <c r="K696" s="56"/>
      <c r="L696" s="56"/>
      <c r="M696" s="56"/>
      <c r="N696" s="56"/>
      <c r="O696" s="59"/>
      <c r="P696" s="56"/>
      <c r="Q696" s="56"/>
      <c r="R696" s="56"/>
      <c r="S696" s="57"/>
      <c r="T696" s="56"/>
      <c r="U696" s="56"/>
      <c r="V696" s="56"/>
      <c r="W696" s="57"/>
      <c r="X696" s="51"/>
      <c r="Y696" s="51"/>
      <c r="Z696" s="51"/>
      <c r="AA696" s="51"/>
      <c r="AB696" s="51"/>
      <c r="AC696" s="51"/>
    </row>
    <row r="697" ht="15.75" customHeight="1">
      <c r="A697" s="56"/>
      <c r="B697" s="57"/>
      <c r="C697" s="58"/>
      <c r="D697" s="56"/>
      <c r="E697" s="56"/>
      <c r="F697" s="56"/>
      <c r="G697" s="56"/>
      <c r="H697" s="56"/>
      <c r="I697" s="56"/>
      <c r="J697" s="56"/>
      <c r="K697" s="56"/>
      <c r="L697" s="56"/>
      <c r="M697" s="56"/>
      <c r="N697" s="56"/>
      <c r="O697" s="59"/>
      <c r="P697" s="56"/>
      <c r="Q697" s="56"/>
      <c r="R697" s="56"/>
      <c r="S697" s="57"/>
      <c r="T697" s="56"/>
      <c r="U697" s="56"/>
      <c r="V697" s="56"/>
      <c r="W697" s="57"/>
      <c r="X697" s="51"/>
      <c r="Y697" s="51"/>
      <c r="Z697" s="51"/>
      <c r="AA697" s="51"/>
      <c r="AB697" s="51"/>
      <c r="AC697" s="51"/>
    </row>
    <row r="698" ht="15.75" customHeight="1">
      <c r="A698" s="56"/>
      <c r="B698" s="57"/>
      <c r="C698" s="58"/>
      <c r="D698" s="56"/>
      <c r="E698" s="56"/>
      <c r="F698" s="56"/>
      <c r="G698" s="56"/>
      <c r="H698" s="56"/>
      <c r="I698" s="56"/>
      <c r="J698" s="56"/>
      <c r="K698" s="56"/>
      <c r="L698" s="56"/>
      <c r="M698" s="56"/>
      <c r="N698" s="56"/>
      <c r="O698" s="59"/>
      <c r="P698" s="56"/>
      <c r="Q698" s="56"/>
      <c r="R698" s="56"/>
      <c r="S698" s="57"/>
      <c r="T698" s="56"/>
      <c r="U698" s="56"/>
      <c r="V698" s="56"/>
      <c r="W698" s="57"/>
      <c r="X698" s="51"/>
      <c r="Y698" s="51"/>
      <c r="Z698" s="51"/>
      <c r="AA698" s="51"/>
      <c r="AB698" s="51"/>
      <c r="AC698" s="51"/>
    </row>
    <row r="699" ht="15.75" customHeight="1">
      <c r="A699" s="56"/>
      <c r="B699" s="57"/>
      <c r="C699" s="58"/>
      <c r="D699" s="56"/>
      <c r="E699" s="56"/>
      <c r="F699" s="56"/>
      <c r="G699" s="56"/>
      <c r="H699" s="56"/>
      <c r="I699" s="56"/>
      <c r="J699" s="56"/>
      <c r="K699" s="56"/>
      <c r="L699" s="56"/>
      <c r="M699" s="56"/>
      <c r="N699" s="56"/>
      <c r="O699" s="59"/>
      <c r="P699" s="56"/>
      <c r="Q699" s="56"/>
      <c r="R699" s="56"/>
      <c r="S699" s="57"/>
      <c r="T699" s="56"/>
      <c r="U699" s="56"/>
      <c r="V699" s="56"/>
      <c r="W699" s="57"/>
      <c r="X699" s="51"/>
      <c r="Y699" s="51"/>
      <c r="Z699" s="51"/>
      <c r="AA699" s="51"/>
      <c r="AB699" s="51"/>
      <c r="AC699" s="51"/>
    </row>
    <row r="700" ht="15.75" customHeight="1">
      <c r="A700" s="56"/>
      <c r="B700" s="57"/>
      <c r="C700" s="58"/>
      <c r="D700" s="56"/>
      <c r="E700" s="56"/>
      <c r="F700" s="56"/>
      <c r="G700" s="56"/>
      <c r="H700" s="56"/>
      <c r="I700" s="56"/>
      <c r="J700" s="56"/>
      <c r="K700" s="56"/>
      <c r="L700" s="56"/>
      <c r="M700" s="56"/>
      <c r="N700" s="56"/>
      <c r="O700" s="59"/>
      <c r="P700" s="56"/>
      <c r="Q700" s="56"/>
      <c r="R700" s="56"/>
      <c r="S700" s="57"/>
      <c r="T700" s="56"/>
      <c r="U700" s="56"/>
      <c r="V700" s="56"/>
      <c r="W700" s="57"/>
      <c r="X700" s="51"/>
      <c r="Y700" s="51"/>
      <c r="Z700" s="51"/>
      <c r="AA700" s="51"/>
      <c r="AB700" s="51"/>
      <c r="AC700" s="51"/>
    </row>
    <row r="701" ht="15.75" customHeight="1">
      <c r="A701" s="56"/>
      <c r="B701" s="57"/>
      <c r="C701" s="58"/>
      <c r="D701" s="56"/>
      <c r="E701" s="56"/>
      <c r="F701" s="56"/>
      <c r="G701" s="56"/>
      <c r="H701" s="56"/>
      <c r="I701" s="56"/>
      <c r="J701" s="56"/>
      <c r="K701" s="56"/>
      <c r="L701" s="56"/>
      <c r="M701" s="56"/>
      <c r="N701" s="56"/>
      <c r="O701" s="59"/>
      <c r="P701" s="56"/>
      <c r="Q701" s="56"/>
      <c r="R701" s="56"/>
      <c r="S701" s="57"/>
      <c r="T701" s="56"/>
      <c r="U701" s="56"/>
      <c r="V701" s="56"/>
      <c r="W701" s="57"/>
      <c r="X701" s="51"/>
      <c r="Y701" s="51"/>
      <c r="Z701" s="51"/>
      <c r="AA701" s="51"/>
      <c r="AB701" s="51"/>
      <c r="AC701" s="51"/>
    </row>
    <row r="702" ht="15.75" customHeight="1">
      <c r="A702" s="56"/>
      <c r="B702" s="57"/>
      <c r="C702" s="58"/>
      <c r="D702" s="56"/>
      <c r="E702" s="56"/>
      <c r="F702" s="56"/>
      <c r="G702" s="56"/>
      <c r="H702" s="56"/>
      <c r="I702" s="56"/>
      <c r="J702" s="56"/>
      <c r="K702" s="56"/>
      <c r="L702" s="56"/>
      <c r="M702" s="56"/>
      <c r="N702" s="56"/>
      <c r="O702" s="59"/>
      <c r="P702" s="56"/>
      <c r="Q702" s="56"/>
      <c r="R702" s="56"/>
      <c r="S702" s="57"/>
      <c r="T702" s="56"/>
      <c r="U702" s="56"/>
      <c r="V702" s="56"/>
      <c r="W702" s="57"/>
      <c r="X702" s="51"/>
      <c r="Y702" s="51"/>
      <c r="Z702" s="51"/>
      <c r="AA702" s="51"/>
      <c r="AB702" s="51"/>
      <c r="AC702" s="51"/>
    </row>
    <row r="703" ht="15.75" customHeight="1">
      <c r="A703" s="56"/>
      <c r="B703" s="57"/>
      <c r="C703" s="58"/>
      <c r="D703" s="56"/>
      <c r="E703" s="56"/>
      <c r="F703" s="56"/>
      <c r="G703" s="56"/>
      <c r="H703" s="56"/>
      <c r="I703" s="56"/>
      <c r="J703" s="56"/>
      <c r="K703" s="56"/>
      <c r="L703" s="56"/>
      <c r="M703" s="56"/>
      <c r="N703" s="56"/>
      <c r="O703" s="59"/>
      <c r="P703" s="56"/>
      <c r="Q703" s="56"/>
      <c r="R703" s="56"/>
      <c r="S703" s="57"/>
      <c r="T703" s="56"/>
      <c r="U703" s="56"/>
      <c r="V703" s="56"/>
      <c r="W703" s="57"/>
      <c r="X703" s="51"/>
      <c r="Y703" s="51"/>
      <c r="Z703" s="51"/>
      <c r="AA703" s="51"/>
      <c r="AB703" s="51"/>
      <c r="AC703" s="51"/>
    </row>
    <row r="704" ht="15.75" customHeight="1">
      <c r="A704" s="56"/>
      <c r="B704" s="57"/>
      <c r="C704" s="58"/>
      <c r="D704" s="56"/>
      <c r="E704" s="56"/>
      <c r="F704" s="56"/>
      <c r="G704" s="56"/>
      <c r="H704" s="56"/>
      <c r="I704" s="56"/>
      <c r="J704" s="56"/>
      <c r="K704" s="56"/>
      <c r="L704" s="56"/>
      <c r="M704" s="56"/>
      <c r="N704" s="56"/>
      <c r="O704" s="59"/>
      <c r="P704" s="56"/>
      <c r="Q704" s="56"/>
      <c r="R704" s="56"/>
      <c r="S704" s="57"/>
      <c r="T704" s="56"/>
      <c r="U704" s="56"/>
      <c r="V704" s="56"/>
      <c r="W704" s="57"/>
      <c r="X704" s="51"/>
      <c r="Y704" s="51"/>
      <c r="Z704" s="51"/>
      <c r="AA704" s="51"/>
      <c r="AB704" s="51"/>
      <c r="AC704" s="51"/>
    </row>
    <row r="705" ht="15.75" customHeight="1">
      <c r="A705" s="56"/>
      <c r="B705" s="57"/>
      <c r="C705" s="58"/>
      <c r="D705" s="56"/>
      <c r="E705" s="56"/>
      <c r="F705" s="56"/>
      <c r="G705" s="56"/>
      <c r="H705" s="56"/>
      <c r="I705" s="56"/>
      <c r="J705" s="56"/>
      <c r="K705" s="56"/>
      <c r="L705" s="56"/>
      <c r="M705" s="56"/>
      <c r="N705" s="56"/>
      <c r="O705" s="59"/>
      <c r="P705" s="56"/>
      <c r="Q705" s="56"/>
      <c r="R705" s="56"/>
      <c r="S705" s="57"/>
      <c r="T705" s="56"/>
      <c r="U705" s="56"/>
      <c r="V705" s="56"/>
      <c r="W705" s="57"/>
      <c r="X705" s="51"/>
      <c r="Y705" s="51"/>
      <c r="Z705" s="51"/>
      <c r="AA705" s="51"/>
      <c r="AB705" s="51"/>
      <c r="AC705" s="51"/>
    </row>
    <row r="706" ht="15.75" customHeight="1">
      <c r="A706" s="56"/>
      <c r="B706" s="57"/>
      <c r="C706" s="58"/>
      <c r="D706" s="56"/>
      <c r="E706" s="56"/>
      <c r="F706" s="56"/>
      <c r="G706" s="56"/>
      <c r="H706" s="56"/>
      <c r="I706" s="56"/>
      <c r="J706" s="56"/>
      <c r="K706" s="56"/>
      <c r="L706" s="56"/>
      <c r="M706" s="56"/>
      <c r="N706" s="56"/>
      <c r="O706" s="59"/>
      <c r="P706" s="56"/>
      <c r="Q706" s="56"/>
      <c r="R706" s="56"/>
      <c r="S706" s="57"/>
      <c r="T706" s="56"/>
      <c r="U706" s="56"/>
      <c r="V706" s="56"/>
      <c r="W706" s="57"/>
      <c r="X706" s="51"/>
      <c r="Y706" s="51"/>
      <c r="Z706" s="51"/>
      <c r="AA706" s="51"/>
      <c r="AB706" s="51"/>
      <c r="AC706" s="51"/>
    </row>
    <row r="707" ht="15.75" customHeight="1">
      <c r="A707" s="56"/>
      <c r="B707" s="57"/>
      <c r="C707" s="58"/>
      <c r="D707" s="56"/>
      <c r="E707" s="56"/>
      <c r="F707" s="56"/>
      <c r="G707" s="56"/>
      <c r="H707" s="56"/>
      <c r="I707" s="56"/>
      <c r="J707" s="56"/>
      <c r="K707" s="56"/>
      <c r="L707" s="56"/>
      <c r="M707" s="56"/>
      <c r="N707" s="56"/>
      <c r="O707" s="59"/>
      <c r="P707" s="56"/>
      <c r="Q707" s="56"/>
      <c r="R707" s="56"/>
      <c r="S707" s="57"/>
      <c r="T707" s="56"/>
      <c r="U707" s="56"/>
      <c r="V707" s="56"/>
      <c r="W707" s="57"/>
      <c r="X707" s="51"/>
      <c r="Y707" s="51"/>
      <c r="Z707" s="51"/>
      <c r="AA707" s="51"/>
      <c r="AB707" s="51"/>
      <c r="AC707" s="51"/>
    </row>
    <row r="708" ht="15.75" customHeight="1">
      <c r="A708" s="56"/>
      <c r="B708" s="57"/>
      <c r="C708" s="58"/>
      <c r="D708" s="56"/>
      <c r="E708" s="56"/>
      <c r="F708" s="56"/>
      <c r="G708" s="56"/>
      <c r="H708" s="56"/>
      <c r="I708" s="56"/>
      <c r="J708" s="56"/>
      <c r="K708" s="56"/>
      <c r="L708" s="56"/>
      <c r="M708" s="56"/>
      <c r="N708" s="56"/>
      <c r="O708" s="59"/>
      <c r="P708" s="56"/>
      <c r="Q708" s="56"/>
      <c r="R708" s="56"/>
      <c r="S708" s="57"/>
      <c r="T708" s="56"/>
      <c r="U708" s="56"/>
      <c r="V708" s="56"/>
      <c r="W708" s="57"/>
      <c r="X708" s="51"/>
      <c r="Y708" s="51"/>
      <c r="Z708" s="51"/>
      <c r="AA708" s="51"/>
      <c r="AB708" s="51"/>
      <c r="AC708" s="51"/>
    </row>
    <row r="709" ht="15.75" customHeight="1">
      <c r="A709" s="56"/>
      <c r="B709" s="57"/>
      <c r="C709" s="58"/>
      <c r="D709" s="56"/>
      <c r="E709" s="56"/>
      <c r="F709" s="56"/>
      <c r="G709" s="56"/>
      <c r="H709" s="56"/>
      <c r="I709" s="56"/>
      <c r="J709" s="56"/>
      <c r="K709" s="56"/>
      <c r="L709" s="56"/>
      <c r="M709" s="56"/>
      <c r="N709" s="56"/>
      <c r="O709" s="59"/>
      <c r="P709" s="56"/>
      <c r="Q709" s="56"/>
      <c r="R709" s="56"/>
      <c r="S709" s="57"/>
      <c r="T709" s="56"/>
      <c r="U709" s="56"/>
      <c r="V709" s="56"/>
      <c r="W709" s="57"/>
      <c r="X709" s="51"/>
      <c r="Y709" s="51"/>
      <c r="Z709" s="51"/>
      <c r="AA709" s="51"/>
      <c r="AB709" s="51"/>
      <c r="AC709" s="51"/>
    </row>
    <row r="710" ht="15.75" customHeight="1">
      <c r="A710" s="56"/>
      <c r="B710" s="57"/>
      <c r="C710" s="58"/>
      <c r="D710" s="56"/>
      <c r="E710" s="56"/>
      <c r="F710" s="56"/>
      <c r="G710" s="56"/>
      <c r="H710" s="56"/>
      <c r="I710" s="56"/>
      <c r="J710" s="56"/>
      <c r="K710" s="56"/>
      <c r="L710" s="56"/>
      <c r="M710" s="56"/>
      <c r="N710" s="56"/>
      <c r="O710" s="59"/>
      <c r="P710" s="56"/>
      <c r="Q710" s="56"/>
      <c r="R710" s="56"/>
      <c r="S710" s="57"/>
      <c r="T710" s="56"/>
      <c r="U710" s="56"/>
      <c r="V710" s="56"/>
      <c r="W710" s="57"/>
      <c r="X710" s="51"/>
      <c r="Y710" s="51"/>
      <c r="Z710" s="51"/>
      <c r="AA710" s="51"/>
      <c r="AB710" s="51"/>
      <c r="AC710" s="51"/>
    </row>
    <row r="711" ht="15.75" customHeight="1">
      <c r="A711" s="56"/>
      <c r="B711" s="57"/>
      <c r="C711" s="58"/>
      <c r="D711" s="56"/>
      <c r="E711" s="56"/>
      <c r="F711" s="56"/>
      <c r="G711" s="56"/>
      <c r="H711" s="56"/>
      <c r="I711" s="56"/>
      <c r="J711" s="56"/>
      <c r="K711" s="56"/>
      <c r="L711" s="56"/>
      <c r="M711" s="56"/>
      <c r="N711" s="56"/>
      <c r="O711" s="59"/>
      <c r="P711" s="56"/>
      <c r="Q711" s="56"/>
      <c r="R711" s="56"/>
      <c r="S711" s="57"/>
      <c r="T711" s="56"/>
      <c r="U711" s="56"/>
      <c r="V711" s="56"/>
      <c r="W711" s="57"/>
      <c r="X711" s="51"/>
      <c r="Y711" s="51"/>
      <c r="Z711" s="51"/>
      <c r="AA711" s="51"/>
      <c r="AB711" s="51"/>
      <c r="AC711" s="51"/>
    </row>
    <row r="712" ht="15.75" customHeight="1">
      <c r="A712" s="56"/>
      <c r="B712" s="57"/>
      <c r="C712" s="58"/>
      <c r="D712" s="56"/>
      <c r="E712" s="56"/>
      <c r="F712" s="56"/>
      <c r="G712" s="56"/>
      <c r="H712" s="56"/>
      <c r="I712" s="56"/>
      <c r="J712" s="56"/>
      <c r="K712" s="56"/>
      <c r="L712" s="56"/>
      <c r="M712" s="56"/>
      <c r="N712" s="56"/>
      <c r="O712" s="59"/>
      <c r="P712" s="56"/>
      <c r="Q712" s="56"/>
      <c r="R712" s="56"/>
      <c r="S712" s="57"/>
      <c r="T712" s="56"/>
      <c r="U712" s="56"/>
      <c r="V712" s="56"/>
      <c r="W712" s="57"/>
      <c r="X712" s="51"/>
      <c r="Y712" s="51"/>
      <c r="Z712" s="51"/>
      <c r="AA712" s="51"/>
      <c r="AB712" s="51"/>
      <c r="AC712" s="51"/>
    </row>
    <row r="713" ht="15.75" customHeight="1">
      <c r="A713" s="56"/>
      <c r="B713" s="57"/>
      <c r="C713" s="58"/>
      <c r="D713" s="56"/>
      <c r="E713" s="56"/>
      <c r="F713" s="56"/>
      <c r="G713" s="56"/>
      <c r="H713" s="56"/>
      <c r="I713" s="56"/>
      <c r="J713" s="56"/>
      <c r="K713" s="56"/>
      <c r="L713" s="56"/>
      <c r="M713" s="56"/>
      <c r="N713" s="56"/>
      <c r="O713" s="59"/>
      <c r="P713" s="56"/>
      <c r="Q713" s="56"/>
      <c r="R713" s="56"/>
      <c r="S713" s="57"/>
      <c r="T713" s="56"/>
      <c r="U713" s="56"/>
      <c r="V713" s="56"/>
      <c r="W713" s="57"/>
      <c r="X713" s="51"/>
      <c r="Y713" s="51"/>
      <c r="Z713" s="51"/>
      <c r="AA713" s="51"/>
      <c r="AB713" s="51"/>
      <c r="AC713" s="51"/>
    </row>
    <row r="714" ht="15.75" customHeight="1">
      <c r="A714" s="56"/>
      <c r="B714" s="57"/>
      <c r="C714" s="58"/>
      <c r="D714" s="56"/>
      <c r="E714" s="56"/>
      <c r="F714" s="56"/>
      <c r="G714" s="56"/>
      <c r="H714" s="56"/>
      <c r="I714" s="56"/>
      <c r="J714" s="56"/>
      <c r="K714" s="56"/>
      <c r="L714" s="56"/>
      <c r="M714" s="56"/>
      <c r="N714" s="56"/>
      <c r="O714" s="59"/>
      <c r="P714" s="56"/>
      <c r="Q714" s="56"/>
      <c r="R714" s="56"/>
      <c r="S714" s="57"/>
      <c r="T714" s="56"/>
      <c r="U714" s="56"/>
      <c r="V714" s="56"/>
      <c r="W714" s="57"/>
      <c r="X714" s="51"/>
      <c r="Y714" s="51"/>
      <c r="Z714" s="51"/>
      <c r="AA714" s="51"/>
      <c r="AB714" s="51"/>
      <c r="AC714" s="51"/>
    </row>
    <row r="715" ht="15.75" customHeight="1">
      <c r="A715" s="56"/>
      <c r="B715" s="57"/>
      <c r="C715" s="58"/>
      <c r="D715" s="56"/>
      <c r="E715" s="56"/>
      <c r="F715" s="56"/>
      <c r="G715" s="56"/>
      <c r="H715" s="56"/>
      <c r="I715" s="56"/>
      <c r="J715" s="56"/>
      <c r="K715" s="56"/>
      <c r="L715" s="56"/>
      <c r="M715" s="56"/>
      <c r="N715" s="56"/>
      <c r="O715" s="59"/>
      <c r="P715" s="56"/>
      <c r="Q715" s="56"/>
      <c r="R715" s="56"/>
      <c r="S715" s="57"/>
      <c r="T715" s="56"/>
      <c r="U715" s="56"/>
      <c r="V715" s="56"/>
      <c r="W715" s="57"/>
      <c r="X715" s="51"/>
      <c r="Y715" s="51"/>
      <c r="Z715" s="51"/>
      <c r="AA715" s="51"/>
      <c r="AB715" s="51"/>
      <c r="AC715" s="51"/>
    </row>
    <row r="716" ht="15.75" customHeight="1">
      <c r="A716" s="56"/>
      <c r="B716" s="57"/>
      <c r="C716" s="58"/>
      <c r="D716" s="56"/>
      <c r="E716" s="56"/>
      <c r="F716" s="56"/>
      <c r="G716" s="56"/>
      <c r="H716" s="56"/>
      <c r="I716" s="56"/>
      <c r="J716" s="56"/>
      <c r="K716" s="56"/>
      <c r="L716" s="56"/>
      <c r="M716" s="56"/>
      <c r="N716" s="56"/>
      <c r="O716" s="59"/>
      <c r="P716" s="56"/>
      <c r="Q716" s="56"/>
      <c r="R716" s="56"/>
      <c r="S716" s="57"/>
      <c r="T716" s="56"/>
      <c r="U716" s="56"/>
      <c r="V716" s="56"/>
      <c r="W716" s="57"/>
      <c r="X716" s="51"/>
      <c r="Y716" s="51"/>
      <c r="Z716" s="51"/>
      <c r="AA716" s="51"/>
      <c r="AB716" s="51"/>
      <c r="AC716" s="51"/>
    </row>
    <row r="717" ht="15.75" customHeight="1">
      <c r="A717" s="56"/>
      <c r="B717" s="57"/>
      <c r="C717" s="58"/>
      <c r="D717" s="56"/>
      <c r="E717" s="56"/>
      <c r="F717" s="56"/>
      <c r="G717" s="56"/>
      <c r="H717" s="56"/>
      <c r="I717" s="56"/>
      <c r="J717" s="56"/>
      <c r="K717" s="56"/>
      <c r="L717" s="56"/>
      <c r="M717" s="56"/>
      <c r="N717" s="56"/>
      <c r="O717" s="59"/>
      <c r="P717" s="56"/>
      <c r="Q717" s="56"/>
      <c r="R717" s="56"/>
      <c r="S717" s="57"/>
      <c r="T717" s="56"/>
      <c r="U717" s="56"/>
      <c r="V717" s="56"/>
      <c r="W717" s="57"/>
      <c r="X717" s="51"/>
      <c r="Y717" s="51"/>
      <c r="Z717" s="51"/>
      <c r="AA717" s="51"/>
      <c r="AB717" s="51"/>
      <c r="AC717" s="51"/>
    </row>
    <row r="718" ht="15.75" customHeight="1">
      <c r="A718" s="56"/>
      <c r="B718" s="57"/>
      <c r="C718" s="58"/>
      <c r="D718" s="56"/>
      <c r="E718" s="56"/>
      <c r="F718" s="56"/>
      <c r="G718" s="56"/>
      <c r="H718" s="56"/>
      <c r="I718" s="56"/>
      <c r="J718" s="56"/>
      <c r="K718" s="56"/>
      <c r="L718" s="56"/>
      <c r="M718" s="56"/>
      <c r="N718" s="56"/>
      <c r="O718" s="59"/>
      <c r="P718" s="56"/>
      <c r="Q718" s="56"/>
      <c r="R718" s="56"/>
      <c r="S718" s="57"/>
      <c r="T718" s="56"/>
      <c r="U718" s="56"/>
      <c r="V718" s="56"/>
      <c r="W718" s="57"/>
      <c r="X718" s="51"/>
      <c r="Y718" s="51"/>
      <c r="Z718" s="51"/>
      <c r="AA718" s="51"/>
      <c r="AB718" s="51"/>
      <c r="AC718" s="51"/>
    </row>
    <row r="719" ht="15.75" customHeight="1">
      <c r="A719" s="56"/>
      <c r="B719" s="57"/>
      <c r="C719" s="58"/>
      <c r="D719" s="56"/>
      <c r="E719" s="56"/>
      <c r="F719" s="56"/>
      <c r="G719" s="56"/>
      <c r="H719" s="56"/>
      <c r="I719" s="56"/>
      <c r="J719" s="56"/>
      <c r="K719" s="56"/>
      <c r="L719" s="56"/>
      <c r="M719" s="56"/>
      <c r="N719" s="56"/>
      <c r="O719" s="59"/>
      <c r="P719" s="56"/>
      <c r="Q719" s="56"/>
      <c r="R719" s="56"/>
      <c r="S719" s="57"/>
      <c r="T719" s="56"/>
      <c r="U719" s="56"/>
      <c r="V719" s="56"/>
      <c r="W719" s="57"/>
      <c r="X719" s="51"/>
      <c r="Y719" s="51"/>
      <c r="Z719" s="51"/>
      <c r="AA719" s="51"/>
      <c r="AB719" s="51"/>
      <c r="AC719" s="51"/>
    </row>
    <row r="720" ht="15.75" customHeight="1">
      <c r="A720" s="56"/>
      <c r="B720" s="57"/>
      <c r="C720" s="58"/>
      <c r="D720" s="56"/>
      <c r="E720" s="56"/>
      <c r="F720" s="56"/>
      <c r="G720" s="56"/>
      <c r="H720" s="56"/>
      <c r="I720" s="56"/>
      <c r="J720" s="56"/>
      <c r="K720" s="56"/>
      <c r="L720" s="56"/>
      <c r="M720" s="56"/>
      <c r="N720" s="56"/>
      <c r="O720" s="59"/>
      <c r="P720" s="56"/>
      <c r="Q720" s="56"/>
      <c r="R720" s="56"/>
      <c r="S720" s="57"/>
      <c r="T720" s="56"/>
      <c r="U720" s="56"/>
      <c r="V720" s="56"/>
      <c r="W720" s="57"/>
      <c r="X720" s="51"/>
      <c r="Y720" s="51"/>
      <c r="Z720" s="51"/>
      <c r="AA720" s="51"/>
      <c r="AB720" s="51"/>
      <c r="AC720" s="51"/>
    </row>
    <row r="721" ht="15.75" customHeight="1">
      <c r="A721" s="56"/>
      <c r="B721" s="57"/>
      <c r="C721" s="58"/>
      <c r="D721" s="56"/>
      <c r="E721" s="56"/>
      <c r="F721" s="56"/>
      <c r="G721" s="56"/>
      <c r="H721" s="56"/>
      <c r="I721" s="56"/>
      <c r="J721" s="56"/>
      <c r="K721" s="56"/>
      <c r="L721" s="56"/>
      <c r="M721" s="56"/>
      <c r="N721" s="56"/>
      <c r="O721" s="59"/>
      <c r="P721" s="56"/>
      <c r="Q721" s="56"/>
      <c r="R721" s="56"/>
      <c r="S721" s="57"/>
      <c r="T721" s="56"/>
      <c r="U721" s="56"/>
      <c r="V721" s="56"/>
      <c r="W721" s="57"/>
      <c r="X721" s="51"/>
      <c r="Y721" s="51"/>
      <c r="Z721" s="51"/>
      <c r="AA721" s="51"/>
      <c r="AB721" s="51"/>
      <c r="AC721" s="51"/>
    </row>
    <row r="722" ht="15.75" customHeight="1">
      <c r="A722" s="56"/>
      <c r="B722" s="57"/>
      <c r="C722" s="58"/>
      <c r="D722" s="56"/>
      <c r="E722" s="56"/>
      <c r="F722" s="56"/>
      <c r="G722" s="56"/>
      <c r="H722" s="56"/>
      <c r="I722" s="56"/>
      <c r="J722" s="56"/>
      <c r="K722" s="56"/>
      <c r="L722" s="56"/>
      <c r="M722" s="56"/>
      <c r="N722" s="56"/>
      <c r="O722" s="59"/>
      <c r="P722" s="56"/>
      <c r="Q722" s="56"/>
      <c r="R722" s="56"/>
      <c r="S722" s="57"/>
      <c r="T722" s="56"/>
      <c r="U722" s="56"/>
      <c r="V722" s="56"/>
      <c r="W722" s="57"/>
      <c r="X722" s="51"/>
      <c r="Y722" s="51"/>
      <c r="Z722" s="51"/>
      <c r="AA722" s="51"/>
      <c r="AB722" s="51"/>
      <c r="AC722" s="51"/>
    </row>
    <row r="723" ht="15.75" customHeight="1">
      <c r="A723" s="56"/>
      <c r="B723" s="57"/>
      <c r="C723" s="58"/>
      <c r="D723" s="56"/>
      <c r="E723" s="56"/>
      <c r="F723" s="56"/>
      <c r="G723" s="56"/>
      <c r="H723" s="56"/>
      <c r="I723" s="56"/>
      <c r="J723" s="56"/>
      <c r="K723" s="56"/>
      <c r="L723" s="56"/>
      <c r="M723" s="56"/>
      <c r="N723" s="56"/>
      <c r="O723" s="59"/>
      <c r="P723" s="56"/>
      <c r="Q723" s="56"/>
      <c r="R723" s="56"/>
      <c r="S723" s="57"/>
      <c r="T723" s="56"/>
      <c r="U723" s="56"/>
      <c r="V723" s="56"/>
      <c r="W723" s="57"/>
      <c r="X723" s="51"/>
      <c r="Y723" s="51"/>
      <c r="Z723" s="51"/>
      <c r="AA723" s="51"/>
      <c r="AB723" s="51"/>
      <c r="AC723" s="51"/>
    </row>
    <row r="724" ht="15.75" customHeight="1">
      <c r="A724" s="56"/>
      <c r="B724" s="57"/>
      <c r="C724" s="58"/>
      <c r="D724" s="56"/>
      <c r="E724" s="56"/>
      <c r="F724" s="56"/>
      <c r="G724" s="56"/>
      <c r="H724" s="56"/>
      <c r="I724" s="56"/>
      <c r="J724" s="56"/>
      <c r="K724" s="56"/>
      <c r="L724" s="56"/>
      <c r="M724" s="56"/>
      <c r="N724" s="56"/>
      <c r="O724" s="59"/>
      <c r="P724" s="56"/>
      <c r="Q724" s="56"/>
      <c r="R724" s="56"/>
      <c r="S724" s="57"/>
      <c r="T724" s="56"/>
      <c r="U724" s="56"/>
      <c r="V724" s="56"/>
      <c r="W724" s="57"/>
      <c r="X724" s="51"/>
      <c r="Y724" s="51"/>
      <c r="Z724" s="51"/>
      <c r="AA724" s="51"/>
      <c r="AB724" s="51"/>
      <c r="AC724" s="51"/>
    </row>
    <row r="725" ht="15.75" customHeight="1">
      <c r="A725" s="56"/>
      <c r="B725" s="57"/>
      <c r="C725" s="58"/>
      <c r="D725" s="56"/>
      <c r="E725" s="56"/>
      <c r="F725" s="56"/>
      <c r="G725" s="56"/>
      <c r="H725" s="56"/>
      <c r="I725" s="56"/>
      <c r="J725" s="56"/>
      <c r="K725" s="56"/>
      <c r="L725" s="56"/>
      <c r="M725" s="56"/>
      <c r="N725" s="56"/>
      <c r="O725" s="59"/>
      <c r="P725" s="56"/>
      <c r="Q725" s="56"/>
      <c r="R725" s="56"/>
      <c r="S725" s="57"/>
      <c r="T725" s="56"/>
      <c r="U725" s="56"/>
      <c r="V725" s="56"/>
      <c r="W725" s="57"/>
      <c r="X725" s="51"/>
      <c r="Y725" s="51"/>
      <c r="Z725" s="51"/>
      <c r="AA725" s="51"/>
      <c r="AB725" s="51"/>
      <c r="AC725" s="51"/>
    </row>
    <row r="726" ht="15.75" customHeight="1">
      <c r="A726" s="56"/>
      <c r="B726" s="57"/>
      <c r="C726" s="58"/>
      <c r="D726" s="56"/>
      <c r="E726" s="56"/>
      <c r="F726" s="56"/>
      <c r="G726" s="56"/>
      <c r="H726" s="56"/>
      <c r="I726" s="56"/>
      <c r="J726" s="56"/>
      <c r="K726" s="56"/>
      <c r="L726" s="56"/>
      <c r="M726" s="56"/>
      <c r="N726" s="56"/>
      <c r="O726" s="59"/>
      <c r="P726" s="56"/>
      <c r="Q726" s="56"/>
      <c r="R726" s="56"/>
      <c r="S726" s="57"/>
      <c r="T726" s="56"/>
      <c r="U726" s="56"/>
      <c r="V726" s="56"/>
      <c r="W726" s="57"/>
      <c r="X726" s="51"/>
      <c r="Y726" s="51"/>
      <c r="Z726" s="51"/>
      <c r="AA726" s="51"/>
      <c r="AB726" s="51"/>
      <c r="AC726" s="51"/>
    </row>
    <row r="727" ht="15.75" customHeight="1">
      <c r="A727" s="56"/>
      <c r="B727" s="57"/>
      <c r="C727" s="58"/>
      <c r="D727" s="56"/>
      <c r="E727" s="56"/>
      <c r="F727" s="56"/>
      <c r="G727" s="56"/>
      <c r="H727" s="56"/>
      <c r="I727" s="56"/>
      <c r="J727" s="56"/>
      <c r="K727" s="56"/>
      <c r="L727" s="56"/>
      <c r="M727" s="56"/>
      <c r="N727" s="56"/>
      <c r="O727" s="59"/>
      <c r="P727" s="56"/>
      <c r="Q727" s="56"/>
      <c r="R727" s="56"/>
      <c r="S727" s="57"/>
      <c r="T727" s="56"/>
      <c r="U727" s="56"/>
      <c r="V727" s="56"/>
      <c r="W727" s="57"/>
      <c r="X727" s="51"/>
      <c r="Y727" s="51"/>
      <c r="Z727" s="51"/>
      <c r="AA727" s="51"/>
      <c r="AB727" s="51"/>
      <c r="AC727" s="51"/>
    </row>
    <row r="728" ht="15.75" customHeight="1">
      <c r="A728" s="56"/>
      <c r="B728" s="57"/>
      <c r="C728" s="58"/>
      <c r="D728" s="56"/>
      <c r="E728" s="56"/>
      <c r="F728" s="56"/>
      <c r="G728" s="56"/>
      <c r="H728" s="56"/>
      <c r="I728" s="56"/>
      <c r="J728" s="56"/>
      <c r="K728" s="56"/>
      <c r="L728" s="56"/>
      <c r="M728" s="56"/>
      <c r="N728" s="56"/>
      <c r="O728" s="59"/>
      <c r="P728" s="56"/>
      <c r="Q728" s="56"/>
      <c r="R728" s="56"/>
      <c r="S728" s="57"/>
      <c r="T728" s="56"/>
      <c r="U728" s="56"/>
      <c r="V728" s="56"/>
      <c r="W728" s="57"/>
      <c r="X728" s="51"/>
      <c r="Y728" s="51"/>
      <c r="Z728" s="51"/>
      <c r="AA728" s="51"/>
      <c r="AB728" s="51"/>
      <c r="AC728" s="51"/>
    </row>
    <row r="729" ht="15.75" customHeight="1">
      <c r="A729" s="56"/>
      <c r="B729" s="57"/>
      <c r="C729" s="58"/>
      <c r="D729" s="56"/>
      <c r="E729" s="56"/>
      <c r="F729" s="56"/>
      <c r="G729" s="56"/>
      <c r="H729" s="56"/>
      <c r="I729" s="56"/>
      <c r="J729" s="56"/>
      <c r="K729" s="56"/>
      <c r="L729" s="56"/>
      <c r="M729" s="56"/>
      <c r="N729" s="56"/>
      <c r="O729" s="59"/>
      <c r="P729" s="56"/>
      <c r="Q729" s="56"/>
      <c r="R729" s="56"/>
      <c r="S729" s="57"/>
      <c r="T729" s="56"/>
      <c r="U729" s="56"/>
      <c r="V729" s="56"/>
      <c r="W729" s="57"/>
      <c r="X729" s="51"/>
      <c r="Y729" s="51"/>
      <c r="Z729" s="51"/>
      <c r="AA729" s="51"/>
      <c r="AB729" s="51"/>
      <c r="AC729" s="51"/>
    </row>
    <row r="730" ht="15.75" customHeight="1">
      <c r="A730" s="56"/>
      <c r="B730" s="57"/>
      <c r="C730" s="58"/>
      <c r="D730" s="56"/>
      <c r="E730" s="56"/>
      <c r="F730" s="56"/>
      <c r="G730" s="56"/>
      <c r="H730" s="56"/>
      <c r="I730" s="56"/>
      <c r="J730" s="56"/>
      <c r="K730" s="56"/>
      <c r="L730" s="56"/>
      <c r="M730" s="56"/>
      <c r="N730" s="56"/>
      <c r="O730" s="59"/>
      <c r="P730" s="56"/>
      <c r="Q730" s="56"/>
      <c r="R730" s="56"/>
      <c r="S730" s="57"/>
      <c r="T730" s="56"/>
      <c r="U730" s="56"/>
      <c r="V730" s="56"/>
      <c r="W730" s="57"/>
      <c r="X730" s="51"/>
      <c r="Y730" s="51"/>
      <c r="Z730" s="51"/>
      <c r="AA730" s="51"/>
      <c r="AB730" s="51"/>
      <c r="AC730" s="51"/>
    </row>
    <row r="731" ht="15.75" customHeight="1">
      <c r="A731" s="56"/>
      <c r="B731" s="57"/>
      <c r="C731" s="58"/>
      <c r="D731" s="56"/>
      <c r="E731" s="56"/>
      <c r="F731" s="56"/>
      <c r="G731" s="56"/>
      <c r="H731" s="56"/>
      <c r="I731" s="56"/>
      <c r="J731" s="56"/>
      <c r="K731" s="56"/>
      <c r="L731" s="56"/>
      <c r="M731" s="56"/>
      <c r="N731" s="56"/>
      <c r="O731" s="59"/>
      <c r="P731" s="56"/>
      <c r="Q731" s="56"/>
      <c r="R731" s="56"/>
      <c r="S731" s="57"/>
      <c r="T731" s="56"/>
      <c r="U731" s="56"/>
      <c r="V731" s="56"/>
      <c r="W731" s="57"/>
      <c r="X731" s="51"/>
      <c r="Y731" s="51"/>
      <c r="Z731" s="51"/>
      <c r="AA731" s="51"/>
      <c r="AB731" s="51"/>
      <c r="AC731" s="51"/>
    </row>
    <row r="732" ht="15.75" customHeight="1">
      <c r="A732" s="56"/>
      <c r="B732" s="57"/>
      <c r="C732" s="58"/>
      <c r="D732" s="56"/>
      <c r="E732" s="56"/>
      <c r="F732" s="56"/>
      <c r="G732" s="56"/>
      <c r="H732" s="56"/>
      <c r="I732" s="56"/>
      <c r="J732" s="56"/>
      <c r="K732" s="56"/>
      <c r="L732" s="56"/>
      <c r="M732" s="56"/>
      <c r="N732" s="56"/>
      <c r="O732" s="59"/>
      <c r="P732" s="56"/>
      <c r="Q732" s="56"/>
      <c r="R732" s="56"/>
      <c r="S732" s="57"/>
      <c r="T732" s="56"/>
      <c r="U732" s="56"/>
      <c r="V732" s="56"/>
      <c r="W732" s="57"/>
      <c r="X732" s="51"/>
      <c r="Y732" s="51"/>
      <c r="Z732" s="51"/>
      <c r="AA732" s="51"/>
      <c r="AB732" s="51"/>
      <c r="AC732" s="51"/>
    </row>
    <row r="733" ht="15.75" customHeight="1">
      <c r="A733" s="56"/>
      <c r="B733" s="57"/>
      <c r="C733" s="58"/>
      <c r="D733" s="56"/>
      <c r="E733" s="56"/>
      <c r="F733" s="56"/>
      <c r="G733" s="56"/>
      <c r="H733" s="56"/>
      <c r="I733" s="56"/>
      <c r="J733" s="56"/>
      <c r="K733" s="56"/>
      <c r="L733" s="56"/>
      <c r="M733" s="56"/>
      <c r="N733" s="56"/>
      <c r="O733" s="59"/>
      <c r="P733" s="56"/>
      <c r="Q733" s="56"/>
      <c r="R733" s="56"/>
      <c r="S733" s="57"/>
      <c r="T733" s="56"/>
      <c r="U733" s="56"/>
      <c r="V733" s="56"/>
      <c r="W733" s="57"/>
      <c r="X733" s="51"/>
      <c r="Y733" s="51"/>
      <c r="Z733" s="51"/>
      <c r="AA733" s="51"/>
      <c r="AB733" s="51"/>
      <c r="AC733" s="51"/>
    </row>
    <row r="734" ht="15.75" customHeight="1">
      <c r="A734" s="56"/>
      <c r="B734" s="57"/>
      <c r="C734" s="58"/>
      <c r="D734" s="56"/>
      <c r="E734" s="56"/>
      <c r="F734" s="56"/>
      <c r="G734" s="56"/>
      <c r="H734" s="56"/>
      <c r="I734" s="56"/>
      <c r="J734" s="56"/>
      <c r="K734" s="56"/>
      <c r="L734" s="56"/>
      <c r="M734" s="56"/>
      <c r="N734" s="56"/>
      <c r="O734" s="59"/>
      <c r="P734" s="56"/>
      <c r="Q734" s="56"/>
      <c r="R734" s="56"/>
      <c r="S734" s="57"/>
      <c r="T734" s="56"/>
      <c r="U734" s="56"/>
      <c r="V734" s="56"/>
      <c r="W734" s="57"/>
      <c r="X734" s="51"/>
      <c r="Y734" s="51"/>
      <c r="Z734" s="51"/>
      <c r="AA734" s="51"/>
      <c r="AB734" s="51"/>
      <c r="AC734" s="51"/>
    </row>
    <row r="735" ht="15.75" customHeight="1">
      <c r="A735" s="56"/>
      <c r="B735" s="57"/>
      <c r="C735" s="58"/>
      <c r="D735" s="56"/>
      <c r="E735" s="56"/>
      <c r="F735" s="56"/>
      <c r="G735" s="56"/>
      <c r="H735" s="56"/>
      <c r="I735" s="56"/>
      <c r="J735" s="56"/>
      <c r="K735" s="56"/>
      <c r="L735" s="56"/>
      <c r="M735" s="56"/>
      <c r="N735" s="56"/>
      <c r="O735" s="59"/>
      <c r="P735" s="56"/>
      <c r="Q735" s="56"/>
      <c r="R735" s="56"/>
      <c r="S735" s="57"/>
      <c r="T735" s="56"/>
      <c r="U735" s="56"/>
      <c r="V735" s="56"/>
      <c r="W735" s="57"/>
      <c r="X735" s="51"/>
      <c r="Y735" s="51"/>
      <c r="Z735" s="51"/>
      <c r="AA735" s="51"/>
      <c r="AB735" s="51"/>
      <c r="AC735" s="51"/>
    </row>
    <row r="736" ht="15.75" customHeight="1">
      <c r="A736" s="56"/>
      <c r="B736" s="57"/>
      <c r="C736" s="58"/>
      <c r="D736" s="56"/>
      <c r="E736" s="56"/>
      <c r="F736" s="56"/>
      <c r="G736" s="56"/>
      <c r="H736" s="56"/>
      <c r="I736" s="56"/>
      <c r="J736" s="56"/>
      <c r="K736" s="56"/>
      <c r="L736" s="56"/>
      <c r="M736" s="56"/>
      <c r="N736" s="56"/>
      <c r="O736" s="59"/>
      <c r="P736" s="56"/>
      <c r="Q736" s="56"/>
      <c r="R736" s="56"/>
      <c r="S736" s="57"/>
      <c r="T736" s="56"/>
      <c r="U736" s="56"/>
      <c r="V736" s="56"/>
      <c r="W736" s="57"/>
      <c r="X736" s="51"/>
      <c r="Y736" s="51"/>
      <c r="Z736" s="51"/>
      <c r="AA736" s="51"/>
      <c r="AB736" s="51"/>
      <c r="AC736" s="51"/>
    </row>
    <row r="737" ht="15.75" customHeight="1">
      <c r="A737" s="56"/>
      <c r="B737" s="57"/>
      <c r="C737" s="58"/>
      <c r="D737" s="56"/>
      <c r="E737" s="56"/>
      <c r="F737" s="56"/>
      <c r="G737" s="56"/>
      <c r="H737" s="56"/>
      <c r="I737" s="56"/>
      <c r="J737" s="56"/>
      <c r="K737" s="56"/>
      <c r="L737" s="56"/>
      <c r="M737" s="56"/>
      <c r="N737" s="56"/>
      <c r="O737" s="59"/>
      <c r="P737" s="56"/>
      <c r="Q737" s="56"/>
      <c r="R737" s="56"/>
      <c r="S737" s="57"/>
      <c r="T737" s="56"/>
      <c r="U737" s="56"/>
      <c r="V737" s="56"/>
      <c r="W737" s="57"/>
      <c r="X737" s="51"/>
      <c r="Y737" s="51"/>
      <c r="Z737" s="51"/>
      <c r="AA737" s="51"/>
      <c r="AB737" s="51"/>
      <c r="AC737" s="51"/>
    </row>
    <row r="738" ht="15.75" customHeight="1">
      <c r="A738" s="56"/>
      <c r="B738" s="57"/>
      <c r="C738" s="58"/>
      <c r="D738" s="56"/>
      <c r="E738" s="56"/>
      <c r="F738" s="56"/>
      <c r="G738" s="56"/>
      <c r="H738" s="56"/>
      <c r="I738" s="56"/>
      <c r="J738" s="56"/>
      <c r="K738" s="56"/>
      <c r="L738" s="56"/>
      <c r="M738" s="56"/>
      <c r="N738" s="56"/>
      <c r="O738" s="59"/>
      <c r="P738" s="56"/>
      <c r="Q738" s="56"/>
      <c r="R738" s="56"/>
      <c r="S738" s="57"/>
      <c r="T738" s="56"/>
      <c r="U738" s="56"/>
      <c r="V738" s="56"/>
      <c r="W738" s="57"/>
      <c r="X738" s="51"/>
      <c r="Y738" s="51"/>
      <c r="Z738" s="51"/>
      <c r="AA738" s="51"/>
      <c r="AB738" s="51"/>
      <c r="AC738" s="51"/>
    </row>
    <row r="739" ht="15.75" customHeight="1">
      <c r="A739" s="56"/>
      <c r="B739" s="57"/>
      <c r="C739" s="58"/>
      <c r="D739" s="56"/>
      <c r="E739" s="56"/>
      <c r="F739" s="56"/>
      <c r="G739" s="56"/>
      <c r="H739" s="56"/>
      <c r="I739" s="56"/>
      <c r="J739" s="56"/>
      <c r="K739" s="56"/>
      <c r="L739" s="56"/>
      <c r="M739" s="56"/>
      <c r="N739" s="56"/>
      <c r="O739" s="59"/>
      <c r="P739" s="56"/>
      <c r="Q739" s="56"/>
      <c r="R739" s="56"/>
      <c r="S739" s="57"/>
      <c r="T739" s="56"/>
      <c r="U739" s="56"/>
      <c r="V739" s="56"/>
      <c r="W739" s="57"/>
      <c r="X739" s="51"/>
      <c r="Y739" s="51"/>
      <c r="Z739" s="51"/>
      <c r="AA739" s="51"/>
      <c r="AB739" s="51"/>
      <c r="AC739" s="51"/>
    </row>
    <row r="740" ht="15.75" customHeight="1">
      <c r="A740" s="56"/>
      <c r="B740" s="57"/>
      <c r="C740" s="58"/>
      <c r="D740" s="56"/>
      <c r="E740" s="56"/>
      <c r="F740" s="56"/>
      <c r="G740" s="56"/>
      <c r="H740" s="56"/>
      <c r="I740" s="56"/>
      <c r="J740" s="56"/>
      <c r="K740" s="56"/>
      <c r="L740" s="56"/>
      <c r="M740" s="56"/>
      <c r="N740" s="56"/>
      <c r="O740" s="59"/>
      <c r="P740" s="56"/>
      <c r="Q740" s="56"/>
      <c r="R740" s="56"/>
      <c r="S740" s="57"/>
      <c r="T740" s="56"/>
      <c r="U740" s="56"/>
      <c r="V740" s="56"/>
      <c r="W740" s="57"/>
      <c r="X740" s="51"/>
      <c r="Y740" s="51"/>
      <c r="Z740" s="51"/>
      <c r="AA740" s="51"/>
      <c r="AB740" s="51"/>
      <c r="AC740" s="51"/>
    </row>
    <row r="741" ht="15.75" customHeight="1">
      <c r="A741" s="56"/>
      <c r="B741" s="57"/>
      <c r="C741" s="58"/>
      <c r="D741" s="56"/>
      <c r="E741" s="56"/>
      <c r="F741" s="56"/>
      <c r="G741" s="56"/>
      <c r="H741" s="56"/>
      <c r="I741" s="56"/>
      <c r="J741" s="56"/>
      <c r="K741" s="56"/>
      <c r="L741" s="56"/>
      <c r="M741" s="56"/>
      <c r="N741" s="56"/>
      <c r="O741" s="59"/>
      <c r="P741" s="56"/>
      <c r="Q741" s="56"/>
      <c r="R741" s="56"/>
      <c r="S741" s="57"/>
      <c r="T741" s="56"/>
      <c r="U741" s="56"/>
      <c r="V741" s="56"/>
      <c r="W741" s="57"/>
      <c r="X741" s="51"/>
      <c r="Y741" s="51"/>
      <c r="Z741" s="51"/>
      <c r="AA741" s="51"/>
      <c r="AB741" s="51"/>
      <c r="AC741" s="51"/>
    </row>
    <row r="742" ht="15.75" customHeight="1">
      <c r="A742" s="56"/>
      <c r="B742" s="57"/>
      <c r="C742" s="58"/>
      <c r="D742" s="56"/>
      <c r="E742" s="56"/>
      <c r="F742" s="56"/>
      <c r="G742" s="56"/>
      <c r="H742" s="56"/>
      <c r="I742" s="56"/>
      <c r="J742" s="56"/>
      <c r="K742" s="56"/>
      <c r="L742" s="56"/>
      <c r="M742" s="56"/>
      <c r="N742" s="56"/>
      <c r="O742" s="59"/>
      <c r="P742" s="56"/>
      <c r="Q742" s="56"/>
      <c r="R742" s="56"/>
      <c r="S742" s="57"/>
      <c r="T742" s="56"/>
      <c r="U742" s="56"/>
      <c r="V742" s="56"/>
      <c r="W742" s="57"/>
      <c r="X742" s="51"/>
      <c r="Y742" s="51"/>
      <c r="Z742" s="51"/>
      <c r="AA742" s="51"/>
      <c r="AB742" s="51"/>
      <c r="AC742" s="51"/>
    </row>
    <row r="743" ht="15.75" customHeight="1">
      <c r="A743" s="56"/>
      <c r="B743" s="57"/>
      <c r="C743" s="58"/>
      <c r="D743" s="56"/>
      <c r="E743" s="56"/>
      <c r="F743" s="56"/>
      <c r="G743" s="56"/>
      <c r="H743" s="56"/>
      <c r="I743" s="56"/>
      <c r="J743" s="56"/>
      <c r="K743" s="56"/>
      <c r="L743" s="56"/>
      <c r="M743" s="56"/>
      <c r="N743" s="56"/>
      <c r="O743" s="59"/>
      <c r="P743" s="56"/>
      <c r="Q743" s="56"/>
      <c r="R743" s="56"/>
      <c r="S743" s="57"/>
      <c r="T743" s="56"/>
      <c r="U743" s="56"/>
      <c r="V743" s="56"/>
      <c r="W743" s="57"/>
      <c r="X743" s="51"/>
      <c r="Y743" s="51"/>
      <c r="Z743" s="51"/>
      <c r="AA743" s="51"/>
      <c r="AB743" s="51"/>
      <c r="AC743" s="51"/>
    </row>
    <row r="744" ht="15.75" customHeight="1">
      <c r="A744" s="56"/>
      <c r="B744" s="57"/>
      <c r="C744" s="58"/>
      <c r="D744" s="56"/>
      <c r="E744" s="56"/>
      <c r="F744" s="56"/>
      <c r="G744" s="56"/>
      <c r="H744" s="56"/>
      <c r="I744" s="56"/>
      <c r="J744" s="56"/>
      <c r="K744" s="56"/>
      <c r="L744" s="56"/>
      <c r="M744" s="56"/>
      <c r="N744" s="56"/>
      <c r="O744" s="59"/>
      <c r="P744" s="56"/>
      <c r="Q744" s="56"/>
      <c r="R744" s="56"/>
      <c r="S744" s="57"/>
      <c r="T744" s="56"/>
      <c r="U744" s="56"/>
      <c r="V744" s="56"/>
      <c r="W744" s="57"/>
      <c r="X744" s="51"/>
      <c r="Y744" s="51"/>
      <c r="Z744" s="51"/>
      <c r="AA744" s="51"/>
      <c r="AB744" s="51"/>
      <c r="AC744" s="51"/>
    </row>
    <row r="745" ht="15.75" customHeight="1">
      <c r="A745" s="56"/>
      <c r="B745" s="57"/>
      <c r="C745" s="58"/>
      <c r="D745" s="56"/>
      <c r="E745" s="56"/>
      <c r="F745" s="56"/>
      <c r="G745" s="56"/>
      <c r="H745" s="56"/>
      <c r="I745" s="56"/>
      <c r="J745" s="56"/>
      <c r="K745" s="56"/>
      <c r="L745" s="56"/>
      <c r="M745" s="56"/>
      <c r="N745" s="56"/>
      <c r="O745" s="59"/>
      <c r="P745" s="56"/>
      <c r="Q745" s="56"/>
      <c r="R745" s="56"/>
      <c r="S745" s="57"/>
      <c r="T745" s="56"/>
      <c r="U745" s="56"/>
      <c r="V745" s="56"/>
      <c r="W745" s="57"/>
      <c r="X745" s="51"/>
      <c r="Y745" s="51"/>
      <c r="Z745" s="51"/>
      <c r="AA745" s="51"/>
      <c r="AB745" s="51"/>
      <c r="AC745" s="51"/>
    </row>
    <row r="746" ht="15.75" customHeight="1">
      <c r="A746" s="56"/>
      <c r="B746" s="57"/>
      <c r="C746" s="58"/>
      <c r="D746" s="56"/>
      <c r="E746" s="56"/>
      <c r="F746" s="56"/>
      <c r="G746" s="56"/>
      <c r="H746" s="56"/>
      <c r="I746" s="56"/>
      <c r="J746" s="56"/>
      <c r="K746" s="56"/>
      <c r="L746" s="56"/>
      <c r="M746" s="56"/>
      <c r="N746" s="56"/>
      <c r="O746" s="59"/>
      <c r="P746" s="56"/>
      <c r="Q746" s="56"/>
      <c r="R746" s="56"/>
      <c r="S746" s="57"/>
      <c r="T746" s="56"/>
      <c r="U746" s="56"/>
      <c r="V746" s="56"/>
      <c r="W746" s="57"/>
      <c r="X746" s="51"/>
      <c r="Y746" s="51"/>
      <c r="Z746" s="51"/>
      <c r="AA746" s="51"/>
      <c r="AB746" s="51"/>
      <c r="AC746" s="51"/>
    </row>
    <row r="747" ht="15.75" customHeight="1">
      <c r="A747" s="56"/>
      <c r="B747" s="57"/>
      <c r="C747" s="58"/>
      <c r="D747" s="56"/>
      <c r="E747" s="56"/>
      <c r="F747" s="56"/>
      <c r="G747" s="56"/>
      <c r="H747" s="56"/>
      <c r="I747" s="56"/>
      <c r="J747" s="56"/>
      <c r="K747" s="56"/>
      <c r="L747" s="56"/>
      <c r="M747" s="56"/>
      <c r="N747" s="56"/>
      <c r="O747" s="59"/>
      <c r="P747" s="56"/>
      <c r="Q747" s="56"/>
      <c r="R747" s="56"/>
      <c r="S747" s="57"/>
      <c r="T747" s="56"/>
      <c r="U747" s="56"/>
      <c r="V747" s="56"/>
      <c r="W747" s="57"/>
      <c r="X747" s="51"/>
      <c r="Y747" s="51"/>
      <c r="Z747" s="51"/>
      <c r="AA747" s="51"/>
      <c r="AB747" s="51"/>
      <c r="AC747" s="51"/>
    </row>
    <row r="748" ht="15.75" customHeight="1">
      <c r="A748" s="56"/>
      <c r="B748" s="57"/>
      <c r="C748" s="58"/>
      <c r="D748" s="56"/>
      <c r="E748" s="56"/>
      <c r="F748" s="56"/>
      <c r="G748" s="56"/>
      <c r="H748" s="56"/>
      <c r="I748" s="56"/>
      <c r="J748" s="56"/>
      <c r="K748" s="56"/>
      <c r="L748" s="56"/>
      <c r="M748" s="56"/>
      <c r="N748" s="56"/>
      <c r="O748" s="59"/>
      <c r="P748" s="56"/>
      <c r="Q748" s="56"/>
      <c r="R748" s="56"/>
      <c r="S748" s="57"/>
      <c r="T748" s="56"/>
      <c r="U748" s="56"/>
      <c r="V748" s="56"/>
      <c r="W748" s="57"/>
      <c r="X748" s="51"/>
      <c r="Y748" s="51"/>
      <c r="Z748" s="51"/>
      <c r="AA748" s="51"/>
      <c r="AB748" s="51"/>
      <c r="AC748" s="51"/>
    </row>
    <row r="749" ht="15.75" customHeight="1">
      <c r="A749" s="56"/>
      <c r="B749" s="57"/>
      <c r="C749" s="58"/>
      <c r="D749" s="56"/>
      <c r="E749" s="56"/>
      <c r="F749" s="56"/>
      <c r="G749" s="56"/>
      <c r="H749" s="56"/>
      <c r="I749" s="56"/>
      <c r="J749" s="56"/>
      <c r="K749" s="56"/>
      <c r="L749" s="56"/>
      <c r="M749" s="56"/>
      <c r="N749" s="56"/>
      <c r="O749" s="59"/>
      <c r="P749" s="56"/>
      <c r="Q749" s="56"/>
      <c r="R749" s="56"/>
      <c r="S749" s="57"/>
      <c r="T749" s="56"/>
      <c r="U749" s="56"/>
      <c r="V749" s="56"/>
      <c r="W749" s="57"/>
      <c r="X749" s="51"/>
      <c r="Y749" s="51"/>
      <c r="Z749" s="51"/>
      <c r="AA749" s="51"/>
      <c r="AB749" s="51"/>
      <c r="AC749" s="51"/>
    </row>
    <row r="750" ht="15.75" customHeight="1">
      <c r="A750" s="56"/>
      <c r="B750" s="57"/>
      <c r="C750" s="58"/>
      <c r="D750" s="56"/>
      <c r="E750" s="56"/>
      <c r="F750" s="56"/>
      <c r="G750" s="56"/>
      <c r="H750" s="56"/>
      <c r="I750" s="56"/>
      <c r="J750" s="56"/>
      <c r="K750" s="56"/>
      <c r="L750" s="56"/>
      <c r="M750" s="56"/>
      <c r="N750" s="56"/>
      <c r="O750" s="59"/>
      <c r="P750" s="56"/>
      <c r="Q750" s="56"/>
      <c r="R750" s="56"/>
      <c r="S750" s="57"/>
      <c r="T750" s="56"/>
      <c r="U750" s="56"/>
      <c r="V750" s="56"/>
      <c r="W750" s="57"/>
      <c r="X750" s="51"/>
      <c r="Y750" s="51"/>
      <c r="Z750" s="51"/>
      <c r="AA750" s="51"/>
      <c r="AB750" s="51"/>
      <c r="AC750" s="51"/>
    </row>
    <row r="751" ht="15.75" customHeight="1">
      <c r="A751" s="56"/>
      <c r="B751" s="57"/>
      <c r="C751" s="58"/>
      <c r="D751" s="56"/>
      <c r="E751" s="56"/>
      <c r="F751" s="56"/>
      <c r="G751" s="56"/>
      <c r="H751" s="56"/>
      <c r="I751" s="56"/>
      <c r="J751" s="56"/>
      <c r="K751" s="56"/>
      <c r="L751" s="56"/>
      <c r="M751" s="56"/>
      <c r="N751" s="56"/>
      <c r="O751" s="59"/>
      <c r="P751" s="56"/>
      <c r="Q751" s="56"/>
      <c r="R751" s="56"/>
      <c r="S751" s="57"/>
      <c r="T751" s="56"/>
      <c r="U751" s="56"/>
      <c r="V751" s="56"/>
      <c r="W751" s="57"/>
      <c r="X751" s="51"/>
      <c r="Y751" s="51"/>
      <c r="Z751" s="51"/>
      <c r="AA751" s="51"/>
      <c r="AB751" s="51"/>
      <c r="AC751" s="51"/>
    </row>
    <row r="752" ht="15.75" customHeight="1">
      <c r="A752" s="56"/>
      <c r="B752" s="57"/>
      <c r="C752" s="58"/>
      <c r="D752" s="56"/>
      <c r="E752" s="56"/>
      <c r="F752" s="56"/>
      <c r="G752" s="56"/>
      <c r="H752" s="56"/>
      <c r="I752" s="56"/>
      <c r="J752" s="56"/>
      <c r="K752" s="56"/>
      <c r="L752" s="56"/>
      <c r="M752" s="56"/>
      <c r="N752" s="56"/>
      <c r="O752" s="59"/>
      <c r="P752" s="56"/>
      <c r="Q752" s="56"/>
      <c r="R752" s="56"/>
      <c r="S752" s="57"/>
      <c r="T752" s="56"/>
      <c r="U752" s="56"/>
      <c r="V752" s="56"/>
      <c r="W752" s="57"/>
      <c r="X752" s="51"/>
      <c r="Y752" s="51"/>
      <c r="Z752" s="51"/>
      <c r="AA752" s="51"/>
      <c r="AB752" s="51"/>
      <c r="AC752" s="51"/>
    </row>
    <row r="753" ht="15.75" customHeight="1">
      <c r="A753" s="56"/>
      <c r="B753" s="57"/>
      <c r="C753" s="58"/>
      <c r="D753" s="56"/>
      <c r="E753" s="56"/>
      <c r="F753" s="56"/>
      <c r="G753" s="56"/>
      <c r="H753" s="56"/>
      <c r="I753" s="56"/>
      <c r="J753" s="56"/>
      <c r="K753" s="56"/>
      <c r="L753" s="56"/>
      <c r="M753" s="56"/>
      <c r="N753" s="56"/>
      <c r="O753" s="59"/>
      <c r="P753" s="56"/>
      <c r="Q753" s="56"/>
      <c r="R753" s="56"/>
      <c r="S753" s="57"/>
      <c r="T753" s="56"/>
      <c r="U753" s="56"/>
      <c r="V753" s="56"/>
      <c r="W753" s="57"/>
      <c r="X753" s="51"/>
      <c r="Y753" s="51"/>
      <c r="Z753" s="51"/>
      <c r="AA753" s="51"/>
      <c r="AB753" s="51"/>
      <c r="AC753" s="51"/>
    </row>
    <row r="754" ht="15.75" customHeight="1">
      <c r="A754" s="56"/>
      <c r="B754" s="57"/>
      <c r="C754" s="58"/>
      <c r="D754" s="56"/>
      <c r="E754" s="56"/>
      <c r="F754" s="56"/>
      <c r="G754" s="56"/>
      <c r="H754" s="56"/>
      <c r="I754" s="56"/>
      <c r="J754" s="56"/>
      <c r="K754" s="56"/>
      <c r="L754" s="56"/>
      <c r="M754" s="56"/>
      <c r="N754" s="56"/>
      <c r="O754" s="59"/>
      <c r="P754" s="56"/>
      <c r="Q754" s="56"/>
      <c r="R754" s="56"/>
      <c r="S754" s="57"/>
      <c r="T754" s="56"/>
      <c r="U754" s="56"/>
      <c r="V754" s="56"/>
      <c r="W754" s="57"/>
      <c r="X754" s="51"/>
      <c r="Y754" s="51"/>
      <c r="Z754" s="51"/>
      <c r="AA754" s="51"/>
      <c r="AB754" s="51"/>
      <c r="AC754" s="51"/>
    </row>
    <row r="755" ht="15.75" customHeight="1">
      <c r="A755" s="56"/>
      <c r="B755" s="57"/>
      <c r="C755" s="58"/>
      <c r="D755" s="56"/>
      <c r="E755" s="56"/>
      <c r="F755" s="56"/>
      <c r="G755" s="56"/>
      <c r="H755" s="56"/>
      <c r="I755" s="56"/>
      <c r="J755" s="56"/>
      <c r="K755" s="56"/>
      <c r="L755" s="56"/>
      <c r="M755" s="56"/>
      <c r="N755" s="56"/>
      <c r="O755" s="59"/>
      <c r="P755" s="56"/>
      <c r="Q755" s="56"/>
      <c r="R755" s="56"/>
      <c r="S755" s="57"/>
      <c r="T755" s="56"/>
      <c r="U755" s="56"/>
      <c r="V755" s="56"/>
      <c r="W755" s="57"/>
      <c r="X755" s="51"/>
      <c r="Y755" s="51"/>
      <c r="Z755" s="51"/>
      <c r="AA755" s="51"/>
      <c r="AB755" s="51"/>
      <c r="AC755" s="51"/>
    </row>
    <row r="756" ht="15.75" customHeight="1">
      <c r="A756" s="56"/>
      <c r="B756" s="57"/>
      <c r="C756" s="58"/>
      <c r="D756" s="56"/>
      <c r="E756" s="56"/>
      <c r="F756" s="56"/>
      <c r="G756" s="56"/>
      <c r="H756" s="56"/>
      <c r="I756" s="56"/>
      <c r="J756" s="56"/>
      <c r="K756" s="56"/>
      <c r="L756" s="56"/>
      <c r="M756" s="56"/>
      <c r="N756" s="56"/>
      <c r="O756" s="59"/>
      <c r="P756" s="56"/>
      <c r="Q756" s="56"/>
      <c r="R756" s="56"/>
      <c r="S756" s="57"/>
      <c r="T756" s="56"/>
      <c r="U756" s="56"/>
      <c r="V756" s="56"/>
      <c r="W756" s="57"/>
      <c r="X756" s="51"/>
      <c r="Y756" s="51"/>
      <c r="Z756" s="51"/>
      <c r="AA756" s="51"/>
      <c r="AB756" s="51"/>
      <c r="AC756" s="51"/>
    </row>
    <row r="757" ht="15.75" customHeight="1">
      <c r="A757" s="56"/>
      <c r="B757" s="57"/>
      <c r="C757" s="58"/>
      <c r="D757" s="56"/>
      <c r="E757" s="56"/>
      <c r="F757" s="56"/>
      <c r="G757" s="56"/>
      <c r="H757" s="56"/>
      <c r="I757" s="56"/>
      <c r="J757" s="56"/>
      <c r="K757" s="56"/>
      <c r="L757" s="56"/>
      <c r="M757" s="56"/>
      <c r="N757" s="56"/>
      <c r="O757" s="59"/>
      <c r="P757" s="56"/>
      <c r="Q757" s="56"/>
      <c r="R757" s="56"/>
      <c r="S757" s="57"/>
      <c r="T757" s="56"/>
      <c r="U757" s="56"/>
      <c r="V757" s="56"/>
      <c r="W757" s="57"/>
      <c r="X757" s="51"/>
      <c r="Y757" s="51"/>
      <c r="Z757" s="51"/>
      <c r="AA757" s="51"/>
      <c r="AB757" s="51"/>
      <c r="AC757" s="51"/>
    </row>
    <row r="758" ht="15.75" customHeight="1">
      <c r="A758" s="56"/>
      <c r="B758" s="57"/>
      <c r="C758" s="58"/>
      <c r="D758" s="56"/>
      <c r="E758" s="56"/>
      <c r="F758" s="56"/>
      <c r="G758" s="56"/>
      <c r="H758" s="56"/>
      <c r="I758" s="56"/>
      <c r="J758" s="56"/>
      <c r="K758" s="56"/>
      <c r="L758" s="56"/>
      <c r="M758" s="56"/>
      <c r="N758" s="56"/>
      <c r="O758" s="59"/>
      <c r="P758" s="56"/>
      <c r="Q758" s="56"/>
      <c r="R758" s="56"/>
      <c r="S758" s="57"/>
      <c r="T758" s="56"/>
      <c r="U758" s="56"/>
      <c r="V758" s="56"/>
      <c r="W758" s="57"/>
      <c r="X758" s="51"/>
      <c r="Y758" s="51"/>
      <c r="Z758" s="51"/>
      <c r="AA758" s="51"/>
      <c r="AB758" s="51"/>
      <c r="AC758" s="51"/>
    </row>
    <row r="759" ht="15.75" customHeight="1">
      <c r="A759" s="56"/>
      <c r="B759" s="57"/>
      <c r="C759" s="58"/>
      <c r="D759" s="56"/>
      <c r="E759" s="56"/>
      <c r="F759" s="56"/>
      <c r="G759" s="56"/>
      <c r="H759" s="56"/>
      <c r="I759" s="56"/>
      <c r="J759" s="56"/>
      <c r="K759" s="56"/>
      <c r="L759" s="56"/>
      <c r="M759" s="56"/>
      <c r="N759" s="56"/>
      <c r="O759" s="59"/>
      <c r="P759" s="56"/>
      <c r="Q759" s="56"/>
      <c r="R759" s="56"/>
      <c r="S759" s="57"/>
      <c r="T759" s="56"/>
      <c r="U759" s="56"/>
      <c r="V759" s="56"/>
      <c r="W759" s="57"/>
      <c r="X759" s="51"/>
      <c r="Y759" s="51"/>
      <c r="Z759" s="51"/>
      <c r="AA759" s="51"/>
      <c r="AB759" s="51"/>
      <c r="AC759" s="51"/>
    </row>
    <row r="760" ht="15.75" customHeight="1">
      <c r="A760" s="56"/>
      <c r="B760" s="57"/>
      <c r="C760" s="58"/>
      <c r="D760" s="56"/>
      <c r="E760" s="56"/>
      <c r="F760" s="56"/>
      <c r="G760" s="56"/>
      <c r="H760" s="56"/>
      <c r="I760" s="56"/>
      <c r="J760" s="56"/>
      <c r="K760" s="56"/>
      <c r="L760" s="56"/>
      <c r="M760" s="56"/>
      <c r="N760" s="56"/>
      <c r="O760" s="59"/>
      <c r="P760" s="56"/>
      <c r="Q760" s="56"/>
      <c r="R760" s="56"/>
      <c r="S760" s="57"/>
      <c r="T760" s="56"/>
      <c r="U760" s="56"/>
      <c r="V760" s="56"/>
      <c r="W760" s="57"/>
      <c r="X760" s="51"/>
      <c r="Y760" s="51"/>
      <c r="Z760" s="51"/>
      <c r="AA760" s="51"/>
      <c r="AB760" s="51"/>
      <c r="AC760" s="51"/>
    </row>
    <row r="761" ht="15.75" customHeight="1">
      <c r="A761" s="56"/>
      <c r="B761" s="57"/>
      <c r="C761" s="58"/>
      <c r="D761" s="56"/>
      <c r="E761" s="56"/>
      <c r="F761" s="56"/>
      <c r="G761" s="56"/>
      <c r="H761" s="56"/>
      <c r="I761" s="56"/>
      <c r="J761" s="56"/>
      <c r="K761" s="56"/>
      <c r="L761" s="56"/>
      <c r="M761" s="56"/>
      <c r="N761" s="56"/>
      <c r="O761" s="59"/>
      <c r="P761" s="56"/>
      <c r="Q761" s="56"/>
      <c r="R761" s="56"/>
      <c r="S761" s="57"/>
      <c r="T761" s="56"/>
      <c r="U761" s="56"/>
      <c r="V761" s="56"/>
      <c r="W761" s="57"/>
      <c r="X761" s="51"/>
      <c r="Y761" s="51"/>
      <c r="Z761" s="51"/>
      <c r="AA761" s="51"/>
      <c r="AB761" s="51"/>
      <c r="AC761" s="51"/>
    </row>
    <row r="762" ht="15.75" customHeight="1">
      <c r="A762" s="56"/>
      <c r="B762" s="57"/>
      <c r="C762" s="58"/>
      <c r="D762" s="56"/>
      <c r="E762" s="56"/>
      <c r="F762" s="56"/>
      <c r="G762" s="56"/>
      <c r="H762" s="56"/>
      <c r="I762" s="56"/>
      <c r="J762" s="56"/>
      <c r="K762" s="56"/>
      <c r="L762" s="56"/>
      <c r="M762" s="56"/>
      <c r="N762" s="56"/>
      <c r="O762" s="59"/>
      <c r="P762" s="56"/>
      <c r="Q762" s="56"/>
      <c r="R762" s="56"/>
      <c r="S762" s="57"/>
      <c r="T762" s="56"/>
      <c r="U762" s="56"/>
      <c r="V762" s="56"/>
      <c r="W762" s="57"/>
      <c r="X762" s="51"/>
      <c r="Y762" s="51"/>
      <c r="Z762" s="51"/>
      <c r="AA762" s="51"/>
      <c r="AB762" s="51"/>
      <c r="AC762" s="51"/>
    </row>
    <row r="763" ht="15.75" customHeight="1">
      <c r="A763" s="56"/>
      <c r="B763" s="57"/>
      <c r="C763" s="58"/>
      <c r="D763" s="56"/>
      <c r="E763" s="56"/>
      <c r="F763" s="56"/>
      <c r="G763" s="56"/>
      <c r="H763" s="56"/>
      <c r="I763" s="56"/>
      <c r="J763" s="56"/>
      <c r="K763" s="56"/>
      <c r="L763" s="56"/>
      <c r="M763" s="56"/>
      <c r="N763" s="56"/>
      <c r="O763" s="59"/>
      <c r="P763" s="56"/>
      <c r="Q763" s="56"/>
      <c r="R763" s="56"/>
      <c r="S763" s="57"/>
      <c r="T763" s="56"/>
      <c r="U763" s="56"/>
      <c r="V763" s="56"/>
      <c r="W763" s="57"/>
      <c r="X763" s="51"/>
      <c r="Y763" s="51"/>
      <c r="Z763" s="51"/>
      <c r="AA763" s="51"/>
      <c r="AB763" s="51"/>
      <c r="AC763" s="51"/>
    </row>
    <row r="764" ht="15.75" customHeight="1">
      <c r="A764" s="56"/>
      <c r="B764" s="57"/>
      <c r="C764" s="58"/>
      <c r="D764" s="56"/>
      <c r="E764" s="56"/>
      <c r="F764" s="56"/>
      <c r="G764" s="56"/>
      <c r="H764" s="56"/>
      <c r="I764" s="56"/>
      <c r="J764" s="56"/>
      <c r="K764" s="56"/>
      <c r="L764" s="56"/>
      <c r="M764" s="56"/>
      <c r="N764" s="56"/>
      <c r="O764" s="59"/>
      <c r="P764" s="56"/>
      <c r="Q764" s="56"/>
      <c r="R764" s="56"/>
      <c r="S764" s="57"/>
      <c r="T764" s="56"/>
      <c r="U764" s="56"/>
      <c r="V764" s="56"/>
      <c r="W764" s="57"/>
      <c r="X764" s="51"/>
      <c r="Y764" s="51"/>
      <c r="Z764" s="51"/>
      <c r="AA764" s="51"/>
      <c r="AB764" s="51"/>
      <c r="AC764" s="51"/>
    </row>
    <row r="765" ht="15.75" customHeight="1">
      <c r="A765" s="56"/>
      <c r="B765" s="57"/>
      <c r="C765" s="58"/>
      <c r="D765" s="56"/>
      <c r="E765" s="56"/>
      <c r="F765" s="56"/>
      <c r="G765" s="56"/>
      <c r="H765" s="56"/>
      <c r="I765" s="56"/>
      <c r="J765" s="56"/>
      <c r="K765" s="56"/>
      <c r="L765" s="56"/>
      <c r="M765" s="56"/>
      <c r="N765" s="56"/>
      <c r="O765" s="59"/>
      <c r="P765" s="56"/>
      <c r="Q765" s="56"/>
      <c r="R765" s="56"/>
      <c r="S765" s="57"/>
      <c r="T765" s="56"/>
      <c r="U765" s="56"/>
      <c r="V765" s="56"/>
      <c r="W765" s="57"/>
      <c r="X765" s="51"/>
      <c r="Y765" s="51"/>
      <c r="Z765" s="51"/>
      <c r="AA765" s="51"/>
      <c r="AB765" s="51"/>
      <c r="AC765" s="51"/>
    </row>
    <row r="766" ht="15.75" customHeight="1">
      <c r="A766" s="56"/>
      <c r="B766" s="57"/>
      <c r="C766" s="58"/>
      <c r="D766" s="56"/>
      <c r="E766" s="56"/>
      <c r="F766" s="56"/>
      <c r="G766" s="56"/>
      <c r="H766" s="56"/>
      <c r="I766" s="56"/>
      <c r="J766" s="56"/>
      <c r="K766" s="56"/>
      <c r="L766" s="56"/>
      <c r="M766" s="56"/>
      <c r="N766" s="56"/>
      <c r="O766" s="59"/>
      <c r="P766" s="56"/>
      <c r="Q766" s="56"/>
      <c r="R766" s="56"/>
      <c r="S766" s="57"/>
      <c r="T766" s="56"/>
      <c r="U766" s="56"/>
      <c r="V766" s="56"/>
      <c r="W766" s="57"/>
      <c r="X766" s="51"/>
      <c r="Y766" s="51"/>
      <c r="Z766" s="51"/>
      <c r="AA766" s="51"/>
      <c r="AB766" s="51"/>
      <c r="AC766" s="51"/>
    </row>
    <row r="767" ht="15.75" customHeight="1">
      <c r="A767" s="56"/>
      <c r="B767" s="57"/>
      <c r="C767" s="58"/>
      <c r="D767" s="56"/>
      <c r="E767" s="56"/>
      <c r="F767" s="56"/>
      <c r="G767" s="56"/>
      <c r="H767" s="56"/>
      <c r="I767" s="56"/>
      <c r="J767" s="56"/>
      <c r="K767" s="56"/>
      <c r="L767" s="56"/>
      <c r="M767" s="56"/>
      <c r="N767" s="56"/>
      <c r="O767" s="59"/>
      <c r="P767" s="56"/>
      <c r="Q767" s="56"/>
      <c r="R767" s="56"/>
      <c r="S767" s="57"/>
      <c r="T767" s="56"/>
      <c r="U767" s="56"/>
      <c r="V767" s="56"/>
      <c r="W767" s="57"/>
      <c r="X767" s="51"/>
      <c r="Y767" s="51"/>
      <c r="Z767" s="51"/>
      <c r="AA767" s="51"/>
      <c r="AB767" s="51"/>
      <c r="AC767" s="51"/>
    </row>
    <row r="768" ht="15.75" customHeight="1">
      <c r="A768" s="56"/>
      <c r="B768" s="57"/>
      <c r="C768" s="58"/>
      <c r="D768" s="56"/>
      <c r="E768" s="56"/>
      <c r="F768" s="56"/>
      <c r="G768" s="56"/>
      <c r="H768" s="56"/>
      <c r="I768" s="56"/>
      <c r="J768" s="56"/>
      <c r="K768" s="56"/>
      <c r="L768" s="56"/>
      <c r="M768" s="56"/>
      <c r="N768" s="56"/>
      <c r="O768" s="59"/>
      <c r="P768" s="56"/>
      <c r="Q768" s="56"/>
      <c r="R768" s="56"/>
      <c r="S768" s="57"/>
      <c r="T768" s="56"/>
      <c r="U768" s="56"/>
      <c r="V768" s="56"/>
      <c r="W768" s="57"/>
      <c r="X768" s="51"/>
      <c r="Y768" s="51"/>
      <c r="Z768" s="51"/>
      <c r="AA768" s="51"/>
      <c r="AB768" s="51"/>
      <c r="AC768" s="51"/>
    </row>
    <row r="769" ht="15.75" customHeight="1">
      <c r="A769" s="56"/>
      <c r="B769" s="57"/>
      <c r="C769" s="58"/>
      <c r="D769" s="56"/>
      <c r="E769" s="56"/>
      <c r="F769" s="56"/>
      <c r="G769" s="56"/>
      <c r="H769" s="56"/>
      <c r="I769" s="56"/>
      <c r="J769" s="56"/>
      <c r="K769" s="56"/>
      <c r="L769" s="56"/>
      <c r="M769" s="56"/>
      <c r="N769" s="56"/>
      <c r="O769" s="59"/>
      <c r="P769" s="56"/>
      <c r="Q769" s="56"/>
      <c r="R769" s="56"/>
      <c r="S769" s="57"/>
      <c r="T769" s="56"/>
      <c r="U769" s="56"/>
      <c r="V769" s="56"/>
      <c r="W769" s="57"/>
      <c r="X769" s="51"/>
      <c r="Y769" s="51"/>
      <c r="Z769" s="51"/>
      <c r="AA769" s="51"/>
      <c r="AB769" s="51"/>
      <c r="AC769" s="51"/>
    </row>
    <row r="770" ht="15.75" customHeight="1">
      <c r="A770" s="56"/>
      <c r="B770" s="57"/>
      <c r="C770" s="58"/>
      <c r="D770" s="56"/>
      <c r="E770" s="56"/>
      <c r="F770" s="56"/>
      <c r="G770" s="56"/>
      <c r="H770" s="56"/>
      <c r="I770" s="56"/>
      <c r="J770" s="56"/>
      <c r="K770" s="56"/>
      <c r="L770" s="56"/>
      <c r="M770" s="56"/>
      <c r="N770" s="56"/>
      <c r="O770" s="59"/>
      <c r="P770" s="56"/>
      <c r="Q770" s="56"/>
      <c r="R770" s="56"/>
      <c r="S770" s="57"/>
      <c r="T770" s="56"/>
      <c r="U770" s="56"/>
      <c r="V770" s="56"/>
      <c r="W770" s="57"/>
      <c r="X770" s="51"/>
      <c r="Y770" s="51"/>
      <c r="Z770" s="51"/>
      <c r="AA770" s="51"/>
      <c r="AB770" s="51"/>
      <c r="AC770" s="51"/>
    </row>
    <row r="771" ht="15.75" customHeight="1">
      <c r="A771" s="56"/>
      <c r="B771" s="57"/>
      <c r="C771" s="58"/>
      <c r="D771" s="56"/>
      <c r="E771" s="56"/>
      <c r="F771" s="56"/>
      <c r="G771" s="56"/>
      <c r="H771" s="56"/>
      <c r="I771" s="56"/>
      <c r="J771" s="56"/>
      <c r="K771" s="56"/>
      <c r="L771" s="56"/>
      <c r="M771" s="56"/>
      <c r="N771" s="56"/>
      <c r="O771" s="59"/>
      <c r="P771" s="56"/>
      <c r="Q771" s="56"/>
      <c r="R771" s="56"/>
      <c r="S771" s="57"/>
      <c r="T771" s="56"/>
      <c r="U771" s="56"/>
      <c r="V771" s="56"/>
      <c r="W771" s="57"/>
      <c r="X771" s="51"/>
      <c r="Y771" s="51"/>
      <c r="Z771" s="51"/>
      <c r="AA771" s="51"/>
      <c r="AB771" s="51"/>
      <c r="AC771" s="51"/>
    </row>
    <row r="772" ht="15.75" customHeight="1">
      <c r="A772" s="56"/>
      <c r="B772" s="57"/>
      <c r="C772" s="58"/>
      <c r="D772" s="56"/>
      <c r="E772" s="56"/>
      <c r="F772" s="56"/>
      <c r="G772" s="56"/>
      <c r="H772" s="56"/>
      <c r="I772" s="56"/>
      <c r="J772" s="56"/>
      <c r="K772" s="56"/>
      <c r="L772" s="56"/>
      <c r="M772" s="56"/>
      <c r="N772" s="56"/>
      <c r="O772" s="59"/>
      <c r="P772" s="56"/>
      <c r="Q772" s="56"/>
      <c r="R772" s="56"/>
      <c r="S772" s="57"/>
      <c r="T772" s="56"/>
      <c r="U772" s="56"/>
      <c r="V772" s="56"/>
      <c r="W772" s="57"/>
      <c r="X772" s="51"/>
      <c r="Y772" s="51"/>
      <c r="Z772" s="51"/>
      <c r="AA772" s="51"/>
      <c r="AB772" s="51"/>
      <c r="AC772" s="51"/>
    </row>
    <row r="773" ht="15.75" customHeight="1">
      <c r="A773" s="56"/>
      <c r="B773" s="57"/>
      <c r="C773" s="58"/>
      <c r="D773" s="56"/>
      <c r="E773" s="56"/>
      <c r="F773" s="56"/>
      <c r="G773" s="56"/>
      <c r="H773" s="56"/>
      <c r="I773" s="56"/>
      <c r="J773" s="56"/>
      <c r="K773" s="56"/>
      <c r="L773" s="56"/>
      <c r="M773" s="56"/>
      <c r="N773" s="56"/>
      <c r="O773" s="59"/>
      <c r="P773" s="56"/>
      <c r="Q773" s="56"/>
      <c r="R773" s="56"/>
      <c r="S773" s="57"/>
      <c r="T773" s="56"/>
      <c r="U773" s="56"/>
      <c r="V773" s="56"/>
      <c r="W773" s="57"/>
      <c r="X773" s="51"/>
      <c r="Y773" s="51"/>
      <c r="Z773" s="51"/>
      <c r="AA773" s="51"/>
      <c r="AB773" s="51"/>
      <c r="AC773" s="51"/>
    </row>
    <row r="774" ht="15.75" customHeight="1">
      <c r="A774" s="56"/>
      <c r="B774" s="57"/>
      <c r="C774" s="58"/>
      <c r="D774" s="56"/>
      <c r="E774" s="56"/>
      <c r="F774" s="56"/>
      <c r="G774" s="56"/>
      <c r="H774" s="56"/>
      <c r="I774" s="56"/>
      <c r="J774" s="56"/>
      <c r="K774" s="56"/>
      <c r="L774" s="56"/>
      <c r="M774" s="56"/>
      <c r="N774" s="56"/>
      <c r="O774" s="59"/>
      <c r="P774" s="56"/>
      <c r="Q774" s="56"/>
      <c r="R774" s="56"/>
      <c r="S774" s="57"/>
      <c r="T774" s="56"/>
      <c r="U774" s="56"/>
      <c r="V774" s="56"/>
      <c r="W774" s="57"/>
      <c r="X774" s="51"/>
      <c r="Y774" s="51"/>
      <c r="Z774" s="51"/>
      <c r="AA774" s="51"/>
      <c r="AB774" s="51"/>
      <c r="AC774" s="51"/>
    </row>
    <row r="775" ht="15.75" customHeight="1">
      <c r="A775" s="56"/>
      <c r="B775" s="57"/>
      <c r="C775" s="58"/>
      <c r="D775" s="56"/>
      <c r="E775" s="56"/>
      <c r="F775" s="56"/>
      <c r="G775" s="56"/>
      <c r="H775" s="56"/>
      <c r="I775" s="56"/>
      <c r="J775" s="56"/>
      <c r="K775" s="56"/>
      <c r="L775" s="56"/>
      <c r="M775" s="56"/>
      <c r="N775" s="56"/>
      <c r="O775" s="59"/>
      <c r="P775" s="56"/>
      <c r="Q775" s="56"/>
      <c r="R775" s="56"/>
      <c r="S775" s="57"/>
      <c r="T775" s="56"/>
      <c r="U775" s="56"/>
      <c r="V775" s="56"/>
      <c r="W775" s="57"/>
      <c r="X775" s="51"/>
      <c r="Y775" s="51"/>
      <c r="Z775" s="51"/>
      <c r="AA775" s="51"/>
      <c r="AB775" s="51"/>
      <c r="AC775" s="51"/>
    </row>
    <row r="776" ht="15.75" customHeight="1">
      <c r="A776" s="56"/>
      <c r="B776" s="57"/>
      <c r="C776" s="58"/>
      <c r="D776" s="56"/>
      <c r="E776" s="56"/>
      <c r="F776" s="56"/>
      <c r="G776" s="56"/>
      <c r="H776" s="56"/>
      <c r="I776" s="56"/>
      <c r="J776" s="56"/>
      <c r="K776" s="56"/>
      <c r="L776" s="56"/>
      <c r="M776" s="56"/>
      <c r="N776" s="56"/>
      <c r="O776" s="59"/>
      <c r="P776" s="56"/>
      <c r="Q776" s="56"/>
      <c r="R776" s="56"/>
      <c r="S776" s="57"/>
      <c r="T776" s="56"/>
      <c r="U776" s="56"/>
      <c r="V776" s="56"/>
      <c r="W776" s="57"/>
      <c r="X776" s="51"/>
      <c r="Y776" s="51"/>
      <c r="Z776" s="51"/>
      <c r="AA776" s="51"/>
      <c r="AB776" s="51"/>
      <c r="AC776" s="51"/>
    </row>
    <row r="777" ht="15.75" customHeight="1">
      <c r="A777" s="56"/>
      <c r="B777" s="57"/>
      <c r="C777" s="58"/>
      <c r="D777" s="56"/>
      <c r="E777" s="56"/>
      <c r="F777" s="56"/>
      <c r="G777" s="56"/>
      <c r="H777" s="56"/>
      <c r="I777" s="56"/>
      <c r="J777" s="56"/>
      <c r="K777" s="56"/>
      <c r="L777" s="56"/>
      <c r="M777" s="56"/>
      <c r="N777" s="56"/>
      <c r="O777" s="59"/>
      <c r="P777" s="56"/>
      <c r="Q777" s="56"/>
      <c r="R777" s="56"/>
      <c r="S777" s="57"/>
      <c r="T777" s="56"/>
      <c r="U777" s="56"/>
      <c r="V777" s="56"/>
      <c r="W777" s="57"/>
      <c r="X777" s="51"/>
      <c r="Y777" s="51"/>
      <c r="Z777" s="51"/>
      <c r="AA777" s="51"/>
      <c r="AB777" s="51"/>
      <c r="AC777" s="51"/>
    </row>
    <row r="778" ht="15.75" customHeight="1">
      <c r="A778" s="56"/>
      <c r="B778" s="57"/>
      <c r="C778" s="58"/>
      <c r="D778" s="56"/>
      <c r="E778" s="56"/>
      <c r="F778" s="56"/>
      <c r="G778" s="56"/>
      <c r="H778" s="56"/>
      <c r="I778" s="56"/>
      <c r="J778" s="56"/>
      <c r="K778" s="56"/>
      <c r="L778" s="56"/>
      <c r="M778" s="56"/>
      <c r="N778" s="56"/>
      <c r="O778" s="59"/>
      <c r="P778" s="56"/>
      <c r="Q778" s="56"/>
      <c r="R778" s="56"/>
      <c r="S778" s="57"/>
      <c r="T778" s="56"/>
      <c r="U778" s="56"/>
      <c r="V778" s="56"/>
      <c r="W778" s="57"/>
      <c r="X778" s="51"/>
      <c r="Y778" s="51"/>
      <c r="Z778" s="51"/>
      <c r="AA778" s="51"/>
      <c r="AB778" s="51"/>
      <c r="AC778" s="51"/>
    </row>
    <row r="779" ht="15.75" customHeight="1">
      <c r="A779" s="56"/>
      <c r="B779" s="57"/>
      <c r="C779" s="58"/>
      <c r="D779" s="56"/>
      <c r="E779" s="56"/>
      <c r="F779" s="56"/>
      <c r="G779" s="56"/>
      <c r="H779" s="56"/>
      <c r="I779" s="56"/>
      <c r="J779" s="56"/>
      <c r="K779" s="56"/>
      <c r="L779" s="56"/>
      <c r="M779" s="56"/>
      <c r="N779" s="56"/>
      <c r="O779" s="59"/>
      <c r="P779" s="56"/>
      <c r="Q779" s="56"/>
      <c r="R779" s="56"/>
      <c r="S779" s="57"/>
      <c r="T779" s="56"/>
      <c r="U779" s="56"/>
      <c r="V779" s="56"/>
      <c r="W779" s="57"/>
      <c r="X779" s="51"/>
      <c r="Y779" s="51"/>
      <c r="Z779" s="51"/>
      <c r="AA779" s="51"/>
      <c r="AB779" s="51"/>
      <c r="AC779" s="51"/>
    </row>
    <row r="780" ht="15.75" customHeight="1">
      <c r="A780" s="56"/>
      <c r="B780" s="57"/>
      <c r="C780" s="58"/>
      <c r="D780" s="56"/>
      <c r="E780" s="56"/>
      <c r="F780" s="56"/>
      <c r="G780" s="56"/>
      <c r="H780" s="56"/>
      <c r="I780" s="56"/>
      <c r="J780" s="56"/>
      <c r="K780" s="56"/>
      <c r="L780" s="56"/>
      <c r="M780" s="56"/>
      <c r="N780" s="56"/>
      <c r="O780" s="59"/>
      <c r="P780" s="56"/>
      <c r="Q780" s="56"/>
      <c r="R780" s="56"/>
      <c r="S780" s="57"/>
      <c r="T780" s="56"/>
      <c r="U780" s="56"/>
      <c r="V780" s="56"/>
      <c r="W780" s="57"/>
      <c r="X780" s="51"/>
      <c r="Y780" s="51"/>
      <c r="Z780" s="51"/>
      <c r="AA780" s="51"/>
      <c r="AB780" s="51"/>
      <c r="AC780" s="51"/>
    </row>
    <row r="781" ht="15.75" customHeight="1">
      <c r="A781" s="56"/>
      <c r="B781" s="57"/>
      <c r="C781" s="58"/>
      <c r="D781" s="56"/>
      <c r="E781" s="56"/>
      <c r="F781" s="56"/>
      <c r="G781" s="56"/>
      <c r="H781" s="56"/>
      <c r="I781" s="56"/>
      <c r="J781" s="56"/>
      <c r="K781" s="56"/>
      <c r="L781" s="56"/>
      <c r="M781" s="56"/>
      <c r="N781" s="56"/>
      <c r="O781" s="59"/>
      <c r="P781" s="56"/>
      <c r="Q781" s="56"/>
      <c r="R781" s="56"/>
      <c r="S781" s="57"/>
      <c r="T781" s="56"/>
      <c r="U781" s="56"/>
      <c r="V781" s="56"/>
      <c r="W781" s="57"/>
      <c r="X781" s="51"/>
      <c r="Y781" s="51"/>
      <c r="Z781" s="51"/>
      <c r="AA781" s="51"/>
      <c r="AB781" s="51"/>
      <c r="AC781" s="51"/>
    </row>
    <row r="782" ht="15.75" customHeight="1">
      <c r="A782" s="56"/>
      <c r="B782" s="57"/>
      <c r="C782" s="58"/>
      <c r="D782" s="56"/>
      <c r="E782" s="56"/>
      <c r="F782" s="56"/>
      <c r="G782" s="56"/>
      <c r="H782" s="56"/>
      <c r="I782" s="56"/>
      <c r="J782" s="56"/>
      <c r="K782" s="56"/>
      <c r="L782" s="56"/>
      <c r="M782" s="56"/>
      <c r="N782" s="56"/>
      <c r="O782" s="59"/>
      <c r="P782" s="56"/>
      <c r="Q782" s="56"/>
      <c r="R782" s="56"/>
      <c r="S782" s="57"/>
      <c r="T782" s="56"/>
      <c r="U782" s="56"/>
      <c r="V782" s="56"/>
      <c r="W782" s="57"/>
      <c r="X782" s="51"/>
      <c r="Y782" s="51"/>
      <c r="Z782" s="51"/>
      <c r="AA782" s="51"/>
      <c r="AB782" s="51"/>
      <c r="AC782" s="51"/>
    </row>
    <row r="783" ht="15.75" customHeight="1">
      <c r="A783" s="56"/>
      <c r="B783" s="57"/>
      <c r="C783" s="58"/>
      <c r="D783" s="56"/>
      <c r="E783" s="56"/>
      <c r="F783" s="56"/>
      <c r="G783" s="56"/>
      <c r="H783" s="56"/>
      <c r="I783" s="56"/>
      <c r="J783" s="56"/>
      <c r="K783" s="56"/>
      <c r="L783" s="56"/>
      <c r="M783" s="56"/>
      <c r="N783" s="56"/>
      <c r="O783" s="59"/>
      <c r="P783" s="56"/>
      <c r="Q783" s="56"/>
      <c r="R783" s="56"/>
      <c r="S783" s="57"/>
      <c r="T783" s="56"/>
      <c r="U783" s="56"/>
      <c r="V783" s="56"/>
      <c r="W783" s="57"/>
      <c r="X783" s="51"/>
      <c r="Y783" s="51"/>
      <c r="Z783" s="51"/>
      <c r="AA783" s="51"/>
      <c r="AB783" s="51"/>
      <c r="AC783" s="51"/>
    </row>
    <row r="784" ht="15.75" customHeight="1">
      <c r="A784" s="56"/>
      <c r="B784" s="57"/>
      <c r="C784" s="58"/>
      <c r="D784" s="56"/>
      <c r="E784" s="56"/>
      <c r="F784" s="56"/>
      <c r="G784" s="56"/>
      <c r="H784" s="56"/>
      <c r="I784" s="56"/>
      <c r="J784" s="56"/>
      <c r="K784" s="56"/>
      <c r="L784" s="56"/>
      <c r="M784" s="56"/>
      <c r="N784" s="56"/>
      <c r="O784" s="59"/>
      <c r="P784" s="56"/>
      <c r="Q784" s="56"/>
      <c r="R784" s="56"/>
      <c r="S784" s="57"/>
      <c r="T784" s="56"/>
      <c r="U784" s="56"/>
      <c r="V784" s="56"/>
      <c r="W784" s="57"/>
      <c r="X784" s="51"/>
      <c r="Y784" s="51"/>
      <c r="Z784" s="51"/>
      <c r="AA784" s="51"/>
      <c r="AB784" s="51"/>
      <c r="AC784" s="51"/>
    </row>
    <row r="785" ht="15.75" customHeight="1">
      <c r="A785" s="56"/>
      <c r="B785" s="57"/>
      <c r="C785" s="58"/>
      <c r="D785" s="56"/>
      <c r="E785" s="56"/>
      <c r="F785" s="56"/>
      <c r="G785" s="56"/>
      <c r="H785" s="56"/>
      <c r="I785" s="56"/>
      <c r="J785" s="56"/>
      <c r="K785" s="56"/>
      <c r="L785" s="56"/>
      <c r="M785" s="56"/>
      <c r="N785" s="56"/>
      <c r="O785" s="59"/>
      <c r="P785" s="56"/>
      <c r="Q785" s="56"/>
      <c r="R785" s="56"/>
      <c r="S785" s="57"/>
      <c r="T785" s="56"/>
      <c r="U785" s="56"/>
      <c r="V785" s="56"/>
      <c r="W785" s="57"/>
      <c r="X785" s="51"/>
      <c r="Y785" s="51"/>
      <c r="Z785" s="51"/>
      <c r="AA785" s="51"/>
      <c r="AB785" s="51"/>
      <c r="AC785" s="51"/>
    </row>
    <row r="786" ht="15.75" customHeight="1">
      <c r="A786" s="56"/>
      <c r="B786" s="57"/>
      <c r="C786" s="58"/>
      <c r="D786" s="56"/>
      <c r="E786" s="56"/>
      <c r="F786" s="56"/>
      <c r="G786" s="56"/>
      <c r="H786" s="56"/>
      <c r="I786" s="56"/>
      <c r="J786" s="56"/>
      <c r="K786" s="56"/>
      <c r="L786" s="56"/>
      <c r="M786" s="56"/>
      <c r="N786" s="56"/>
      <c r="O786" s="59"/>
      <c r="P786" s="56"/>
      <c r="Q786" s="56"/>
      <c r="R786" s="56"/>
      <c r="S786" s="57"/>
      <c r="T786" s="56"/>
      <c r="U786" s="56"/>
      <c r="V786" s="56"/>
      <c r="W786" s="57"/>
      <c r="X786" s="51"/>
      <c r="Y786" s="51"/>
      <c r="Z786" s="51"/>
      <c r="AA786" s="51"/>
      <c r="AB786" s="51"/>
      <c r="AC786" s="51"/>
    </row>
    <row r="787" ht="15.75" customHeight="1">
      <c r="A787" s="56"/>
      <c r="B787" s="57"/>
      <c r="C787" s="58"/>
      <c r="D787" s="56"/>
      <c r="E787" s="56"/>
      <c r="F787" s="56"/>
      <c r="G787" s="56"/>
      <c r="H787" s="56"/>
      <c r="I787" s="56"/>
      <c r="J787" s="56"/>
      <c r="K787" s="56"/>
      <c r="L787" s="56"/>
      <c r="M787" s="56"/>
      <c r="N787" s="56"/>
      <c r="O787" s="59"/>
      <c r="P787" s="56"/>
      <c r="Q787" s="56"/>
      <c r="R787" s="56"/>
      <c r="S787" s="57"/>
      <c r="T787" s="56"/>
      <c r="U787" s="56"/>
      <c r="V787" s="56"/>
      <c r="W787" s="57"/>
      <c r="X787" s="51"/>
      <c r="Y787" s="51"/>
      <c r="Z787" s="51"/>
      <c r="AA787" s="51"/>
      <c r="AB787" s="51"/>
      <c r="AC787" s="51"/>
    </row>
    <row r="788" ht="15.75" customHeight="1">
      <c r="A788" s="56"/>
      <c r="B788" s="57"/>
      <c r="C788" s="58"/>
      <c r="D788" s="56"/>
      <c r="E788" s="56"/>
      <c r="F788" s="56"/>
      <c r="G788" s="56"/>
      <c r="H788" s="56"/>
      <c r="I788" s="56"/>
      <c r="J788" s="56"/>
      <c r="K788" s="56"/>
      <c r="L788" s="56"/>
      <c r="M788" s="56"/>
      <c r="N788" s="56"/>
      <c r="O788" s="59"/>
      <c r="P788" s="56"/>
      <c r="Q788" s="56"/>
      <c r="R788" s="56"/>
      <c r="S788" s="57"/>
      <c r="T788" s="56"/>
      <c r="U788" s="56"/>
      <c r="V788" s="56"/>
      <c r="W788" s="57"/>
      <c r="X788" s="51"/>
      <c r="Y788" s="51"/>
      <c r="Z788" s="51"/>
      <c r="AA788" s="51"/>
      <c r="AB788" s="51"/>
      <c r="AC788" s="51"/>
    </row>
    <row r="789" ht="15.75" customHeight="1">
      <c r="A789" s="56"/>
      <c r="B789" s="57"/>
      <c r="C789" s="58"/>
      <c r="D789" s="56"/>
      <c r="E789" s="56"/>
      <c r="F789" s="56"/>
      <c r="G789" s="56"/>
      <c r="H789" s="56"/>
      <c r="I789" s="56"/>
      <c r="J789" s="56"/>
      <c r="K789" s="56"/>
      <c r="L789" s="56"/>
      <c r="M789" s="56"/>
      <c r="N789" s="56"/>
      <c r="O789" s="59"/>
      <c r="P789" s="56"/>
      <c r="Q789" s="56"/>
      <c r="R789" s="56"/>
      <c r="S789" s="57"/>
      <c r="T789" s="56"/>
      <c r="U789" s="56"/>
      <c r="V789" s="56"/>
      <c r="W789" s="57"/>
      <c r="X789" s="51"/>
      <c r="Y789" s="51"/>
      <c r="Z789" s="51"/>
      <c r="AA789" s="51"/>
      <c r="AB789" s="51"/>
      <c r="AC789" s="51"/>
    </row>
    <row r="790" ht="15.75" customHeight="1">
      <c r="A790" s="56"/>
      <c r="B790" s="57"/>
      <c r="C790" s="58"/>
      <c r="D790" s="56"/>
      <c r="E790" s="56"/>
      <c r="F790" s="56"/>
      <c r="G790" s="56"/>
      <c r="H790" s="56"/>
      <c r="I790" s="56"/>
      <c r="J790" s="56"/>
      <c r="K790" s="56"/>
      <c r="L790" s="56"/>
      <c r="M790" s="56"/>
      <c r="N790" s="56"/>
      <c r="O790" s="59"/>
      <c r="P790" s="56"/>
      <c r="Q790" s="56"/>
      <c r="R790" s="56"/>
      <c r="S790" s="57"/>
      <c r="T790" s="56"/>
      <c r="U790" s="56"/>
      <c r="V790" s="56"/>
      <c r="W790" s="57"/>
      <c r="X790" s="51"/>
      <c r="Y790" s="51"/>
      <c r="Z790" s="51"/>
      <c r="AA790" s="51"/>
      <c r="AB790" s="51"/>
      <c r="AC790" s="51"/>
    </row>
    <row r="791" ht="15.75" customHeight="1">
      <c r="A791" s="56"/>
      <c r="B791" s="57"/>
      <c r="C791" s="58"/>
      <c r="D791" s="56"/>
      <c r="E791" s="56"/>
      <c r="F791" s="56"/>
      <c r="G791" s="56"/>
      <c r="H791" s="56"/>
      <c r="I791" s="56"/>
      <c r="J791" s="56"/>
      <c r="K791" s="56"/>
      <c r="L791" s="56"/>
      <c r="M791" s="56"/>
      <c r="N791" s="56"/>
      <c r="O791" s="59"/>
      <c r="P791" s="56"/>
      <c r="Q791" s="56"/>
      <c r="R791" s="56"/>
      <c r="S791" s="57"/>
      <c r="T791" s="56"/>
      <c r="U791" s="56"/>
      <c r="V791" s="56"/>
      <c r="W791" s="57"/>
      <c r="X791" s="51"/>
      <c r="Y791" s="51"/>
      <c r="Z791" s="51"/>
      <c r="AA791" s="51"/>
      <c r="AB791" s="51"/>
      <c r="AC791" s="51"/>
    </row>
    <row r="792" ht="15.75" customHeight="1">
      <c r="A792" s="56"/>
      <c r="B792" s="57"/>
      <c r="C792" s="58"/>
      <c r="D792" s="56"/>
      <c r="E792" s="56"/>
      <c r="F792" s="56"/>
      <c r="G792" s="56"/>
      <c r="H792" s="56"/>
      <c r="I792" s="56"/>
      <c r="J792" s="56"/>
      <c r="K792" s="56"/>
      <c r="L792" s="56"/>
      <c r="M792" s="56"/>
      <c r="N792" s="56"/>
      <c r="O792" s="59"/>
      <c r="P792" s="56"/>
      <c r="Q792" s="56"/>
      <c r="R792" s="56"/>
      <c r="S792" s="57"/>
      <c r="T792" s="56"/>
      <c r="U792" s="56"/>
      <c r="V792" s="56"/>
      <c r="W792" s="57"/>
      <c r="X792" s="51"/>
      <c r="Y792" s="51"/>
      <c r="Z792" s="51"/>
      <c r="AA792" s="51"/>
      <c r="AB792" s="51"/>
      <c r="AC792" s="51"/>
    </row>
    <row r="793" ht="15.75" customHeight="1">
      <c r="A793" s="56"/>
      <c r="B793" s="57"/>
      <c r="C793" s="58"/>
      <c r="D793" s="56"/>
      <c r="E793" s="56"/>
      <c r="F793" s="56"/>
      <c r="G793" s="56"/>
      <c r="H793" s="56"/>
      <c r="I793" s="56"/>
      <c r="J793" s="56"/>
      <c r="K793" s="56"/>
      <c r="L793" s="56"/>
      <c r="M793" s="56"/>
      <c r="N793" s="56"/>
      <c r="O793" s="59"/>
      <c r="P793" s="56"/>
      <c r="Q793" s="56"/>
      <c r="R793" s="56"/>
      <c r="S793" s="57"/>
      <c r="T793" s="56"/>
      <c r="U793" s="56"/>
      <c r="V793" s="56"/>
      <c r="W793" s="57"/>
      <c r="X793" s="51"/>
      <c r="Y793" s="51"/>
      <c r="Z793" s="51"/>
      <c r="AA793" s="51"/>
      <c r="AB793" s="51"/>
      <c r="AC793" s="51"/>
    </row>
    <row r="794" ht="15.75" customHeight="1">
      <c r="A794" s="56"/>
      <c r="B794" s="57"/>
      <c r="C794" s="58"/>
      <c r="D794" s="56"/>
      <c r="E794" s="56"/>
      <c r="F794" s="56"/>
      <c r="G794" s="56"/>
      <c r="H794" s="56"/>
      <c r="I794" s="56"/>
      <c r="J794" s="56"/>
      <c r="K794" s="56"/>
      <c r="L794" s="56"/>
      <c r="M794" s="56"/>
      <c r="N794" s="56"/>
      <c r="O794" s="59"/>
      <c r="P794" s="56"/>
      <c r="Q794" s="56"/>
      <c r="R794" s="56"/>
      <c r="S794" s="57"/>
      <c r="T794" s="56"/>
      <c r="U794" s="56"/>
      <c r="V794" s="56"/>
      <c r="W794" s="57"/>
      <c r="X794" s="51"/>
      <c r="Y794" s="51"/>
      <c r="Z794" s="51"/>
      <c r="AA794" s="51"/>
      <c r="AB794" s="51"/>
      <c r="AC794" s="51"/>
    </row>
    <row r="795" ht="15.75" customHeight="1">
      <c r="A795" s="56"/>
      <c r="B795" s="57"/>
      <c r="C795" s="58"/>
      <c r="D795" s="56"/>
      <c r="E795" s="56"/>
      <c r="F795" s="56"/>
      <c r="G795" s="56"/>
      <c r="H795" s="56"/>
      <c r="I795" s="56"/>
      <c r="J795" s="56"/>
      <c r="K795" s="56"/>
      <c r="L795" s="56"/>
      <c r="M795" s="56"/>
      <c r="N795" s="56"/>
      <c r="O795" s="59"/>
      <c r="P795" s="56"/>
      <c r="Q795" s="56"/>
      <c r="R795" s="56"/>
      <c r="S795" s="57"/>
      <c r="T795" s="56"/>
      <c r="U795" s="56"/>
      <c r="V795" s="56"/>
      <c r="W795" s="57"/>
      <c r="X795" s="51"/>
      <c r="Y795" s="51"/>
      <c r="Z795" s="51"/>
      <c r="AA795" s="51"/>
      <c r="AB795" s="51"/>
      <c r="AC795" s="51"/>
    </row>
    <row r="796" ht="15.75" customHeight="1">
      <c r="A796" s="56"/>
      <c r="B796" s="57"/>
      <c r="C796" s="58"/>
      <c r="D796" s="56"/>
      <c r="E796" s="56"/>
      <c r="F796" s="56"/>
      <c r="G796" s="56"/>
      <c r="H796" s="56"/>
      <c r="I796" s="56"/>
      <c r="J796" s="56"/>
      <c r="K796" s="56"/>
      <c r="L796" s="56"/>
      <c r="M796" s="56"/>
      <c r="N796" s="56"/>
      <c r="O796" s="59"/>
      <c r="P796" s="56"/>
      <c r="Q796" s="56"/>
      <c r="R796" s="56"/>
      <c r="S796" s="57"/>
      <c r="T796" s="56"/>
      <c r="U796" s="56"/>
      <c r="V796" s="56"/>
      <c r="W796" s="57"/>
      <c r="X796" s="51"/>
      <c r="Y796" s="51"/>
      <c r="Z796" s="51"/>
      <c r="AA796" s="51"/>
      <c r="AB796" s="51"/>
      <c r="AC796" s="51"/>
    </row>
    <row r="797" ht="15.75" customHeight="1">
      <c r="A797" s="56"/>
      <c r="B797" s="57"/>
      <c r="C797" s="58"/>
      <c r="D797" s="56"/>
      <c r="E797" s="56"/>
      <c r="F797" s="56"/>
      <c r="G797" s="56"/>
      <c r="H797" s="56"/>
      <c r="I797" s="56"/>
      <c r="J797" s="56"/>
      <c r="K797" s="56"/>
      <c r="L797" s="56"/>
      <c r="M797" s="56"/>
      <c r="N797" s="56"/>
      <c r="O797" s="59"/>
      <c r="P797" s="56"/>
      <c r="Q797" s="56"/>
      <c r="R797" s="56"/>
      <c r="S797" s="57"/>
      <c r="T797" s="56"/>
      <c r="U797" s="56"/>
      <c r="V797" s="56"/>
      <c r="W797" s="57"/>
      <c r="X797" s="51"/>
      <c r="Y797" s="51"/>
      <c r="Z797" s="51"/>
      <c r="AA797" s="51"/>
      <c r="AB797" s="51"/>
      <c r="AC797" s="51"/>
    </row>
    <row r="798" ht="15.75" customHeight="1">
      <c r="A798" s="56"/>
      <c r="B798" s="57"/>
      <c r="C798" s="58"/>
      <c r="D798" s="56"/>
      <c r="E798" s="56"/>
      <c r="F798" s="56"/>
      <c r="G798" s="56"/>
      <c r="H798" s="56"/>
      <c r="I798" s="56"/>
      <c r="J798" s="56"/>
      <c r="K798" s="56"/>
      <c r="L798" s="56"/>
      <c r="M798" s="56"/>
      <c r="N798" s="56"/>
      <c r="O798" s="59"/>
      <c r="P798" s="56"/>
      <c r="Q798" s="56"/>
      <c r="R798" s="56"/>
      <c r="S798" s="57"/>
      <c r="T798" s="56"/>
      <c r="U798" s="56"/>
      <c r="V798" s="56"/>
      <c r="W798" s="57"/>
      <c r="X798" s="51"/>
      <c r="Y798" s="51"/>
      <c r="Z798" s="51"/>
      <c r="AA798" s="51"/>
      <c r="AB798" s="51"/>
      <c r="AC798" s="51"/>
    </row>
    <row r="799" ht="15.75" customHeight="1">
      <c r="A799" s="56"/>
      <c r="B799" s="57"/>
      <c r="C799" s="58"/>
      <c r="D799" s="56"/>
      <c r="E799" s="56"/>
      <c r="F799" s="56"/>
      <c r="G799" s="56"/>
      <c r="H799" s="56"/>
      <c r="I799" s="56"/>
      <c r="J799" s="56"/>
      <c r="K799" s="56"/>
      <c r="L799" s="56"/>
      <c r="M799" s="56"/>
      <c r="N799" s="56"/>
      <c r="O799" s="59"/>
      <c r="P799" s="56"/>
      <c r="Q799" s="56"/>
      <c r="R799" s="56"/>
      <c r="S799" s="57"/>
      <c r="T799" s="56"/>
      <c r="U799" s="56"/>
      <c r="V799" s="56"/>
      <c r="W799" s="57"/>
      <c r="X799" s="51"/>
      <c r="Y799" s="51"/>
      <c r="Z799" s="51"/>
      <c r="AA799" s="51"/>
      <c r="AB799" s="51"/>
      <c r="AC799" s="51"/>
    </row>
    <row r="800" ht="15.75" customHeight="1">
      <c r="A800" s="56"/>
      <c r="B800" s="57"/>
      <c r="C800" s="58"/>
      <c r="D800" s="56"/>
      <c r="E800" s="56"/>
      <c r="F800" s="56"/>
      <c r="G800" s="56"/>
      <c r="H800" s="56"/>
      <c r="I800" s="56"/>
      <c r="J800" s="56"/>
      <c r="K800" s="56"/>
      <c r="L800" s="56"/>
      <c r="M800" s="56"/>
      <c r="N800" s="56"/>
      <c r="O800" s="59"/>
      <c r="P800" s="56"/>
      <c r="Q800" s="56"/>
      <c r="R800" s="56"/>
      <c r="S800" s="57"/>
      <c r="T800" s="56"/>
      <c r="U800" s="56"/>
      <c r="V800" s="56"/>
      <c r="W800" s="57"/>
      <c r="X800" s="51"/>
      <c r="Y800" s="51"/>
      <c r="Z800" s="51"/>
      <c r="AA800" s="51"/>
      <c r="AB800" s="51"/>
      <c r="AC800" s="51"/>
    </row>
    <row r="801" ht="15.75" customHeight="1">
      <c r="A801" s="56"/>
      <c r="B801" s="57"/>
      <c r="C801" s="58"/>
      <c r="D801" s="56"/>
      <c r="E801" s="56"/>
      <c r="F801" s="56"/>
      <c r="G801" s="56"/>
      <c r="H801" s="56"/>
      <c r="I801" s="56"/>
      <c r="J801" s="56"/>
      <c r="K801" s="56"/>
      <c r="L801" s="56"/>
      <c r="M801" s="56"/>
      <c r="N801" s="56"/>
      <c r="O801" s="59"/>
      <c r="P801" s="56"/>
      <c r="Q801" s="56"/>
      <c r="R801" s="56"/>
      <c r="S801" s="57"/>
      <c r="T801" s="56"/>
      <c r="U801" s="56"/>
      <c r="V801" s="56"/>
      <c r="W801" s="57"/>
      <c r="X801" s="51"/>
      <c r="Y801" s="51"/>
      <c r="Z801" s="51"/>
      <c r="AA801" s="51"/>
      <c r="AB801" s="51"/>
      <c r="AC801" s="51"/>
    </row>
    <row r="802" ht="15.75" customHeight="1">
      <c r="A802" s="56"/>
      <c r="B802" s="57"/>
      <c r="C802" s="58"/>
      <c r="D802" s="56"/>
      <c r="E802" s="56"/>
      <c r="F802" s="56"/>
      <c r="G802" s="56"/>
      <c r="H802" s="56"/>
      <c r="I802" s="56"/>
      <c r="J802" s="56"/>
      <c r="K802" s="56"/>
      <c r="L802" s="56"/>
      <c r="M802" s="56"/>
      <c r="N802" s="56"/>
      <c r="O802" s="59"/>
      <c r="P802" s="56"/>
      <c r="Q802" s="56"/>
      <c r="R802" s="56"/>
      <c r="S802" s="57"/>
      <c r="T802" s="56"/>
      <c r="U802" s="56"/>
      <c r="V802" s="56"/>
      <c r="W802" s="57"/>
      <c r="X802" s="51"/>
      <c r="Y802" s="51"/>
      <c r="Z802" s="51"/>
      <c r="AA802" s="51"/>
      <c r="AB802" s="51"/>
      <c r="AC802" s="51"/>
    </row>
    <row r="803" ht="15.75" customHeight="1">
      <c r="A803" s="56"/>
      <c r="B803" s="57"/>
      <c r="C803" s="58"/>
      <c r="D803" s="56"/>
      <c r="E803" s="56"/>
      <c r="F803" s="56"/>
      <c r="G803" s="56"/>
      <c r="H803" s="56"/>
      <c r="I803" s="56"/>
      <c r="J803" s="56"/>
      <c r="K803" s="56"/>
      <c r="L803" s="56"/>
      <c r="M803" s="56"/>
      <c r="N803" s="56"/>
      <c r="O803" s="59"/>
      <c r="P803" s="56"/>
      <c r="Q803" s="56"/>
      <c r="R803" s="56"/>
      <c r="S803" s="57"/>
      <c r="T803" s="56"/>
      <c r="U803" s="56"/>
      <c r="V803" s="56"/>
      <c r="W803" s="57"/>
      <c r="X803" s="51"/>
      <c r="Y803" s="51"/>
      <c r="Z803" s="51"/>
      <c r="AA803" s="51"/>
      <c r="AB803" s="51"/>
      <c r="AC803" s="51"/>
    </row>
    <row r="804" ht="15.75" customHeight="1">
      <c r="A804" s="56"/>
      <c r="B804" s="57"/>
      <c r="C804" s="58"/>
      <c r="D804" s="56"/>
      <c r="E804" s="56"/>
      <c r="F804" s="56"/>
      <c r="G804" s="56"/>
      <c r="H804" s="56"/>
      <c r="I804" s="56"/>
      <c r="J804" s="56"/>
      <c r="K804" s="56"/>
      <c r="L804" s="56"/>
      <c r="M804" s="56"/>
      <c r="N804" s="56"/>
      <c r="O804" s="59"/>
      <c r="P804" s="56"/>
      <c r="Q804" s="56"/>
      <c r="R804" s="56"/>
      <c r="S804" s="57"/>
      <c r="T804" s="56"/>
      <c r="U804" s="56"/>
      <c r="V804" s="56"/>
      <c r="W804" s="57"/>
      <c r="X804" s="51"/>
      <c r="Y804" s="51"/>
      <c r="Z804" s="51"/>
      <c r="AA804" s="51"/>
      <c r="AB804" s="51"/>
      <c r="AC804" s="51"/>
    </row>
    <row r="805" ht="15.75" customHeight="1">
      <c r="A805" s="56"/>
      <c r="B805" s="57"/>
      <c r="C805" s="58"/>
      <c r="D805" s="56"/>
      <c r="E805" s="56"/>
      <c r="F805" s="56"/>
      <c r="G805" s="56"/>
      <c r="H805" s="56"/>
      <c r="I805" s="56"/>
      <c r="J805" s="56"/>
      <c r="K805" s="56"/>
      <c r="L805" s="56"/>
      <c r="M805" s="56"/>
      <c r="N805" s="56"/>
      <c r="O805" s="59"/>
      <c r="P805" s="56"/>
      <c r="Q805" s="56"/>
      <c r="R805" s="56"/>
      <c r="S805" s="57"/>
      <c r="T805" s="56"/>
      <c r="U805" s="56"/>
      <c r="V805" s="56"/>
      <c r="W805" s="57"/>
      <c r="X805" s="51"/>
      <c r="Y805" s="51"/>
      <c r="Z805" s="51"/>
      <c r="AA805" s="51"/>
      <c r="AB805" s="51"/>
      <c r="AC805" s="51"/>
    </row>
    <row r="806" ht="15.75" customHeight="1">
      <c r="A806" s="56"/>
      <c r="B806" s="57"/>
      <c r="C806" s="58"/>
      <c r="D806" s="56"/>
      <c r="E806" s="56"/>
      <c r="F806" s="56"/>
      <c r="G806" s="56"/>
      <c r="H806" s="56"/>
      <c r="I806" s="56"/>
      <c r="J806" s="56"/>
      <c r="K806" s="56"/>
      <c r="L806" s="56"/>
      <c r="M806" s="56"/>
      <c r="N806" s="56"/>
      <c r="O806" s="59"/>
      <c r="P806" s="56"/>
      <c r="Q806" s="56"/>
      <c r="R806" s="56"/>
      <c r="S806" s="57"/>
      <c r="T806" s="56"/>
      <c r="U806" s="56"/>
      <c r="V806" s="56"/>
      <c r="W806" s="57"/>
      <c r="X806" s="51"/>
      <c r="Y806" s="51"/>
      <c r="Z806" s="51"/>
      <c r="AA806" s="51"/>
      <c r="AB806" s="51"/>
      <c r="AC806" s="51"/>
    </row>
    <row r="807" ht="15.75" customHeight="1">
      <c r="A807" s="56"/>
      <c r="B807" s="57"/>
      <c r="C807" s="58"/>
      <c r="D807" s="56"/>
      <c r="E807" s="56"/>
      <c r="F807" s="56"/>
      <c r="G807" s="56"/>
      <c r="H807" s="56"/>
      <c r="I807" s="56"/>
      <c r="J807" s="56"/>
      <c r="K807" s="56"/>
      <c r="L807" s="56"/>
      <c r="M807" s="56"/>
      <c r="N807" s="56"/>
      <c r="O807" s="59"/>
      <c r="P807" s="56"/>
      <c r="Q807" s="56"/>
      <c r="R807" s="56"/>
      <c r="S807" s="57"/>
      <c r="T807" s="56"/>
      <c r="U807" s="56"/>
      <c r="V807" s="56"/>
      <c r="W807" s="57"/>
      <c r="X807" s="51"/>
      <c r="Y807" s="51"/>
      <c r="Z807" s="51"/>
      <c r="AA807" s="51"/>
      <c r="AB807" s="51"/>
      <c r="AC807" s="51"/>
    </row>
    <row r="808" ht="15.75" customHeight="1">
      <c r="A808" s="56"/>
      <c r="B808" s="57"/>
      <c r="C808" s="58"/>
      <c r="D808" s="56"/>
      <c r="E808" s="56"/>
      <c r="F808" s="56"/>
      <c r="G808" s="56"/>
      <c r="H808" s="56"/>
      <c r="I808" s="56"/>
      <c r="J808" s="56"/>
      <c r="K808" s="56"/>
      <c r="L808" s="56"/>
      <c r="M808" s="56"/>
      <c r="N808" s="56"/>
      <c r="O808" s="59"/>
      <c r="P808" s="56"/>
      <c r="Q808" s="56"/>
      <c r="R808" s="56"/>
      <c r="S808" s="57"/>
      <c r="T808" s="56"/>
      <c r="U808" s="56"/>
      <c r="V808" s="56"/>
      <c r="W808" s="57"/>
      <c r="X808" s="51"/>
      <c r="Y808" s="51"/>
      <c r="Z808" s="51"/>
      <c r="AA808" s="51"/>
      <c r="AB808" s="51"/>
      <c r="AC808" s="51"/>
    </row>
    <row r="809" ht="15.75" customHeight="1">
      <c r="A809" s="56"/>
      <c r="B809" s="57"/>
      <c r="C809" s="58"/>
      <c r="D809" s="56"/>
      <c r="E809" s="56"/>
      <c r="F809" s="56"/>
      <c r="G809" s="56"/>
      <c r="H809" s="56"/>
      <c r="I809" s="56"/>
      <c r="J809" s="56"/>
      <c r="K809" s="56"/>
      <c r="L809" s="56"/>
      <c r="M809" s="56"/>
      <c r="N809" s="56"/>
      <c r="O809" s="59"/>
      <c r="P809" s="56"/>
      <c r="Q809" s="56"/>
      <c r="R809" s="56"/>
      <c r="S809" s="57"/>
      <c r="T809" s="56"/>
      <c r="U809" s="56"/>
      <c r="V809" s="56"/>
      <c r="W809" s="57"/>
      <c r="X809" s="51"/>
      <c r="Y809" s="51"/>
      <c r="Z809" s="51"/>
      <c r="AA809" s="51"/>
      <c r="AB809" s="51"/>
      <c r="AC809" s="51"/>
    </row>
    <row r="810" ht="15.75" customHeight="1">
      <c r="A810" s="56"/>
      <c r="B810" s="57"/>
      <c r="C810" s="58"/>
      <c r="D810" s="56"/>
      <c r="E810" s="56"/>
      <c r="F810" s="56"/>
      <c r="G810" s="56"/>
      <c r="H810" s="56"/>
      <c r="I810" s="56"/>
      <c r="J810" s="56"/>
      <c r="K810" s="56"/>
      <c r="L810" s="56"/>
      <c r="M810" s="56"/>
      <c r="N810" s="56"/>
      <c r="O810" s="59"/>
      <c r="P810" s="56"/>
      <c r="Q810" s="56"/>
      <c r="R810" s="56"/>
      <c r="S810" s="57"/>
      <c r="T810" s="56"/>
      <c r="U810" s="56"/>
      <c r="V810" s="56"/>
      <c r="W810" s="57"/>
      <c r="X810" s="51"/>
      <c r="Y810" s="51"/>
      <c r="Z810" s="51"/>
      <c r="AA810" s="51"/>
      <c r="AB810" s="51"/>
      <c r="AC810" s="51"/>
    </row>
    <row r="811" ht="15.75" customHeight="1">
      <c r="A811" s="56"/>
      <c r="B811" s="57"/>
      <c r="C811" s="58"/>
      <c r="D811" s="56"/>
      <c r="E811" s="56"/>
      <c r="F811" s="56"/>
      <c r="G811" s="56"/>
      <c r="H811" s="56"/>
      <c r="I811" s="56"/>
      <c r="J811" s="56"/>
      <c r="K811" s="56"/>
      <c r="L811" s="56"/>
      <c r="M811" s="56"/>
      <c r="N811" s="56"/>
      <c r="O811" s="59"/>
      <c r="P811" s="56"/>
      <c r="Q811" s="56"/>
      <c r="R811" s="56"/>
      <c r="S811" s="57"/>
      <c r="T811" s="56"/>
      <c r="U811" s="56"/>
      <c r="V811" s="56"/>
      <c r="W811" s="57"/>
      <c r="X811" s="51"/>
      <c r="Y811" s="51"/>
      <c r="Z811" s="51"/>
      <c r="AA811" s="51"/>
      <c r="AB811" s="51"/>
      <c r="AC811" s="51"/>
    </row>
    <row r="812" ht="15.75" customHeight="1">
      <c r="A812" s="56"/>
      <c r="B812" s="57"/>
      <c r="C812" s="58"/>
      <c r="D812" s="56"/>
      <c r="E812" s="56"/>
      <c r="F812" s="56"/>
      <c r="G812" s="56"/>
      <c r="H812" s="56"/>
      <c r="I812" s="56"/>
      <c r="J812" s="56"/>
      <c r="K812" s="56"/>
      <c r="L812" s="56"/>
      <c r="M812" s="56"/>
      <c r="N812" s="56"/>
      <c r="O812" s="59"/>
      <c r="P812" s="56"/>
      <c r="Q812" s="56"/>
      <c r="R812" s="56"/>
      <c r="S812" s="57"/>
      <c r="T812" s="56"/>
      <c r="U812" s="56"/>
      <c r="V812" s="56"/>
      <c r="W812" s="57"/>
      <c r="X812" s="51"/>
      <c r="Y812" s="51"/>
      <c r="Z812" s="51"/>
      <c r="AA812" s="51"/>
      <c r="AB812" s="51"/>
      <c r="AC812" s="51"/>
    </row>
    <row r="813" ht="15.75" customHeight="1">
      <c r="A813" s="56"/>
      <c r="B813" s="57"/>
      <c r="C813" s="58"/>
      <c r="D813" s="56"/>
      <c r="E813" s="56"/>
      <c r="F813" s="56"/>
      <c r="G813" s="56"/>
      <c r="H813" s="56"/>
      <c r="I813" s="56"/>
      <c r="J813" s="56"/>
      <c r="K813" s="56"/>
      <c r="L813" s="56"/>
      <c r="M813" s="56"/>
      <c r="N813" s="56"/>
      <c r="O813" s="59"/>
      <c r="P813" s="56"/>
      <c r="Q813" s="56"/>
      <c r="R813" s="56"/>
      <c r="S813" s="57"/>
      <c r="T813" s="56"/>
      <c r="U813" s="56"/>
      <c r="V813" s="56"/>
      <c r="W813" s="57"/>
      <c r="X813" s="51"/>
      <c r="Y813" s="51"/>
      <c r="Z813" s="51"/>
      <c r="AA813" s="51"/>
      <c r="AB813" s="51"/>
      <c r="AC813" s="51"/>
    </row>
    <row r="814" ht="15.75" customHeight="1">
      <c r="A814" s="56"/>
      <c r="B814" s="57"/>
      <c r="C814" s="58"/>
      <c r="D814" s="56"/>
      <c r="E814" s="56"/>
      <c r="F814" s="56"/>
      <c r="G814" s="56"/>
      <c r="H814" s="56"/>
      <c r="I814" s="56"/>
      <c r="J814" s="56"/>
      <c r="K814" s="56"/>
      <c r="L814" s="56"/>
      <c r="M814" s="56"/>
      <c r="N814" s="56"/>
      <c r="O814" s="59"/>
      <c r="P814" s="56"/>
      <c r="Q814" s="56"/>
      <c r="R814" s="56"/>
      <c r="S814" s="57"/>
      <c r="T814" s="56"/>
      <c r="U814" s="56"/>
      <c r="V814" s="56"/>
      <c r="W814" s="57"/>
      <c r="X814" s="51"/>
      <c r="Y814" s="51"/>
      <c r="Z814" s="51"/>
      <c r="AA814" s="51"/>
      <c r="AB814" s="51"/>
      <c r="AC814" s="51"/>
    </row>
    <row r="815" ht="15.75" customHeight="1">
      <c r="A815" s="56"/>
      <c r="B815" s="57"/>
      <c r="C815" s="58"/>
      <c r="D815" s="56"/>
      <c r="E815" s="56"/>
      <c r="F815" s="56"/>
      <c r="G815" s="56"/>
      <c r="H815" s="56"/>
      <c r="I815" s="56"/>
      <c r="J815" s="56"/>
      <c r="K815" s="56"/>
      <c r="L815" s="56"/>
      <c r="M815" s="56"/>
      <c r="N815" s="56"/>
      <c r="O815" s="59"/>
      <c r="P815" s="56"/>
      <c r="Q815" s="56"/>
      <c r="R815" s="56"/>
      <c r="S815" s="57"/>
      <c r="T815" s="56"/>
      <c r="U815" s="56"/>
      <c r="V815" s="56"/>
      <c r="W815" s="57"/>
      <c r="X815" s="51"/>
      <c r="Y815" s="51"/>
      <c r="Z815" s="51"/>
      <c r="AA815" s="51"/>
      <c r="AB815" s="51"/>
      <c r="AC815" s="51"/>
    </row>
    <row r="816" ht="15.75" customHeight="1">
      <c r="A816" s="56"/>
      <c r="B816" s="57"/>
      <c r="C816" s="58"/>
      <c r="D816" s="56"/>
      <c r="E816" s="56"/>
      <c r="F816" s="56"/>
      <c r="G816" s="56"/>
      <c r="H816" s="56"/>
      <c r="I816" s="56"/>
      <c r="J816" s="56"/>
      <c r="K816" s="56"/>
      <c r="L816" s="56"/>
      <c r="M816" s="56"/>
      <c r="N816" s="56"/>
      <c r="O816" s="59"/>
      <c r="P816" s="56"/>
      <c r="Q816" s="56"/>
      <c r="R816" s="56"/>
      <c r="S816" s="57"/>
      <c r="T816" s="56"/>
      <c r="U816" s="56"/>
      <c r="V816" s="56"/>
      <c r="W816" s="57"/>
      <c r="X816" s="51"/>
      <c r="Y816" s="51"/>
      <c r="Z816" s="51"/>
      <c r="AA816" s="51"/>
      <c r="AB816" s="51"/>
      <c r="AC816" s="51"/>
    </row>
    <row r="817" ht="15.75" customHeight="1">
      <c r="A817" s="56"/>
      <c r="B817" s="57"/>
      <c r="C817" s="58"/>
      <c r="D817" s="56"/>
      <c r="E817" s="56"/>
      <c r="F817" s="56"/>
      <c r="G817" s="56"/>
      <c r="H817" s="56"/>
      <c r="I817" s="56"/>
      <c r="J817" s="56"/>
      <c r="K817" s="56"/>
      <c r="L817" s="56"/>
      <c r="M817" s="56"/>
      <c r="N817" s="56"/>
      <c r="O817" s="59"/>
      <c r="P817" s="56"/>
      <c r="Q817" s="56"/>
      <c r="R817" s="56"/>
      <c r="S817" s="57"/>
      <c r="T817" s="56"/>
      <c r="U817" s="56"/>
      <c r="V817" s="56"/>
      <c r="W817" s="57"/>
      <c r="X817" s="51"/>
      <c r="Y817" s="51"/>
      <c r="Z817" s="51"/>
      <c r="AA817" s="51"/>
      <c r="AB817" s="51"/>
      <c r="AC817" s="51"/>
    </row>
    <row r="818" ht="15.75" customHeight="1">
      <c r="A818" s="56"/>
      <c r="B818" s="57"/>
      <c r="C818" s="58"/>
      <c r="D818" s="56"/>
      <c r="E818" s="56"/>
      <c r="F818" s="56"/>
      <c r="G818" s="56"/>
      <c r="H818" s="56"/>
      <c r="I818" s="56"/>
      <c r="J818" s="56"/>
      <c r="K818" s="56"/>
      <c r="L818" s="56"/>
      <c r="M818" s="56"/>
      <c r="N818" s="56"/>
      <c r="O818" s="59"/>
      <c r="P818" s="56"/>
      <c r="Q818" s="56"/>
      <c r="R818" s="56"/>
      <c r="S818" s="57"/>
      <c r="T818" s="56"/>
      <c r="U818" s="56"/>
      <c r="V818" s="56"/>
      <c r="W818" s="57"/>
      <c r="X818" s="51"/>
      <c r="Y818" s="51"/>
      <c r="Z818" s="51"/>
      <c r="AA818" s="51"/>
      <c r="AB818" s="51"/>
      <c r="AC818" s="51"/>
    </row>
    <row r="819" ht="15.75" customHeight="1">
      <c r="A819" s="56"/>
      <c r="B819" s="57"/>
      <c r="C819" s="58"/>
      <c r="D819" s="56"/>
      <c r="E819" s="56"/>
      <c r="F819" s="56"/>
      <c r="G819" s="56"/>
      <c r="H819" s="56"/>
      <c r="I819" s="56"/>
      <c r="J819" s="56"/>
      <c r="K819" s="56"/>
      <c r="L819" s="56"/>
      <c r="M819" s="56"/>
      <c r="N819" s="56"/>
      <c r="O819" s="59"/>
      <c r="P819" s="56"/>
      <c r="Q819" s="56"/>
      <c r="R819" s="56"/>
      <c r="S819" s="57"/>
      <c r="T819" s="56"/>
      <c r="U819" s="56"/>
      <c r="V819" s="56"/>
      <c r="W819" s="57"/>
      <c r="X819" s="51"/>
      <c r="Y819" s="51"/>
      <c r="Z819" s="51"/>
      <c r="AA819" s="51"/>
      <c r="AB819" s="51"/>
      <c r="AC819" s="51"/>
    </row>
    <row r="820" ht="15.75" customHeight="1">
      <c r="A820" s="56"/>
      <c r="B820" s="57"/>
      <c r="C820" s="58"/>
      <c r="D820" s="56"/>
      <c r="E820" s="56"/>
      <c r="F820" s="56"/>
      <c r="G820" s="56"/>
      <c r="H820" s="56"/>
      <c r="I820" s="56"/>
      <c r="J820" s="56"/>
      <c r="K820" s="56"/>
      <c r="L820" s="56"/>
      <c r="M820" s="56"/>
      <c r="N820" s="56"/>
      <c r="O820" s="59"/>
      <c r="P820" s="56"/>
      <c r="Q820" s="56"/>
      <c r="R820" s="56"/>
      <c r="S820" s="57"/>
      <c r="T820" s="56"/>
      <c r="U820" s="56"/>
      <c r="V820" s="56"/>
      <c r="W820" s="57"/>
      <c r="X820" s="51"/>
      <c r="Y820" s="51"/>
      <c r="Z820" s="51"/>
      <c r="AA820" s="51"/>
      <c r="AB820" s="51"/>
      <c r="AC820" s="51"/>
    </row>
    <row r="821" ht="15.75" customHeight="1">
      <c r="A821" s="56"/>
      <c r="B821" s="57"/>
      <c r="C821" s="58"/>
      <c r="D821" s="56"/>
      <c r="E821" s="56"/>
      <c r="F821" s="56"/>
      <c r="G821" s="56"/>
      <c r="H821" s="56"/>
      <c r="I821" s="56"/>
      <c r="J821" s="56"/>
      <c r="K821" s="56"/>
      <c r="L821" s="56"/>
      <c r="M821" s="56"/>
      <c r="N821" s="56"/>
      <c r="O821" s="59"/>
      <c r="P821" s="56"/>
      <c r="Q821" s="56"/>
      <c r="R821" s="56"/>
      <c r="S821" s="57"/>
      <c r="T821" s="56"/>
      <c r="U821" s="56"/>
      <c r="V821" s="56"/>
      <c r="W821" s="57"/>
      <c r="X821" s="51"/>
      <c r="Y821" s="51"/>
      <c r="Z821" s="51"/>
      <c r="AA821" s="51"/>
      <c r="AB821" s="51"/>
      <c r="AC821" s="51"/>
    </row>
    <row r="822" ht="15.75" customHeight="1">
      <c r="A822" s="56"/>
      <c r="B822" s="57"/>
      <c r="C822" s="58"/>
      <c r="D822" s="56"/>
      <c r="E822" s="56"/>
      <c r="F822" s="56"/>
      <c r="G822" s="56"/>
      <c r="H822" s="56"/>
      <c r="I822" s="56"/>
      <c r="J822" s="56"/>
      <c r="K822" s="56"/>
      <c r="L822" s="56"/>
      <c r="M822" s="56"/>
      <c r="N822" s="56"/>
      <c r="O822" s="59"/>
      <c r="P822" s="56"/>
      <c r="Q822" s="56"/>
      <c r="R822" s="56"/>
      <c r="S822" s="57"/>
      <c r="T822" s="56"/>
      <c r="U822" s="56"/>
      <c r="V822" s="56"/>
      <c r="W822" s="57"/>
      <c r="X822" s="51"/>
      <c r="Y822" s="51"/>
      <c r="Z822" s="51"/>
      <c r="AA822" s="51"/>
      <c r="AB822" s="51"/>
      <c r="AC822" s="51"/>
    </row>
    <row r="823" ht="15.75" customHeight="1">
      <c r="A823" s="56"/>
      <c r="B823" s="57"/>
      <c r="C823" s="58"/>
      <c r="D823" s="56"/>
      <c r="E823" s="56"/>
      <c r="F823" s="56"/>
      <c r="G823" s="56"/>
      <c r="H823" s="56"/>
      <c r="I823" s="56"/>
      <c r="J823" s="56"/>
      <c r="K823" s="56"/>
      <c r="L823" s="56"/>
      <c r="M823" s="56"/>
      <c r="N823" s="56"/>
      <c r="O823" s="59"/>
      <c r="P823" s="56"/>
      <c r="Q823" s="56"/>
      <c r="R823" s="56"/>
      <c r="S823" s="57"/>
      <c r="T823" s="56"/>
      <c r="U823" s="56"/>
      <c r="V823" s="56"/>
      <c r="W823" s="57"/>
      <c r="X823" s="51"/>
      <c r="Y823" s="51"/>
      <c r="Z823" s="51"/>
      <c r="AA823" s="51"/>
      <c r="AB823" s="51"/>
      <c r="AC823" s="51"/>
    </row>
    <row r="824" ht="15.75" customHeight="1">
      <c r="A824" s="56"/>
      <c r="B824" s="57"/>
      <c r="C824" s="58"/>
      <c r="D824" s="56"/>
      <c r="E824" s="56"/>
      <c r="F824" s="56"/>
      <c r="G824" s="56"/>
      <c r="H824" s="56"/>
      <c r="I824" s="56"/>
      <c r="J824" s="56"/>
      <c r="K824" s="56"/>
      <c r="L824" s="56"/>
      <c r="M824" s="56"/>
      <c r="N824" s="56"/>
      <c r="O824" s="59"/>
      <c r="P824" s="56"/>
      <c r="Q824" s="56"/>
      <c r="R824" s="56"/>
      <c r="S824" s="57"/>
      <c r="T824" s="56"/>
      <c r="U824" s="56"/>
      <c r="V824" s="56"/>
      <c r="W824" s="57"/>
      <c r="X824" s="51"/>
      <c r="Y824" s="51"/>
      <c r="Z824" s="51"/>
      <c r="AA824" s="51"/>
      <c r="AB824" s="51"/>
      <c r="AC824" s="51"/>
    </row>
    <row r="825" ht="15.75" customHeight="1">
      <c r="A825" s="56"/>
      <c r="B825" s="57"/>
      <c r="C825" s="58"/>
      <c r="D825" s="56"/>
      <c r="E825" s="56"/>
      <c r="F825" s="56"/>
      <c r="G825" s="56"/>
      <c r="H825" s="56"/>
      <c r="I825" s="56"/>
      <c r="J825" s="56"/>
      <c r="K825" s="56"/>
      <c r="L825" s="56"/>
      <c r="M825" s="56"/>
      <c r="N825" s="56"/>
      <c r="O825" s="59"/>
      <c r="P825" s="56"/>
      <c r="Q825" s="56"/>
      <c r="R825" s="56"/>
      <c r="S825" s="57"/>
      <c r="T825" s="56"/>
      <c r="U825" s="56"/>
      <c r="V825" s="56"/>
      <c r="W825" s="57"/>
      <c r="X825" s="51"/>
      <c r="Y825" s="51"/>
      <c r="Z825" s="51"/>
      <c r="AA825" s="51"/>
      <c r="AB825" s="51"/>
      <c r="AC825" s="51"/>
    </row>
    <row r="826" ht="15.75" customHeight="1">
      <c r="A826" s="56"/>
      <c r="B826" s="57"/>
      <c r="C826" s="58"/>
      <c r="D826" s="56"/>
      <c r="E826" s="56"/>
      <c r="F826" s="56"/>
      <c r="G826" s="56"/>
      <c r="H826" s="56"/>
      <c r="I826" s="56"/>
      <c r="J826" s="56"/>
      <c r="K826" s="56"/>
      <c r="L826" s="56"/>
      <c r="M826" s="56"/>
      <c r="N826" s="56"/>
      <c r="O826" s="59"/>
      <c r="P826" s="56"/>
      <c r="Q826" s="56"/>
      <c r="R826" s="56"/>
      <c r="S826" s="57"/>
      <c r="T826" s="56"/>
      <c r="U826" s="56"/>
      <c r="V826" s="56"/>
      <c r="W826" s="57"/>
      <c r="X826" s="51"/>
      <c r="Y826" s="51"/>
      <c r="Z826" s="51"/>
      <c r="AA826" s="51"/>
      <c r="AB826" s="51"/>
      <c r="AC826" s="51"/>
    </row>
    <row r="827" ht="15.75" customHeight="1">
      <c r="A827" s="56"/>
      <c r="B827" s="57"/>
      <c r="C827" s="58"/>
      <c r="D827" s="56"/>
      <c r="E827" s="56"/>
      <c r="F827" s="56"/>
      <c r="G827" s="56"/>
      <c r="H827" s="56"/>
      <c r="I827" s="56"/>
      <c r="J827" s="56"/>
      <c r="K827" s="56"/>
      <c r="L827" s="56"/>
      <c r="M827" s="56"/>
      <c r="N827" s="56"/>
      <c r="O827" s="59"/>
      <c r="P827" s="56"/>
      <c r="Q827" s="56"/>
      <c r="R827" s="56"/>
      <c r="S827" s="57"/>
      <c r="T827" s="56"/>
      <c r="U827" s="56"/>
      <c r="V827" s="56"/>
      <c r="W827" s="57"/>
      <c r="X827" s="51"/>
      <c r="Y827" s="51"/>
      <c r="Z827" s="51"/>
      <c r="AA827" s="51"/>
      <c r="AB827" s="51"/>
      <c r="AC827" s="51"/>
    </row>
    <row r="828" ht="15.75" customHeight="1">
      <c r="A828" s="56"/>
      <c r="B828" s="57"/>
      <c r="C828" s="58"/>
      <c r="D828" s="56"/>
      <c r="E828" s="56"/>
      <c r="F828" s="56"/>
      <c r="G828" s="56"/>
      <c r="H828" s="56"/>
      <c r="I828" s="56"/>
      <c r="J828" s="56"/>
      <c r="K828" s="56"/>
      <c r="L828" s="56"/>
      <c r="M828" s="56"/>
      <c r="N828" s="56"/>
      <c r="O828" s="59"/>
      <c r="P828" s="56"/>
      <c r="Q828" s="56"/>
      <c r="R828" s="56"/>
      <c r="S828" s="57"/>
      <c r="T828" s="56"/>
      <c r="U828" s="56"/>
      <c r="V828" s="56"/>
      <c r="W828" s="57"/>
      <c r="X828" s="51"/>
      <c r="Y828" s="51"/>
      <c r="Z828" s="51"/>
      <c r="AA828" s="51"/>
      <c r="AB828" s="51"/>
      <c r="AC828" s="51"/>
    </row>
    <row r="829" ht="15.75" customHeight="1">
      <c r="A829" s="56"/>
      <c r="B829" s="57"/>
      <c r="C829" s="58"/>
      <c r="D829" s="56"/>
      <c r="E829" s="56"/>
      <c r="F829" s="56"/>
      <c r="G829" s="56"/>
      <c r="H829" s="56"/>
      <c r="I829" s="56"/>
      <c r="J829" s="56"/>
      <c r="K829" s="56"/>
      <c r="L829" s="56"/>
      <c r="M829" s="56"/>
      <c r="N829" s="56"/>
      <c r="O829" s="59"/>
      <c r="P829" s="56"/>
      <c r="Q829" s="56"/>
      <c r="R829" s="56"/>
      <c r="S829" s="57"/>
      <c r="T829" s="56"/>
      <c r="U829" s="56"/>
      <c r="V829" s="56"/>
      <c r="W829" s="57"/>
      <c r="X829" s="51"/>
      <c r="Y829" s="51"/>
      <c r="Z829" s="51"/>
      <c r="AA829" s="51"/>
      <c r="AB829" s="51"/>
      <c r="AC829" s="51"/>
    </row>
    <row r="830" ht="15.75" customHeight="1">
      <c r="A830" s="56"/>
      <c r="B830" s="57"/>
      <c r="C830" s="58"/>
      <c r="D830" s="56"/>
      <c r="E830" s="56"/>
      <c r="F830" s="56"/>
      <c r="G830" s="56"/>
      <c r="H830" s="56"/>
      <c r="I830" s="56"/>
      <c r="J830" s="56"/>
      <c r="K830" s="56"/>
      <c r="L830" s="56"/>
      <c r="M830" s="56"/>
      <c r="N830" s="56"/>
      <c r="O830" s="59"/>
      <c r="P830" s="56"/>
      <c r="Q830" s="56"/>
      <c r="R830" s="56"/>
      <c r="S830" s="57"/>
      <c r="T830" s="56"/>
      <c r="U830" s="56"/>
      <c r="V830" s="56"/>
      <c r="W830" s="57"/>
      <c r="X830" s="51"/>
      <c r="Y830" s="51"/>
      <c r="Z830" s="51"/>
      <c r="AA830" s="51"/>
      <c r="AB830" s="51"/>
      <c r="AC830" s="51"/>
    </row>
    <row r="831" ht="15.75" customHeight="1">
      <c r="A831" s="56"/>
      <c r="B831" s="57"/>
      <c r="C831" s="58"/>
      <c r="D831" s="56"/>
      <c r="E831" s="56"/>
      <c r="F831" s="56"/>
      <c r="G831" s="56"/>
      <c r="H831" s="56"/>
      <c r="I831" s="56"/>
      <c r="J831" s="56"/>
      <c r="K831" s="56"/>
      <c r="L831" s="56"/>
      <c r="M831" s="56"/>
      <c r="N831" s="56"/>
      <c r="O831" s="59"/>
      <c r="P831" s="56"/>
      <c r="Q831" s="56"/>
      <c r="R831" s="56"/>
      <c r="S831" s="57"/>
      <c r="T831" s="56"/>
      <c r="U831" s="56"/>
      <c r="V831" s="56"/>
      <c r="W831" s="57"/>
      <c r="X831" s="51"/>
      <c r="Y831" s="51"/>
      <c r="Z831" s="51"/>
      <c r="AA831" s="51"/>
      <c r="AB831" s="51"/>
      <c r="AC831" s="51"/>
    </row>
    <row r="832" ht="15.75" customHeight="1">
      <c r="A832" s="56"/>
      <c r="B832" s="57"/>
      <c r="C832" s="58"/>
      <c r="D832" s="56"/>
      <c r="E832" s="56"/>
      <c r="F832" s="56"/>
      <c r="G832" s="56"/>
      <c r="H832" s="56"/>
      <c r="I832" s="56"/>
      <c r="J832" s="56"/>
      <c r="K832" s="56"/>
      <c r="L832" s="56"/>
      <c r="M832" s="56"/>
      <c r="N832" s="56"/>
      <c r="O832" s="59"/>
      <c r="P832" s="56"/>
      <c r="Q832" s="56"/>
      <c r="R832" s="56"/>
      <c r="S832" s="57"/>
      <c r="T832" s="56"/>
      <c r="U832" s="56"/>
      <c r="V832" s="56"/>
      <c r="W832" s="57"/>
      <c r="X832" s="51"/>
      <c r="Y832" s="51"/>
      <c r="Z832" s="51"/>
      <c r="AA832" s="51"/>
      <c r="AB832" s="51"/>
      <c r="AC832" s="51"/>
    </row>
    <row r="833" ht="15.75" customHeight="1">
      <c r="A833" s="56"/>
      <c r="B833" s="57"/>
      <c r="C833" s="58"/>
      <c r="D833" s="56"/>
      <c r="E833" s="56"/>
      <c r="F833" s="56"/>
      <c r="G833" s="56"/>
      <c r="H833" s="56"/>
      <c r="I833" s="56"/>
      <c r="J833" s="56"/>
      <c r="K833" s="56"/>
      <c r="L833" s="56"/>
      <c r="M833" s="56"/>
      <c r="N833" s="56"/>
      <c r="O833" s="59"/>
      <c r="P833" s="56"/>
      <c r="Q833" s="56"/>
      <c r="R833" s="56"/>
      <c r="S833" s="57"/>
      <c r="T833" s="56"/>
      <c r="U833" s="56"/>
      <c r="V833" s="56"/>
      <c r="W833" s="57"/>
      <c r="X833" s="51"/>
      <c r="Y833" s="51"/>
      <c r="Z833" s="51"/>
      <c r="AA833" s="51"/>
      <c r="AB833" s="51"/>
      <c r="AC833" s="51"/>
    </row>
    <row r="834" ht="15.75" customHeight="1">
      <c r="A834" s="56"/>
      <c r="B834" s="57"/>
      <c r="C834" s="58"/>
      <c r="D834" s="56"/>
      <c r="E834" s="56"/>
      <c r="F834" s="56"/>
      <c r="G834" s="56"/>
      <c r="H834" s="56"/>
      <c r="I834" s="56"/>
      <c r="J834" s="56"/>
      <c r="K834" s="56"/>
      <c r="L834" s="56"/>
      <c r="M834" s="56"/>
      <c r="N834" s="56"/>
      <c r="O834" s="59"/>
      <c r="P834" s="56"/>
      <c r="Q834" s="56"/>
      <c r="R834" s="56"/>
      <c r="S834" s="57"/>
      <c r="T834" s="56"/>
      <c r="U834" s="56"/>
      <c r="V834" s="56"/>
      <c r="W834" s="57"/>
      <c r="X834" s="51"/>
      <c r="Y834" s="51"/>
      <c r="Z834" s="51"/>
      <c r="AA834" s="51"/>
      <c r="AB834" s="51"/>
      <c r="AC834" s="51"/>
    </row>
    <row r="835" ht="15.75" customHeight="1">
      <c r="A835" s="56"/>
      <c r="B835" s="57"/>
      <c r="C835" s="58"/>
      <c r="D835" s="56"/>
      <c r="E835" s="56"/>
      <c r="F835" s="56"/>
      <c r="G835" s="56"/>
      <c r="H835" s="56"/>
      <c r="I835" s="56"/>
      <c r="J835" s="56"/>
      <c r="K835" s="56"/>
      <c r="L835" s="56"/>
      <c r="M835" s="56"/>
      <c r="N835" s="56"/>
      <c r="O835" s="59"/>
      <c r="P835" s="56"/>
      <c r="Q835" s="56"/>
      <c r="R835" s="56"/>
      <c r="S835" s="57"/>
      <c r="T835" s="56"/>
      <c r="U835" s="56"/>
      <c r="V835" s="56"/>
      <c r="W835" s="57"/>
      <c r="X835" s="51"/>
      <c r="Y835" s="51"/>
      <c r="Z835" s="51"/>
      <c r="AA835" s="51"/>
      <c r="AB835" s="51"/>
      <c r="AC835" s="51"/>
    </row>
    <row r="836" ht="15.75" customHeight="1">
      <c r="A836" s="56"/>
      <c r="B836" s="57"/>
      <c r="C836" s="58"/>
      <c r="D836" s="56"/>
      <c r="E836" s="56"/>
      <c r="F836" s="56"/>
      <c r="G836" s="56"/>
      <c r="H836" s="56"/>
      <c r="I836" s="56"/>
      <c r="J836" s="56"/>
      <c r="K836" s="56"/>
      <c r="L836" s="56"/>
      <c r="M836" s="56"/>
      <c r="N836" s="56"/>
      <c r="O836" s="59"/>
      <c r="P836" s="56"/>
      <c r="Q836" s="56"/>
      <c r="R836" s="56"/>
      <c r="S836" s="57"/>
      <c r="T836" s="56"/>
      <c r="U836" s="56"/>
      <c r="V836" s="56"/>
      <c r="W836" s="57"/>
      <c r="X836" s="51"/>
      <c r="Y836" s="51"/>
      <c r="Z836" s="51"/>
      <c r="AA836" s="51"/>
      <c r="AB836" s="51"/>
      <c r="AC836" s="51"/>
    </row>
    <row r="837" ht="15.75" customHeight="1">
      <c r="A837" s="56"/>
      <c r="B837" s="57"/>
      <c r="C837" s="58"/>
      <c r="D837" s="56"/>
      <c r="E837" s="56"/>
      <c r="F837" s="56"/>
      <c r="G837" s="56"/>
      <c r="H837" s="56"/>
      <c r="I837" s="56"/>
      <c r="J837" s="56"/>
      <c r="K837" s="56"/>
      <c r="L837" s="56"/>
      <c r="M837" s="56"/>
      <c r="N837" s="56"/>
      <c r="O837" s="59"/>
      <c r="P837" s="56"/>
      <c r="Q837" s="56"/>
      <c r="R837" s="56"/>
      <c r="S837" s="57"/>
      <c r="T837" s="56"/>
      <c r="U837" s="56"/>
      <c r="V837" s="56"/>
      <c r="W837" s="57"/>
      <c r="X837" s="51"/>
      <c r="Y837" s="51"/>
      <c r="Z837" s="51"/>
      <c r="AA837" s="51"/>
      <c r="AB837" s="51"/>
      <c r="AC837" s="51"/>
    </row>
    <row r="838" ht="15.75" customHeight="1">
      <c r="A838" s="56"/>
      <c r="B838" s="57"/>
      <c r="C838" s="58"/>
      <c r="D838" s="56"/>
      <c r="E838" s="56"/>
      <c r="F838" s="56"/>
      <c r="G838" s="56"/>
      <c r="H838" s="56"/>
      <c r="I838" s="56"/>
      <c r="J838" s="56"/>
      <c r="K838" s="56"/>
      <c r="L838" s="56"/>
      <c r="M838" s="56"/>
      <c r="N838" s="56"/>
      <c r="O838" s="59"/>
      <c r="P838" s="56"/>
      <c r="Q838" s="56"/>
      <c r="R838" s="56"/>
      <c r="S838" s="57"/>
      <c r="T838" s="56"/>
      <c r="U838" s="56"/>
      <c r="V838" s="56"/>
      <c r="W838" s="57"/>
      <c r="X838" s="51"/>
      <c r="Y838" s="51"/>
      <c r="Z838" s="51"/>
      <c r="AA838" s="51"/>
      <c r="AB838" s="51"/>
      <c r="AC838" s="51"/>
    </row>
    <row r="839" ht="15.75" customHeight="1">
      <c r="A839" s="56"/>
      <c r="B839" s="57"/>
      <c r="C839" s="58"/>
      <c r="D839" s="56"/>
      <c r="E839" s="56"/>
      <c r="F839" s="56"/>
      <c r="G839" s="56"/>
      <c r="H839" s="56"/>
      <c r="I839" s="56"/>
      <c r="J839" s="56"/>
      <c r="K839" s="56"/>
      <c r="L839" s="56"/>
      <c r="M839" s="56"/>
      <c r="N839" s="56"/>
      <c r="O839" s="59"/>
      <c r="P839" s="56"/>
      <c r="Q839" s="56"/>
      <c r="R839" s="56"/>
      <c r="S839" s="57"/>
      <c r="T839" s="56"/>
      <c r="U839" s="56"/>
      <c r="V839" s="56"/>
      <c r="W839" s="57"/>
      <c r="X839" s="51"/>
      <c r="Y839" s="51"/>
      <c r="Z839" s="51"/>
      <c r="AA839" s="51"/>
      <c r="AB839" s="51"/>
      <c r="AC839" s="51"/>
    </row>
    <row r="840" ht="15.75" customHeight="1">
      <c r="A840" s="56"/>
      <c r="B840" s="57"/>
      <c r="C840" s="58"/>
      <c r="D840" s="56"/>
      <c r="E840" s="56"/>
      <c r="F840" s="56"/>
      <c r="G840" s="56"/>
      <c r="H840" s="56"/>
      <c r="I840" s="56"/>
      <c r="J840" s="56"/>
      <c r="K840" s="56"/>
      <c r="L840" s="56"/>
      <c r="M840" s="56"/>
      <c r="N840" s="56"/>
      <c r="O840" s="59"/>
      <c r="P840" s="56"/>
      <c r="Q840" s="56"/>
      <c r="R840" s="56"/>
      <c r="S840" s="57"/>
      <c r="T840" s="56"/>
      <c r="U840" s="56"/>
      <c r="V840" s="56"/>
      <c r="W840" s="57"/>
      <c r="X840" s="51"/>
      <c r="Y840" s="51"/>
      <c r="Z840" s="51"/>
      <c r="AA840" s="51"/>
      <c r="AB840" s="51"/>
      <c r="AC840" s="51"/>
    </row>
    <row r="841" ht="15.75" customHeight="1">
      <c r="A841" s="56"/>
      <c r="B841" s="57"/>
      <c r="C841" s="58"/>
      <c r="D841" s="56"/>
      <c r="E841" s="56"/>
      <c r="F841" s="56"/>
      <c r="G841" s="56"/>
      <c r="H841" s="56"/>
      <c r="I841" s="56"/>
      <c r="J841" s="56"/>
      <c r="K841" s="56"/>
      <c r="L841" s="56"/>
      <c r="M841" s="56"/>
      <c r="N841" s="56"/>
      <c r="O841" s="59"/>
      <c r="P841" s="56"/>
      <c r="Q841" s="56"/>
      <c r="R841" s="56"/>
      <c r="S841" s="57"/>
      <c r="T841" s="56"/>
      <c r="U841" s="56"/>
      <c r="V841" s="56"/>
      <c r="W841" s="57"/>
      <c r="X841" s="51"/>
      <c r="Y841" s="51"/>
      <c r="Z841" s="51"/>
      <c r="AA841" s="51"/>
      <c r="AB841" s="51"/>
      <c r="AC841" s="51"/>
    </row>
    <row r="842" ht="15.75" customHeight="1">
      <c r="A842" s="56"/>
      <c r="B842" s="57"/>
      <c r="C842" s="58"/>
      <c r="D842" s="56"/>
      <c r="E842" s="56"/>
      <c r="F842" s="56"/>
      <c r="G842" s="56"/>
      <c r="H842" s="56"/>
      <c r="I842" s="56"/>
      <c r="J842" s="56"/>
      <c r="K842" s="56"/>
      <c r="L842" s="56"/>
      <c r="M842" s="56"/>
      <c r="N842" s="56"/>
      <c r="O842" s="59"/>
      <c r="P842" s="56"/>
      <c r="Q842" s="56"/>
      <c r="R842" s="56"/>
      <c r="S842" s="57"/>
      <c r="T842" s="56"/>
      <c r="U842" s="56"/>
      <c r="V842" s="56"/>
      <c r="W842" s="57"/>
      <c r="X842" s="51"/>
      <c r="Y842" s="51"/>
      <c r="Z842" s="51"/>
      <c r="AA842" s="51"/>
      <c r="AB842" s="51"/>
      <c r="AC842" s="51"/>
    </row>
    <row r="843" ht="15.75" customHeight="1">
      <c r="A843" s="56"/>
      <c r="B843" s="57"/>
      <c r="C843" s="58"/>
      <c r="D843" s="56"/>
      <c r="E843" s="56"/>
      <c r="F843" s="56"/>
      <c r="G843" s="56"/>
      <c r="H843" s="56"/>
      <c r="I843" s="56"/>
      <c r="J843" s="56"/>
      <c r="K843" s="56"/>
      <c r="L843" s="56"/>
      <c r="M843" s="56"/>
      <c r="N843" s="56"/>
      <c r="O843" s="59"/>
      <c r="P843" s="56"/>
      <c r="Q843" s="56"/>
      <c r="R843" s="56"/>
      <c r="S843" s="57"/>
      <c r="T843" s="56"/>
      <c r="U843" s="56"/>
      <c r="V843" s="56"/>
      <c r="W843" s="57"/>
      <c r="X843" s="51"/>
      <c r="Y843" s="51"/>
      <c r="Z843" s="51"/>
      <c r="AA843" s="51"/>
      <c r="AB843" s="51"/>
      <c r="AC843" s="51"/>
    </row>
    <row r="844" ht="15.75" customHeight="1">
      <c r="A844" s="56"/>
      <c r="B844" s="57"/>
      <c r="C844" s="58"/>
      <c r="D844" s="56"/>
      <c r="E844" s="56"/>
      <c r="F844" s="56"/>
      <c r="G844" s="56"/>
      <c r="H844" s="56"/>
      <c r="I844" s="56"/>
      <c r="J844" s="56"/>
      <c r="K844" s="56"/>
      <c r="L844" s="56"/>
      <c r="M844" s="56"/>
      <c r="N844" s="56"/>
      <c r="O844" s="59"/>
      <c r="P844" s="56"/>
      <c r="Q844" s="56"/>
      <c r="R844" s="56"/>
      <c r="S844" s="57"/>
      <c r="T844" s="56"/>
      <c r="U844" s="56"/>
      <c r="V844" s="56"/>
      <c r="W844" s="57"/>
      <c r="X844" s="51"/>
      <c r="Y844" s="51"/>
      <c r="Z844" s="51"/>
      <c r="AA844" s="51"/>
      <c r="AB844" s="51"/>
      <c r="AC844" s="51"/>
    </row>
    <row r="845" ht="15.75" customHeight="1">
      <c r="A845" s="56"/>
      <c r="B845" s="57"/>
      <c r="C845" s="58"/>
      <c r="D845" s="56"/>
      <c r="E845" s="56"/>
      <c r="F845" s="56"/>
      <c r="G845" s="56"/>
      <c r="H845" s="56"/>
      <c r="I845" s="56"/>
      <c r="J845" s="56"/>
      <c r="K845" s="56"/>
      <c r="L845" s="56"/>
      <c r="M845" s="56"/>
      <c r="N845" s="56"/>
      <c r="O845" s="59"/>
      <c r="P845" s="56"/>
      <c r="Q845" s="56"/>
      <c r="R845" s="56"/>
      <c r="S845" s="57"/>
      <c r="T845" s="56"/>
      <c r="U845" s="56"/>
      <c r="V845" s="56"/>
      <c r="W845" s="57"/>
      <c r="X845" s="51"/>
      <c r="Y845" s="51"/>
      <c r="Z845" s="51"/>
      <c r="AA845" s="51"/>
      <c r="AB845" s="51"/>
      <c r="AC845" s="51"/>
    </row>
    <row r="846" ht="15.75" customHeight="1">
      <c r="A846" s="56"/>
      <c r="B846" s="57"/>
      <c r="C846" s="58"/>
      <c r="D846" s="56"/>
      <c r="E846" s="56"/>
      <c r="F846" s="56"/>
      <c r="G846" s="56"/>
      <c r="H846" s="56"/>
      <c r="I846" s="56"/>
      <c r="J846" s="56"/>
      <c r="K846" s="56"/>
      <c r="L846" s="56"/>
      <c r="M846" s="56"/>
      <c r="N846" s="56"/>
      <c r="O846" s="59"/>
      <c r="P846" s="56"/>
      <c r="Q846" s="56"/>
      <c r="R846" s="56"/>
      <c r="S846" s="57"/>
      <c r="T846" s="56"/>
      <c r="U846" s="56"/>
      <c r="V846" s="56"/>
      <c r="W846" s="57"/>
      <c r="X846" s="51"/>
      <c r="Y846" s="51"/>
      <c r="Z846" s="51"/>
      <c r="AA846" s="51"/>
      <c r="AB846" s="51"/>
      <c r="AC846" s="51"/>
    </row>
    <row r="847" ht="15.75" customHeight="1">
      <c r="A847" s="56"/>
      <c r="B847" s="57"/>
      <c r="C847" s="58"/>
      <c r="D847" s="56"/>
      <c r="E847" s="56"/>
      <c r="F847" s="56"/>
      <c r="G847" s="56"/>
      <c r="H847" s="56"/>
      <c r="I847" s="56"/>
      <c r="J847" s="56"/>
      <c r="K847" s="56"/>
      <c r="L847" s="56"/>
      <c r="M847" s="56"/>
      <c r="N847" s="56"/>
      <c r="O847" s="59"/>
      <c r="P847" s="56"/>
      <c r="Q847" s="56"/>
      <c r="R847" s="56"/>
      <c r="S847" s="57"/>
      <c r="T847" s="56"/>
      <c r="U847" s="56"/>
      <c r="V847" s="56"/>
      <c r="W847" s="57"/>
      <c r="X847" s="51"/>
      <c r="Y847" s="51"/>
      <c r="Z847" s="51"/>
      <c r="AA847" s="51"/>
      <c r="AB847" s="51"/>
      <c r="AC847" s="51"/>
    </row>
    <row r="848" ht="15.75" customHeight="1">
      <c r="A848" s="56"/>
      <c r="B848" s="57"/>
      <c r="C848" s="58"/>
      <c r="D848" s="56"/>
      <c r="E848" s="56"/>
      <c r="F848" s="56"/>
      <c r="G848" s="56"/>
      <c r="H848" s="56"/>
      <c r="I848" s="56"/>
      <c r="J848" s="56"/>
      <c r="K848" s="56"/>
      <c r="L848" s="56"/>
      <c r="M848" s="56"/>
      <c r="N848" s="56"/>
      <c r="O848" s="59"/>
      <c r="P848" s="56"/>
      <c r="Q848" s="56"/>
      <c r="R848" s="56"/>
      <c r="S848" s="57"/>
      <c r="T848" s="56"/>
      <c r="U848" s="56"/>
      <c r="V848" s="56"/>
      <c r="W848" s="57"/>
      <c r="X848" s="51"/>
      <c r="Y848" s="51"/>
      <c r="Z848" s="51"/>
      <c r="AA848" s="51"/>
      <c r="AB848" s="51"/>
      <c r="AC848" s="51"/>
    </row>
    <row r="849" ht="15.75" customHeight="1">
      <c r="A849" s="56"/>
      <c r="B849" s="57"/>
      <c r="C849" s="58"/>
      <c r="D849" s="56"/>
      <c r="E849" s="56"/>
      <c r="F849" s="56"/>
      <c r="G849" s="56"/>
      <c r="H849" s="56"/>
      <c r="I849" s="56"/>
      <c r="J849" s="56"/>
      <c r="K849" s="56"/>
      <c r="L849" s="56"/>
      <c r="M849" s="56"/>
      <c r="N849" s="56"/>
      <c r="O849" s="59"/>
      <c r="P849" s="56"/>
      <c r="Q849" s="56"/>
      <c r="R849" s="56"/>
      <c r="S849" s="57"/>
      <c r="T849" s="56"/>
      <c r="U849" s="56"/>
      <c r="V849" s="56"/>
      <c r="W849" s="57"/>
      <c r="X849" s="51"/>
      <c r="Y849" s="51"/>
      <c r="Z849" s="51"/>
      <c r="AA849" s="51"/>
      <c r="AB849" s="51"/>
      <c r="AC849" s="51"/>
    </row>
    <row r="850" ht="15.75" customHeight="1">
      <c r="A850" s="56"/>
      <c r="B850" s="57"/>
      <c r="C850" s="58"/>
      <c r="D850" s="56"/>
      <c r="E850" s="56"/>
      <c r="F850" s="56"/>
      <c r="G850" s="56"/>
      <c r="H850" s="56"/>
      <c r="I850" s="56"/>
      <c r="J850" s="56"/>
      <c r="K850" s="56"/>
      <c r="L850" s="56"/>
      <c r="M850" s="56"/>
      <c r="N850" s="56"/>
      <c r="O850" s="59"/>
      <c r="P850" s="56"/>
      <c r="Q850" s="56"/>
      <c r="R850" s="56"/>
      <c r="S850" s="57"/>
      <c r="T850" s="56"/>
      <c r="U850" s="56"/>
      <c r="V850" s="56"/>
      <c r="W850" s="57"/>
      <c r="X850" s="51"/>
      <c r="Y850" s="51"/>
      <c r="Z850" s="51"/>
      <c r="AA850" s="51"/>
      <c r="AB850" s="51"/>
      <c r="AC850" s="51"/>
    </row>
    <row r="851" ht="15.75" customHeight="1">
      <c r="A851" s="56"/>
      <c r="B851" s="57"/>
      <c r="C851" s="58"/>
      <c r="D851" s="56"/>
      <c r="E851" s="56"/>
      <c r="F851" s="56"/>
      <c r="G851" s="56"/>
      <c r="H851" s="56"/>
      <c r="I851" s="56"/>
      <c r="J851" s="56"/>
      <c r="K851" s="56"/>
      <c r="L851" s="56"/>
      <c r="M851" s="56"/>
      <c r="N851" s="56"/>
      <c r="O851" s="59"/>
      <c r="P851" s="56"/>
      <c r="Q851" s="56"/>
      <c r="R851" s="56"/>
      <c r="S851" s="57"/>
      <c r="T851" s="56"/>
      <c r="U851" s="56"/>
      <c r="V851" s="56"/>
      <c r="W851" s="57"/>
      <c r="X851" s="51"/>
      <c r="Y851" s="51"/>
      <c r="Z851" s="51"/>
      <c r="AA851" s="51"/>
      <c r="AB851" s="51"/>
      <c r="AC851" s="51"/>
    </row>
    <row r="852" ht="15.75" customHeight="1">
      <c r="A852" s="56"/>
      <c r="B852" s="57"/>
      <c r="C852" s="58"/>
      <c r="D852" s="56"/>
      <c r="E852" s="56"/>
      <c r="F852" s="56"/>
      <c r="G852" s="56"/>
      <c r="H852" s="56"/>
      <c r="I852" s="56"/>
      <c r="J852" s="56"/>
      <c r="K852" s="56"/>
      <c r="L852" s="56"/>
      <c r="M852" s="56"/>
      <c r="N852" s="56"/>
      <c r="O852" s="59"/>
      <c r="P852" s="56"/>
      <c r="Q852" s="56"/>
      <c r="R852" s="56"/>
      <c r="S852" s="57"/>
      <c r="T852" s="56"/>
      <c r="U852" s="56"/>
      <c r="V852" s="56"/>
      <c r="W852" s="57"/>
      <c r="X852" s="51"/>
      <c r="Y852" s="51"/>
      <c r="Z852" s="51"/>
      <c r="AA852" s="51"/>
      <c r="AB852" s="51"/>
      <c r="AC852" s="51"/>
    </row>
    <row r="853" ht="15.75" customHeight="1">
      <c r="A853" s="56"/>
      <c r="B853" s="57"/>
      <c r="C853" s="58"/>
      <c r="D853" s="56"/>
      <c r="E853" s="56"/>
      <c r="F853" s="56"/>
      <c r="G853" s="56"/>
      <c r="H853" s="56"/>
      <c r="I853" s="56"/>
      <c r="J853" s="56"/>
      <c r="K853" s="56"/>
      <c r="L853" s="56"/>
      <c r="M853" s="56"/>
      <c r="N853" s="56"/>
      <c r="O853" s="59"/>
      <c r="P853" s="56"/>
      <c r="Q853" s="56"/>
      <c r="R853" s="56"/>
      <c r="S853" s="57"/>
      <c r="T853" s="56"/>
      <c r="U853" s="56"/>
      <c r="V853" s="56"/>
      <c r="W853" s="57"/>
      <c r="X853" s="51"/>
      <c r="Y853" s="51"/>
      <c r="Z853" s="51"/>
      <c r="AA853" s="51"/>
      <c r="AB853" s="51"/>
      <c r="AC853" s="51"/>
    </row>
    <row r="854" ht="15.75" customHeight="1">
      <c r="A854" s="56"/>
      <c r="B854" s="57"/>
      <c r="C854" s="58"/>
      <c r="D854" s="56"/>
      <c r="E854" s="56"/>
      <c r="F854" s="56"/>
      <c r="G854" s="56"/>
      <c r="H854" s="56"/>
      <c r="I854" s="56"/>
      <c r="J854" s="56"/>
      <c r="K854" s="56"/>
      <c r="L854" s="56"/>
      <c r="M854" s="56"/>
      <c r="N854" s="56"/>
      <c r="O854" s="59"/>
      <c r="P854" s="56"/>
      <c r="Q854" s="56"/>
      <c r="R854" s="56"/>
      <c r="S854" s="57"/>
      <c r="T854" s="56"/>
      <c r="U854" s="56"/>
      <c r="V854" s="56"/>
      <c r="W854" s="57"/>
      <c r="X854" s="51"/>
      <c r="Y854" s="51"/>
      <c r="Z854" s="51"/>
      <c r="AA854" s="51"/>
      <c r="AB854" s="51"/>
      <c r="AC854" s="51"/>
    </row>
    <row r="855" ht="15.75" customHeight="1">
      <c r="A855" s="56"/>
      <c r="B855" s="57"/>
      <c r="C855" s="58"/>
      <c r="D855" s="56"/>
      <c r="E855" s="56"/>
      <c r="F855" s="56"/>
      <c r="G855" s="56"/>
      <c r="H855" s="56"/>
      <c r="I855" s="56"/>
      <c r="J855" s="56"/>
      <c r="K855" s="56"/>
      <c r="L855" s="56"/>
      <c r="M855" s="56"/>
      <c r="N855" s="56"/>
      <c r="O855" s="59"/>
      <c r="P855" s="56"/>
      <c r="Q855" s="56"/>
      <c r="R855" s="56"/>
      <c r="S855" s="57"/>
      <c r="T855" s="56"/>
      <c r="U855" s="56"/>
      <c r="V855" s="56"/>
      <c r="W855" s="57"/>
      <c r="X855" s="51"/>
      <c r="Y855" s="51"/>
      <c r="Z855" s="51"/>
      <c r="AA855" s="51"/>
      <c r="AB855" s="51"/>
      <c r="AC855" s="51"/>
    </row>
    <row r="856" ht="15.75" customHeight="1">
      <c r="A856" s="56"/>
      <c r="B856" s="57"/>
      <c r="C856" s="58"/>
      <c r="D856" s="56"/>
      <c r="E856" s="56"/>
      <c r="F856" s="56"/>
      <c r="G856" s="56"/>
      <c r="H856" s="56"/>
      <c r="I856" s="56"/>
      <c r="J856" s="56"/>
      <c r="K856" s="56"/>
      <c r="L856" s="56"/>
      <c r="M856" s="56"/>
      <c r="N856" s="56"/>
      <c r="O856" s="59"/>
      <c r="P856" s="56"/>
      <c r="Q856" s="56"/>
      <c r="R856" s="56"/>
      <c r="S856" s="57"/>
      <c r="T856" s="56"/>
      <c r="U856" s="56"/>
      <c r="V856" s="56"/>
      <c r="W856" s="57"/>
      <c r="X856" s="51"/>
      <c r="Y856" s="51"/>
      <c r="Z856" s="51"/>
      <c r="AA856" s="51"/>
      <c r="AB856" s="51"/>
      <c r="AC856" s="51"/>
    </row>
    <row r="857" ht="15.75" customHeight="1">
      <c r="A857" s="56"/>
      <c r="B857" s="57"/>
      <c r="C857" s="58"/>
      <c r="D857" s="56"/>
      <c r="E857" s="56"/>
      <c r="F857" s="56"/>
      <c r="G857" s="56"/>
      <c r="H857" s="56"/>
      <c r="I857" s="56"/>
      <c r="J857" s="56"/>
      <c r="K857" s="56"/>
      <c r="L857" s="56"/>
      <c r="M857" s="56"/>
      <c r="N857" s="56"/>
      <c r="O857" s="59"/>
      <c r="P857" s="56"/>
      <c r="Q857" s="56"/>
      <c r="R857" s="56"/>
      <c r="S857" s="57"/>
      <c r="T857" s="56"/>
      <c r="U857" s="56"/>
      <c r="V857" s="56"/>
      <c r="W857" s="57"/>
      <c r="X857" s="51"/>
      <c r="Y857" s="51"/>
      <c r="Z857" s="51"/>
      <c r="AA857" s="51"/>
      <c r="AB857" s="51"/>
      <c r="AC857" s="51"/>
    </row>
    <row r="858" ht="15.75" customHeight="1">
      <c r="A858" s="56"/>
      <c r="B858" s="57"/>
      <c r="C858" s="58"/>
      <c r="D858" s="56"/>
      <c r="E858" s="56"/>
      <c r="F858" s="56"/>
      <c r="G858" s="56"/>
      <c r="H858" s="56"/>
      <c r="I858" s="56"/>
      <c r="J858" s="56"/>
      <c r="K858" s="56"/>
      <c r="L858" s="56"/>
      <c r="M858" s="56"/>
      <c r="N858" s="56"/>
      <c r="O858" s="59"/>
      <c r="P858" s="56"/>
      <c r="Q858" s="56"/>
      <c r="R858" s="56"/>
      <c r="S858" s="57"/>
      <c r="T858" s="56"/>
      <c r="U858" s="56"/>
      <c r="V858" s="56"/>
      <c r="W858" s="57"/>
      <c r="X858" s="51"/>
      <c r="Y858" s="51"/>
      <c r="Z858" s="51"/>
      <c r="AA858" s="51"/>
      <c r="AB858" s="51"/>
      <c r="AC858" s="51"/>
    </row>
    <row r="859" ht="15.75" customHeight="1">
      <c r="A859" s="56"/>
      <c r="B859" s="57"/>
      <c r="C859" s="58"/>
      <c r="D859" s="56"/>
      <c r="E859" s="56"/>
      <c r="F859" s="56"/>
      <c r="G859" s="56"/>
      <c r="H859" s="56"/>
      <c r="I859" s="56"/>
      <c r="J859" s="56"/>
      <c r="K859" s="56"/>
      <c r="L859" s="56"/>
      <c r="M859" s="56"/>
      <c r="N859" s="56"/>
      <c r="O859" s="59"/>
      <c r="P859" s="56"/>
      <c r="Q859" s="56"/>
      <c r="R859" s="56"/>
      <c r="S859" s="57"/>
      <c r="T859" s="56"/>
      <c r="U859" s="56"/>
      <c r="V859" s="56"/>
      <c r="W859" s="57"/>
      <c r="X859" s="51"/>
      <c r="Y859" s="51"/>
      <c r="Z859" s="51"/>
      <c r="AA859" s="51"/>
      <c r="AB859" s="51"/>
      <c r="AC859" s="51"/>
    </row>
    <row r="860" ht="15.75" customHeight="1">
      <c r="A860" s="56"/>
      <c r="B860" s="57"/>
      <c r="C860" s="58"/>
      <c r="D860" s="56"/>
      <c r="E860" s="56"/>
      <c r="F860" s="56"/>
      <c r="G860" s="56"/>
      <c r="H860" s="56"/>
      <c r="I860" s="56"/>
      <c r="J860" s="56"/>
      <c r="K860" s="56"/>
      <c r="L860" s="56"/>
      <c r="M860" s="56"/>
      <c r="N860" s="56"/>
      <c r="O860" s="59"/>
      <c r="P860" s="56"/>
      <c r="Q860" s="56"/>
      <c r="R860" s="56"/>
      <c r="S860" s="57"/>
      <c r="T860" s="56"/>
      <c r="U860" s="56"/>
      <c r="V860" s="56"/>
      <c r="W860" s="57"/>
      <c r="X860" s="51"/>
      <c r="Y860" s="51"/>
      <c r="Z860" s="51"/>
      <c r="AA860" s="51"/>
      <c r="AB860" s="51"/>
      <c r="AC860" s="51"/>
    </row>
    <row r="861" ht="15.75" customHeight="1">
      <c r="A861" s="56"/>
      <c r="B861" s="57"/>
      <c r="C861" s="58"/>
      <c r="D861" s="56"/>
      <c r="E861" s="56"/>
      <c r="F861" s="56"/>
      <c r="G861" s="56"/>
      <c r="H861" s="56"/>
      <c r="I861" s="56"/>
      <c r="J861" s="56"/>
      <c r="K861" s="56"/>
      <c r="L861" s="56"/>
      <c r="M861" s="56"/>
      <c r="N861" s="56"/>
      <c r="O861" s="59"/>
      <c r="P861" s="56"/>
      <c r="Q861" s="56"/>
      <c r="R861" s="56"/>
      <c r="S861" s="57"/>
      <c r="T861" s="56"/>
      <c r="U861" s="56"/>
      <c r="V861" s="56"/>
      <c r="W861" s="57"/>
      <c r="X861" s="51"/>
      <c r="Y861" s="51"/>
      <c r="Z861" s="51"/>
      <c r="AA861" s="51"/>
      <c r="AB861" s="51"/>
      <c r="AC861" s="51"/>
    </row>
    <row r="862" ht="15.75" customHeight="1">
      <c r="A862" s="56"/>
      <c r="B862" s="57"/>
      <c r="C862" s="58"/>
      <c r="D862" s="56"/>
      <c r="E862" s="56"/>
      <c r="F862" s="56"/>
      <c r="G862" s="56"/>
      <c r="H862" s="56"/>
      <c r="I862" s="56"/>
      <c r="J862" s="56"/>
      <c r="K862" s="56"/>
      <c r="L862" s="56"/>
      <c r="M862" s="56"/>
      <c r="N862" s="56"/>
      <c r="O862" s="59"/>
      <c r="P862" s="56"/>
      <c r="Q862" s="56"/>
      <c r="R862" s="56"/>
      <c r="S862" s="57"/>
      <c r="T862" s="56"/>
      <c r="U862" s="56"/>
      <c r="V862" s="56"/>
      <c r="W862" s="57"/>
      <c r="X862" s="51"/>
      <c r="Y862" s="51"/>
      <c r="Z862" s="51"/>
      <c r="AA862" s="51"/>
      <c r="AB862" s="51"/>
      <c r="AC862" s="51"/>
    </row>
    <row r="863" ht="15.75" customHeight="1">
      <c r="A863" s="56"/>
      <c r="B863" s="57"/>
      <c r="C863" s="58"/>
      <c r="D863" s="56"/>
      <c r="E863" s="56"/>
      <c r="F863" s="56"/>
      <c r="G863" s="56"/>
      <c r="H863" s="56"/>
      <c r="I863" s="56"/>
      <c r="J863" s="56"/>
      <c r="K863" s="56"/>
      <c r="L863" s="56"/>
      <c r="M863" s="56"/>
      <c r="N863" s="56"/>
      <c r="O863" s="59"/>
      <c r="P863" s="56"/>
      <c r="Q863" s="56"/>
      <c r="R863" s="56"/>
      <c r="S863" s="57"/>
      <c r="T863" s="56"/>
      <c r="U863" s="56"/>
      <c r="V863" s="56"/>
      <c r="W863" s="57"/>
      <c r="X863" s="51"/>
      <c r="Y863" s="51"/>
      <c r="Z863" s="51"/>
      <c r="AA863" s="51"/>
      <c r="AB863" s="51"/>
      <c r="AC863" s="51"/>
    </row>
    <row r="864" ht="15.75" customHeight="1">
      <c r="A864" s="56"/>
      <c r="B864" s="57"/>
      <c r="C864" s="58"/>
      <c r="D864" s="56"/>
      <c r="E864" s="56"/>
      <c r="F864" s="56"/>
      <c r="G864" s="56"/>
      <c r="H864" s="56"/>
      <c r="I864" s="56"/>
      <c r="J864" s="56"/>
      <c r="K864" s="56"/>
      <c r="L864" s="56"/>
      <c r="M864" s="56"/>
      <c r="N864" s="56"/>
      <c r="O864" s="59"/>
      <c r="P864" s="56"/>
      <c r="Q864" s="56"/>
      <c r="R864" s="56"/>
      <c r="S864" s="57"/>
      <c r="T864" s="56"/>
      <c r="U864" s="56"/>
      <c r="V864" s="56"/>
      <c r="W864" s="57"/>
      <c r="X864" s="51"/>
      <c r="Y864" s="51"/>
      <c r="Z864" s="51"/>
      <c r="AA864" s="51"/>
      <c r="AB864" s="51"/>
      <c r="AC864" s="51"/>
    </row>
    <row r="865" ht="15.75" customHeight="1">
      <c r="A865" s="56"/>
      <c r="B865" s="57"/>
      <c r="C865" s="58"/>
      <c r="D865" s="56"/>
      <c r="E865" s="56"/>
      <c r="F865" s="56"/>
      <c r="G865" s="56"/>
      <c r="H865" s="56"/>
      <c r="I865" s="56"/>
      <c r="J865" s="56"/>
      <c r="K865" s="56"/>
      <c r="L865" s="56"/>
      <c r="M865" s="56"/>
      <c r="N865" s="56"/>
      <c r="O865" s="59"/>
      <c r="P865" s="56"/>
      <c r="Q865" s="56"/>
      <c r="R865" s="56"/>
      <c r="S865" s="57"/>
      <c r="T865" s="56"/>
      <c r="U865" s="56"/>
      <c r="V865" s="56"/>
      <c r="W865" s="57"/>
      <c r="X865" s="51"/>
      <c r="Y865" s="51"/>
      <c r="Z865" s="51"/>
      <c r="AA865" s="51"/>
      <c r="AB865" s="51"/>
      <c r="AC865" s="51"/>
    </row>
    <row r="866" ht="15.75" customHeight="1">
      <c r="A866" s="56"/>
      <c r="B866" s="57"/>
      <c r="C866" s="58"/>
      <c r="D866" s="56"/>
      <c r="E866" s="56"/>
      <c r="F866" s="56"/>
      <c r="G866" s="56"/>
      <c r="H866" s="56"/>
      <c r="I866" s="56"/>
      <c r="J866" s="56"/>
      <c r="K866" s="56"/>
      <c r="L866" s="56"/>
      <c r="M866" s="56"/>
      <c r="N866" s="56"/>
      <c r="O866" s="59"/>
      <c r="P866" s="56"/>
      <c r="Q866" s="56"/>
      <c r="R866" s="56"/>
      <c r="S866" s="57"/>
      <c r="T866" s="56"/>
      <c r="U866" s="56"/>
      <c r="V866" s="56"/>
      <c r="W866" s="57"/>
      <c r="X866" s="51"/>
      <c r="Y866" s="51"/>
      <c r="Z866" s="51"/>
      <c r="AA866" s="51"/>
      <c r="AB866" s="51"/>
      <c r="AC866" s="51"/>
    </row>
    <row r="867" ht="15.75" customHeight="1">
      <c r="A867" s="56"/>
      <c r="B867" s="57"/>
      <c r="C867" s="58"/>
      <c r="D867" s="56"/>
      <c r="E867" s="56"/>
      <c r="F867" s="56"/>
      <c r="G867" s="56"/>
      <c r="H867" s="56"/>
      <c r="I867" s="56"/>
      <c r="J867" s="56"/>
      <c r="K867" s="56"/>
      <c r="L867" s="56"/>
      <c r="M867" s="56"/>
      <c r="N867" s="56"/>
      <c r="O867" s="59"/>
      <c r="P867" s="56"/>
      <c r="Q867" s="56"/>
      <c r="R867" s="56"/>
      <c r="S867" s="57"/>
      <c r="T867" s="56"/>
      <c r="U867" s="56"/>
      <c r="V867" s="56"/>
      <c r="W867" s="57"/>
      <c r="X867" s="51"/>
      <c r="Y867" s="51"/>
      <c r="Z867" s="51"/>
      <c r="AA867" s="51"/>
      <c r="AB867" s="51"/>
      <c r="AC867" s="51"/>
    </row>
    <row r="868" ht="15.75" customHeight="1">
      <c r="A868" s="56"/>
      <c r="B868" s="57"/>
      <c r="C868" s="58"/>
      <c r="D868" s="56"/>
      <c r="E868" s="56"/>
      <c r="F868" s="56"/>
      <c r="G868" s="56"/>
      <c r="H868" s="56"/>
      <c r="I868" s="56"/>
      <c r="J868" s="56"/>
      <c r="K868" s="56"/>
      <c r="L868" s="56"/>
      <c r="M868" s="56"/>
      <c r="N868" s="56"/>
      <c r="O868" s="59"/>
      <c r="P868" s="56"/>
      <c r="Q868" s="56"/>
      <c r="R868" s="56"/>
      <c r="S868" s="57"/>
      <c r="T868" s="56"/>
      <c r="U868" s="56"/>
      <c r="V868" s="56"/>
      <c r="W868" s="57"/>
      <c r="X868" s="51"/>
      <c r="Y868" s="51"/>
      <c r="Z868" s="51"/>
      <c r="AA868" s="51"/>
      <c r="AB868" s="51"/>
      <c r="AC868" s="51"/>
    </row>
    <row r="869" ht="15.75" customHeight="1">
      <c r="A869" s="56"/>
      <c r="B869" s="57"/>
      <c r="C869" s="58"/>
      <c r="D869" s="56"/>
      <c r="E869" s="56"/>
      <c r="F869" s="56"/>
      <c r="G869" s="56"/>
      <c r="H869" s="56"/>
      <c r="I869" s="56"/>
      <c r="J869" s="56"/>
      <c r="K869" s="56"/>
      <c r="L869" s="56"/>
      <c r="M869" s="56"/>
      <c r="N869" s="56"/>
      <c r="O869" s="59"/>
      <c r="P869" s="56"/>
      <c r="Q869" s="56"/>
      <c r="R869" s="56"/>
      <c r="S869" s="57"/>
      <c r="T869" s="56"/>
      <c r="U869" s="56"/>
      <c r="V869" s="56"/>
      <c r="W869" s="57"/>
      <c r="X869" s="51"/>
      <c r="Y869" s="51"/>
      <c r="Z869" s="51"/>
      <c r="AA869" s="51"/>
      <c r="AB869" s="51"/>
      <c r="AC869" s="51"/>
    </row>
    <row r="870" ht="15.75" customHeight="1">
      <c r="A870" s="56"/>
      <c r="B870" s="57"/>
      <c r="C870" s="58"/>
      <c r="D870" s="56"/>
      <c r="E870" s="56"/>
      <c r="F870" s="56"/>
      <c r="G870" s="56"/>
      <c r="H870" s="56"/>
      <c r="I870" s="56"/>
      <c r="J870" s="56"/>
      <c r="K870" s="56"/>
      <c r="L870" s="56"/>
      <c r="M870" s="56"/>
      <c r="N870" s="56"/>
      <c r="O870" s="59"/>
      <c r="P870" s="56"/>
      <c r="Q870" s="56"/>
      <c r="R870" s="56"/>
      <c r="S870" s="57"/>
      <c r="T870" s="56"/>
      <c r="U870" s="56"/>
      <c r="V870" s="56"/>
      <c r="W870" s="57"/>
      <c r="X870" s="51"/>
      <c r="Y870" s="51"/>
      <c r="Z870" s="51"/>
      <c r="AA870" s="51"/>
      <c r="AB870" s="51"/>
      <c r="AC870" s="51"/>
    </row>
    <row r="871" ht="15.75" customHeight="1">
      <c r="A871" s="56"/>
      <c r="B871" s="57"/>
      <c r="C871" s="58"/>
      <c r="D871" s="56"/>
      <c r="E871" s="56"/>
      <c r="F871" s="56"/>
      <c r="G871" s="56"/>
      <c r="H871" s="56"/>
      <c r="I871" s="56"/>
      <c r="J871" s="56"/>
      <c r="K871" s="56"/>
      <c r="L871" s="56"/>
      <c r="M871" s="56"/>
      <c r="N871" s="56"/>
      <c r="O871" s="59"/>
      <c r="P871" s="56"/>
      <c r="Q871" s="56"/>
      <c r="R871" s="56"/>
      <c r="S871" s="57"/>
      <c r="T871" s="56"/>
      <c r="U871" s="56"/>
      <c r="V871" s="56"/>
      <c r="W871" s="57"/>
      <c r="X871" s="51"/>
      <c r="Y871" s="51"/>
      <c r="Z871" s="51"/>
      <c r="AA871" s="51"/>
      <c r="AB871" s="51"/>
      <c r="AC871" s="51"/>
    </row>
    <row r="872" ht="15.75" customHeight="1">
      <c r="A872" s="56"/>
      <c r="B872" s="57"/>
      <c r="C872" s="58"/>
      <c r="D872" s="56"/>
      <c r="E872" s="56"/>
      <c r="F872" s="56"/>
      <c r="G872" s="56"/>
      <c r="H872" s="56"/>
      <c r="I872" s="56"/>
      <c r="J872" s="56"/>
      <c r="K872" s="56"/>
      <c r="L872" s="56"/>
      <c r="M872" s="56"/>
      <c r="N872" s="56"/>
      <c r="O872" s="59"/>
      <c r="P872" s="56"/>
      <c r="Q872" s="56"/>
      <c r="R872" s="56"/>
      <c r="S872" s="57"/>
      <c r="T872" s="56"/>
      <c r="U872" s="56"/>
      <c r="V872" s="56"/>
      <c r="W872" s="57"/>
      <c r="X872" s="51"/>
      <c r="Y872" s="51"/>
      <c r="Z872" s="51"/>
      <c r="AA872" s="51"/>
      <c r="AB872" s="51"/>
      <c r="AC872" s="51"/>
    </row>
    <row r="873" ht="15.75" customHeight="1">
      <c r="A873" s="56"/>
      <c r="B873" s="57"/>
      <c r="C873" s="58"/>
      <c r="D873" s="56"/>
      <c r="E873" s="56"/>
      <c r="F873" s="56"/>
      <c r="G873" s="56"/>
      <c r="H873" s="56"/>
      <c r="I873" s="56"/>
      <c r="J873" s="56"/>
      <c r="K873" s="56"/>
      <c r="L873" s="56"/>
      <c r="M873" s="56"/>
      <c r="N873" s="56"/>
      <c r="O873" s="59"/>
      <c r="P873" s="56"/>
      <c r="Q873" s="56"/>
      <c r="R873" s="56"/>
      <c r="S873" s="57"/>
      <c r="T873" s="56"/>
      <c r="U873" s="56"/>
      <c r="V873" s="56"/>
      <c r="W873" s="57"/>
      <c r="X873" s="51"/>
      <c r="Y873" s="51"/>
      <c r="Z873" s="51"/>
      <c r="AA873" s="51"/>
      <c r="AB873" s="51"/>
      <c r="AC873" s="51"/>
    </row>
    <row r="874" ht="15.75" customHeight="1">
      <c r="A874" s="56"/>
      <c r="B874" s="57"/>
      <c r="C874" s="58"/>
      <c r="D874" s="56"/>
      <c r="E874" s="56"/>
      <c r="F874" s="56"/>
      <c r="G874" s="56"/>
      <c r="H874" s="56"/>
      <c r="I874" s="56"/>
      <c r="J874" s="56"/>
      <c r="K874" s="56"/>
      <c r="L874" s="56"/>
      <c r="M874" s="56"/>
      <c r="N874" s="56"/>
      <c r="O874" s="59"/>
      <c r="P874" s="56"/>
      <c r="Q874" s="56"/>
      <c r="R874" s="56"/>
      <c r="S874" s="57"/>
      <c r="T874" s="56"/>
      <c r="U874" s="56"/>
      <c r="V874" s="56"/>
      <c r="W874" s="57"/>
      <c r="X874" s="51"/>
      <c r="Y874" s="51"/>
      <c r="Z874" s="51"/>
      <c r="AA874" s="51"/>
      <c r="AB874" s="51"/>
      <c r="AC874" s="51"/>
    </row>
    <row r="875" ht="15.75" customHeight="1">
      <c r="A875" s="56"/>
      <c r="B875" s="57"/>
      <c r="C875" s="58"/>
      <c r="D875" s="56"/>
      <c r="E875" s="56"/>
      <c r="F875" s="56"/>
      <c r="G875" s="56"/>
      <c r="H875" s="56"/>
      <c r="I875" s="56"/>
      <c r="J875" s="56"/>
      <c r="K875" s="56"/>
      <c r="L875" s="56"/>
      <c r="M875" s="56"/>
      <c r="N875" s="56"/>
      <c r="O875" s="59"/>
      <c r="P875" s="56"/>
      <c r="Q875" s="56"/>
      <c r="R875" s="56"/>
      <c r="S875" s="57"/>
      <c r="T875" s="56"/>
      <c r="U875" s="56"/>
      <c r="V875" s="56"/>
      <c r="W875" s="57"/>
      <c r="X875" s="51"/>
      <c r="Y875" s="51"/>
      <c r="Z875" s="51"/>
      <c r="AA875" s="51"/>
      <c r="AB875" s="51"/>
      <c r="AC875" s="51"/>
    </row>
    <row r="876" ht="15.75" customHeight="1">
      <c r="A876" s="56"/>
      <c r="B876" s="57"/>
      <c r="C876" s="58"/>
      <c r="D876" s="56"/>
      <c r="E876" s="56"/>
      <c r="F876" s="56"/>
      <c r="G876" s="56"/>
      <c r="H876" s="56"/>
      <c r="I876" s="56"/>
      <c r="J876" s="56"/>
      <c r="K876" s="56"/>
      <c r="L876" s="56"/>
      <c r="M876" s="56"/>
      <c r="N876" s="56"/>
      <c r="O876" s="59"/>
      <c r="P876" s="56"/>
      <c r="Q876" s="56"/>
      <c r="R876" s="56"/>
      <c r="S876" s="57"/>
      <c r="T876" s="56"/>
      <c r="U876" s="56"/>
      <c r="V876" s="56"/>
      <c r="W876" s="57"/>
      <c r="X876" s="51"/>
      <c r="Y876" s="51"/>
      <c r="Z876" s="51"/>
      <c r="AA876" s="51"/>
      <c r="AB876" s="51"/>
      <c r="AC876" s="51"/>
    </row>
    <row r="877" ht="15.75" customHeight="1">
      <c r="A877" s="56"/>
      <c r="B877" s="57"/>
      <c r="C877" s="58"/>
      <c r="D877" s="56"/>
      <c r="E877" s="56"/>
      <c r="F877" s="56"/>
      <c r="G877" s="56"/>
      <c r="H877" s="56"/>
      <c r="I877" s="56"/>
      <c r="J877" s="56"/>
      <c r="K877" s="56"/>
      <c r="L877" s="56"/>
      <c r="M877" s="56"/>
      <c r="N877" s="56"/>
      <c r="O877" s="59"/>
      <c r="P877" s="56"/>
      <c r="Q877" s="56"/>
      <c r="R877" s="56"/>
      <c r="S877" s="57"/>
      <c r="T877" s="56"/>
      <c r="U877" s="56"/>
      <c r="V877" s="56"/>
      <c r="W877" s="57"/>
      <c r="X877" s="51"/>
      <c r="Y877" s="51"/>
      <c r="Z877" s="51"/>
      <c r="AA877" s="51"/>
      <c r="AB877" s="51"/>
      <c r="AC877" s="51"/>
    </row>
    <row r="878" ht="15.75" customHeight="1">
      <c r="A878" s="56"/>
      <c r="B878" s="57"/>
      <c r="C878" s="58"/>
      <c r="D878" s="56"/>
      <c r="E878" s="56"/>
      <c r="F878" s="56"/>
      <c r="G878" s="56"/>
      <c r="H878" s="56"/>
      <c r="I878" s="56"/>
      <c r="J878" s="56"/>
      <c r="K878" s="56"/>
      <c r="L878" s="56"/>
      <c r="M878" s="56"/>
      <c r="N878" s="56"/>
      <c r="O878" s="59"/>
      <c r="P878" s="56"/>
      <c r="Q878" s="56"/>
      <c r="R878" s="56"/>
      <c r="S878" s="57"/>
      <c r="T878" s="56"/>
      <c r="U878" s="56"/>
      <c r="V878" s="56"/>
      <c r="W878" s="57"/>
      <c r="X878" s="51"/>
      <c r="Y878" s="51"/>
      <c r="Z878" s="51"/>
      <c r="AA878" s="51"/>
      <c r="AB878" s="51"/>
      <c r="AC878" s="51"/>
    </row>
    <row r="879" ht="15.75" customHeight="1">
      <c r="A879" s="56"/>
      <c r="B879" s="57"/>
      <c r="C879" s="58"/>
      <c r="D879" s="56"/>
      <c r="E879" s="56"/>
      <c r="F879" s="56"/>
      <c r="G879" s="56"/>
      <c r="H879" s="56"/>
      <c r="I879" s="56"/>
      <c r="J879" s="56"/>
      <c r="K879" s="56"/>
      <c r="L879" s="56"/>
      <c r="M879" s="56"/>
      <c r="N879" s="56"/>
      <c r="O879" s="59"/>
      <c r="P879" s="56"/>
      <c r="Q879" s="56"/>
      <c r="R879" s="56"/>
      <c r="S879" s="57"/>
      <c r="T879" s="56"/>
      <c r="U879" s="56"/>
      <c r="V879" s="56"/>
      <c r="W879" s="57"/>
      <c r="X879" s="51"/>
      <c r="Y879" s="51"/>
      <c r="Z879" s="51"/>
      <c r="AA879" s="51"/>
      <c r="AB879" s="51"/>
      <c r="AC879" s="51"/>
    </row>
    <row r="880" ht="15.75" customHeight="1">
      <c r="A880" s="56"/>
      <c r="B880" s="57"/>
      <c r="C880" s="58"/>
      <c r="D880" s="56"/>
      <c r="E880" s="56"/>
      <c r="F880" s="56"/>
      <c r="G880" s="56"/>
      <c r="H880" s="56"/>
      <c r="I880" s="56"/>
      <c r="J880" s="56"/>
      <c r="K880" s="56"/>
      <c r="L880" s="56"/>
      <c r="M880" s="56"/>
      <c r="N880" s="56"/>
      <c r="O880" s="59"/>
      <c r="P880" s="56"/>
      <c r="Q880" s="56"/>
      <c r="R880" s="56"/>
      <c r="S880" s="57"/>
      <c r="T880" s="56"/>
      <c r="U880" s="56"/>
      <c r="V880" s="56"/>
      <c r="W880" s="57"/>
      <c r="X880" s="51"/>
      <c r="Y880" s="51"/>
      <c r="Z880" s="51"/>
      <c r="AA880" s="51"/>
      <c r="AB880" s="51"/>
      <c r="AC880" s="51"/>
    </row>
    <row r="881" ht="15.75" customHeight="1">
      <c r="A881" s="56"/>
      <c r="B881" s="57"/>
      <c r="C881" s="58"/>
      <c r="D881" s="56"/>
      <c r="E881" s="56"/>
      <c r="F881" s="56"/>
      <c r="G881" s="56"/>
      <c r="H881" s="56"/>
      <c r="I881" s="56"/>
      <c r="J881" s="56"/>
      <c r="K881" s="56"/>
      <c r="L881" s="56"/>
      <c r="M881" s="56"/>
      <c r="N881" s="56"/>
      <c r="O881" s="59"/>
      <c r="P881" s="56"/>
      <c r="Q881" s="56"/>
      <c r="R881" s="56"/>
      <c r="S881" s="57"/>
      <c r="T881" s="56"/>
      <c r="U881" s="56"/>
      <c r="V881" s="56"/>
      <c r="W881" s="57"/>
      <c r="X881" s="51"/>
      <c r="Y881" s="51"/>
      <c r="Z881" s="51"/>
      <c r="AA881" s="51"/>
      <c r="AB881" s="51"/>
      <c r="AC881" s="51"/>
    </row>
    <row r="882" ht="15.75" customHeight="1">
      <c r="A882" s="56"/>
      <c r="B882" s="57"/>
      <c r="C882" s="58"/>
      <c r="D882" s="56"/>
      <c r="E882" s="56"/>
      <c r="F882" s="56"/>
      <c r="G882" s="56"/>
      <c r="H882" s="56"/>
      <c r="I882" s="56"/>
      <c r="J882" s="56"/>
      <c r="K882" s="56"/>
      <c r="L882" s="56"/>
      <c r="M882" s="56"/>
      <c r="N882" s="56"/>
      <c r="O882" s="59"/>
      <c r="P882" s="56"/>
      <c r="Q882" s="56"/>
      <c r="R882" s="56"/>
      <c r="S882" s="57"/>
      <c r="T882" s="56"/>
      <c r="U882" s="56"/>
      <c r="V882" s="56"/>
      <c r="W882" s="57"/>
      <c r="X882" s="51"/>
      <c r="Y882" s="51"/>
      <c r="Z882" s="51"/>
      <c r="AA882" s="51"/>
      <c r="AB882" s="51"/>
      <c r="AC882" s="51"/>
    </row>
    <row r="883" ht="15.75" customHeight="1">
      <c r="A883" s="56"/>
      <c r="B883" s="57"/>
      <c r="C883" s="58"/>
      <c r="D883" s="56"/>
      <c r="E883" s="56"/>
      <c r="F883" s="56"/>
      <c r="G883" s="56"/>
      <c r="H883" s="56"/>
      <c r="I883" s="56"/>
      <c r="J883" s="56"/>
      <c r="K883" s="56"/>
      <c r="L883" s="56"/>
      <c r="M883" s="56"/>
      <c r="N883" s="56"/>
      <c r="O883" s="59"/>
      <c r="P883" s="56"/>
      <c r="Q883" s="56"/>
      <c r="R883" s="56"/>
      <c r="S883" s="57"/>
      <c r="T883" s="56"/>
      <c r="U883" s="56"/>
      <c r="V883" s="56"/>
      <c r="W883" s="57"/>
      <c r="X883" s="51"/>
      <c r="Y883" s="51"/>
      <c r="Z883" s="51"/>
      <c r="AA883" s="51"/>
      <c r="AB883" s="51"/>
      <c r="AC883" s="51"/>
    </row>
    <row r="884" ht="15.75" customHeight="1">
      <c r="A884" s="56"/>
      <c r="B884" s="57"/>
      <c r="C884" s="58"/>
      <c r="D884" s="56"/>
      <c r="E884" s="56"/>
      <c r="F884" s="56"/>
      <c r="G884" s="56"/>
      <c r="H884" s="56"/>
      <c r="I884" s="56"/>
      <c r="J884" s="56"/>
      <c r="K884" s="56"/>
      <c r="L884" s="56"/>
      <c r="M884" s="56"/>
      <c r="N884" s="56"/>
      <c r="O884" s="59"/>
      <c r="P884" s="56"/>
      <c r="Q884" s="56"/>
      <c r="R884" s="56"/>
      <c r="S884" s="57"/>
      <c r="T884" s="56"/>
      <c r="U884" s="56"/>
      <c r="V884" s="56"/>
      <c r="W884" s="57"/>
      <c r="X884" s="51"/>
      <c r="Y884" s="51"/>
      <c r="Z884" s="51"/>
      <c r="AA884" s="51"/>
      <c r="AB884" s="51"/>
      <c r="AC884" s="51"/>
    </row>
    <row r="885" ht="15.75" customHeight="1">
      <c r="A885" s="56"/>
      <c r="B885" s="57"/>
      <c r="C885" s="58"/>
      <c r="D885" s="56"/>
      <c r="E885" s="56"/>
      <c r="F885" s="56"/>
      <c r="G885" s="56"/>
      <c r="H885" s="56"/>
      <c r="I885" s="56"/>
      <c r="J885" s="56"/>
      <c r="K885" s="56"/>
      <c r="L885" s="56"/>
      <c r="M885" s="56"/>
      <c r="N885" s="56"/>
      <c r="O885" s="59"/>
      <c r="P885" s="56"/>
      <c r="Q885" s="56"/>
      <c r="R885" s="56"/>
      <c r="S885" s="57"/>
      <c r="T885" s="56"/>
      <c r="U885" s="56"/>
      <c r="V885" s="56"/>
      <c r="W885" s="57"/>
      <c r="X885" s="51"/>
      <c r="Y885" s="51"/>
      <c r="Z885" s="51"/>
      <c r="AA885" s="51"/>
      <c r="AB885" s="51"/>
      <c r="AC885" s="51"/>
    </row>
    <row r="886" ht="15.75" customHeight="1">
      <c r="A886" s="56"/>
      <c r="B886" s="57"/>
      <c r="C886" s="58"/>
      <c r="D886" s="56"/>
      <c r="E886" s="56"/>
      <c r="F886" s="56"/>
      <c r="G886" s="56"/>
      <c r="H886" s="56"/>
      <c r="I886" s="56"/>
      <c r="J886" s="56"/>
      <c r="K886" s="56"/>
      <c r="L886" s="56"/>
      <c r="M886" s="56"/>
      <c r="N886" s="56"/>
      <c r="O886" s="59"/>
      <c r="P886" s="56"/>
      <c r="Q886" s="56"/>
      <c r="R886" s="56"/>
      <c r="S886" s="57"/>
      <c r="T886" s="56"/>
      <c r="U886" s="56"/>
      <c r="V886" s="56"/>
      <c r="W886" s="57"/>
      <c r="X886" s="51"/>
      <c r="Y886" s="51"/>
      <c r="Z886" s="51"/>
      <c r="AA886" s="51"/>
      <c r="AB886" s="51"/>
      <c r="AC886" s="51"/>
    </row>
    <row r="887" ht="15.75" customHeight="1">
      <c r="A887" s="56"/>
      <c r="B887" s="57"/>
      <c r="C887" s="58"/>
      <c r="D887" s="56"/>
      <c r="E887" s="56"/>
      <c r="F887" s="56"/>
      <c r="G887" s="56"/>
      <c r="H887" s="56"/>
      <c r="I887" s="56"/>
      <c r="J887" s="56"/>
      <c r="K887" s="56"/>
      <c r="L887" s="56"/>
      <c r="M887" s="56"/>
      <c r="N887" s="56"/>
      <c r="O887" s="59"/>
      <c r="P887" s="56"/>
      <c r="Q887" s="56"/>
      <c r="R887" s="56"/>
      <c r="S887" s="57"/>
      <c r="T887" s="56"/>
      <c r="U887" s="56"/>
      <c r="V887" s="56"/>
      <c r="W887" s="57"/>
      <c r="X887" s="51"/>
      <c r="Y887" s="51"/>
      <c r="Z887" s="51"/>
      <c r="AA887" s="51"/>
      <c r="AB887" s="51"/>
      <c r="AC887" s="51"/>
    </row>
    <row r="888" ht="15.75" customHeight="1">
      <c r="A888" s="56"/>
      <c r="B888" s="57"/>
      <c r="C888" s="58"/>
      <c r="D888" s="56"/>
      <c r="E888" s="56"/>
      <c r="F888" s="56"/>
      <c r="G888" s="56"/>
      <c r="H888" s="56"/>
      <c r="I888" s="56"/>
      <c r="J888" s="56"/>
      <c r="K888" s="56"/>
      <c r="L888" s="56"/>
      <c r="M888" s="56"/>
      <c r="N888" s="56"/>
      <c r="O888" s="59"/>
      <c r="P888" s="56"/>
      <c r="Q888" s="56"/>
      <c r="R888" s="56"/>
      <c r="S888" s="57"/>
      <c r="T888" s="56"/>
      <c r="U888" s="56"/>
      <c r="V888" s="56"/>
      <c r="W888" s="57"/>
      <c r="X888" s="51"/>
      <c r="Y888" s="51"/>
      <c r="Z888" s="51"/>
      <c r="AA888" s="51"/>
      <c r="AB888" s="51"/>
      <c r="AC888" s="51"/>
    </row>
    <row r="889" ht="15.75" customHeight="1">
      <c r="A889" s="56"/>
      <c r="B889" s="57"/>
      <c r="C889" s="58"/>
      <c r="D889" s="56"/>
      <c r="E889" s="56"/>
      <c r="F889" s="56"/>
      <c r="G889" s="56"/>
      <c r="H889" s="56"/>
      <c r="I889" s="56"/>
      <c r="J889" s="56"/>
      <c r="K889" s="56"/>
      <c r="L889" s="56"/>
      <c r="M889" s="56"/>
      <c r="N889" s="56"/>
      <c r="O889" s="59"/>
      <c r="P889" s="56"/>
      <c r="Q889" s="56"/>
      <c r="R889" s="56"/>
      <c r="S889" s="57"/>
      <c r="T889" s="56"/>
      <c r="U889" s="56"/>
      <c r="V889" s="56"/>
      <c r="W889" s="57"/>
      <c r="X889" s="51"/>
      <c r="Y889" s="51"/>
      <c r="Z889" s="51"/>
      <c r="AA889" s="51"/>
      <c r="AB889" s="51"/>
      <c r="AC889" s="51"/>
    </row>
    <row r="890" ht="15.75" customHeight="1">
      <c r="A890" s="56"/>
      <c r="B890" s="57"/>
      <c r="C890" s="58"/>
      <c r="D890" s="56"/>
      <c r="E890" s="56"/>
      <c r="F890" s="56"/>
      <c r="G890" s="56"/>
      <c r="H890" s="56"/>
      <c r="I890" s="56"/>
      <c r="J890" s="56"/>
      <c r="K890" s="56"/>
      <c r="L890" s="56"/>
      <c r="M890" s="56"/>
      <c r="N890" s="56"/>
      <c r="O890" s="59"/>
      <c r="P890" s="56"/>
      <c r="Q890" s="56"/>
      <c r="R890" s="56"/>
      <c r="S890" s="57"/>
      <c r="T890" s="56"/>
      <c r="U890" s="56"/>
      <c r="V890" s="56"/>
      <c r="W890" s="57"/>
      <c r="X890" s="51"/>
      <c r="Y890" s="51"/>
      <c r="Z890" s="51"/>
      <c r="AA890" s="51"/>
      <c r="AB890" s="51"/>
      <c r="AC890" s="51"/>
    </row>
    <row r="891" ht="15.75" customHeight="1">
      <c r="A891" s="56"/>
      <c r="B891" s="57"/>
      <c r="C891" s="58"/>
      <c r="D891" s="56"/>
      <c r="E891" s="56"/>
      <c r="F891" s="56"/>
      <c r="G891" s="56"/>
      <c r="H891" s="56"/>
      <c r="I891" s="56"/>
      <c r="J891" s="56"/>
      <c r="K891" s="56"/>
      <c r="L891" s="56"/>
      <c r="M891" s="56"/>
      <c r="N891" s="56"/>
      <c r="O891" s="59"/>
      <c r="P891" s="56"/>
      <c r="Q891" s="56"/>
      <c r="R891" s="56"/>
      <c r="S891" s="57"/>
      <c r="T891" s="56"/>
      <c r="U891" s="56"/>
      <c r="V891" s="56"/>
      <c r="W891" s="57"/>
      <c r="X891" s="51"/>
      <c r="Y891" s="51"/>
      <c r="Z891" s="51"/>
      <c r="AA891" s="51"/>
      <c r="AB891" s="51"/>
      <c r="AC891" s="51"/>
    </row>
    <row r="892" ht="15.75" customHeight="1">
      <c r="A892" s="56"/>
      <c r="B892" s="57"/>
      <c r="C892" s="58"/>
      <c r="D892" s="56"/>
      <c r="E892" s="56"/>
      <c r="F892" s="56"/>
      <c r="G892" s="56"/>
      <c r="H892" s="56"/>
      <c r="I892" s="56"/>
      <c r="J892" s="56"/>
      <c r="K892" s="56"/>
      <c r="L892" s="56"/>
      <c r="M892" s="56"/>
      <c r="N892" s="56"/>
      <c r="O892" s="59"/>
      <c r="P892" s="56"/>
      <c r="Q892" s="56"/>
      <c r="R892" s="56"/>
      <c r="S892" s="57"/>
      <c r="T892" s="56"/>
      <c r="U892" s="56"/>
      <c r="V892" s="56"/>
      <c r="W892" s="57"/>
      <c r="X892" s="51"/>
      <c r="Y892" s="51"/>
      <c r="Z892" s="51"/>
      <c r="AA892" s="51"/>
      <c r="AB892" s="51"/>
      <c r="AC892" s="51"/>
    </row>
    <row r="893" ht="15.75" customHeight="1">
      <c r="A893" s="56"/>
      <c r="B893" s="57"/>
      <c r="C893" s="58"/>
      <c r="D893" s="56"/>
      <c r="E893" s="56"/>
      <c r="F893" s="56"/>
      <c r="G893" s="56"/>
      <c r="H893" s="56"/>
      <c r="I893" s="56"/>
      <c r="J893" s="56"/>
      <c r="K893" s="56"/>
      <c r="L893" s="56"/>
      <c r="M893" s="56"/>
      <c r="N893" s="56"/>
      <c r="O893" s="59"/>
      <c r="P893" s="56"/>
      <c r="Q893" s="56"/>
      <c r="R893" s="56"/>
      <c r="S893" s="57"/>
      <c r="T893" s="56"/>
      <c r="U893" s="56"/>
      <c r="V893" s="56"/>
      <c r="W893" s="57"/>
      <c r="X893" s="51"/>
      <c r="Y893" s="51"/>
      <c r="Z893" s="51"/>
      <c r="AA893" s="51"/>
      <c r="AB893" s="51"/>
      <c r="AC893" s="51"/>
    </row>
    <row r="894" ht="15.75" customHeight="1">
      <c r="A894" s="56"/>
      <c r="B894" s="57"/>
      <c r="C894" s="58"/>
      <c r="D894" s="56"/>
      <c r="E894" s="56"/>
      <c r="F894" s="56"/>
      <c r="G894" s="56"/>
      <c r="H894" s="56"/>
      <c r="I894" s="56"/>
      <c r="J894" s="56"/>
      <c r="K894" s="56"/>
      <c r="L894" s="56"/>
      <c r="M894" s="56"/>
      <c r="N894" s="56"/>
      <c r="O894" s="59"/>
      <c r="P894" s="56"/>
      <c r="Q894" s="56"/>
      <c r="R894" s="56"/>
      <c r="S894" s="57"/>
      <c r="T894" s="56"/>
      <c r="U894" s="56"/>
      <c r="V894" s="56"/>
      <c r="W894" s="57"/>
      <c r="X894" s="51"/>
      <c r="Y894" s="51"/>
      <c r="Z894" s="51"/>
      <c r="AA894" s="51"/>
      <c r="AB894" s="51"/>
      <c r="AC894" s="51"/>
    </row>
    <row r="895" ht="15.75" customHeight="1">
      <c r="A895" s="56"/>
      <c r="B895" s="57"/>
      <c r="C895" s="58"/>
      <c r="D895" s="56"/>
      <c r="E895" s="56"/>
      <c r="F895" s="56"/>
      <c r="G895" s="56"/>
      <c r="H895" s="56"/>
      <c r="I895" s="56"/>
      <c r="J895" s="56"/>
      <c r="K895" s="56"/>
      <c r="L895" s="56"/>
      <c r="M895" s="56"/>
      <c r="N895" s="56"/>
      <c r="O895" s="59"/>
      <c r="P895" s="56"/>
      <c r="Q895" s="56"/>
      <c r="R895" s="56"/>
      <c r="S895" s="57"/>
      <c r="T895" s="56"/>
      <c r="U895" s="56"/>
      <c r="V895" s="56"/>
      <c r="W895" s="57"/>
      <c r="X895" s="51"/>
      <c r="Y895" s="51"/>
      <c r="Z895" s="51"/>
      <c r="AA895" s="51"/>
      <c r="AB895" s="51"/>
      <c r="AC895" s="51"/>
    </row>
    <row r="896" ht="15.75" customHeight="1">
      <c r="A896" s="56"/>
      <c r="B896" s="57"/>
      <c r="C896" s="58"/>
      <c r="D896" s="56"/>
      <c r="E896" s="56"/>
      <c r="F896" s="56"/>
      <c r="G896" s="56"/>
      <c r="H896" s="56"/>
      <c r="I896" s="56"/>
      <c r="J896" s="56"/>
      <c r="K896" s="56"/>
      <c r="L896" s="56"/>
      <c r="M896" s="56"/>
      <c r="N896" s="56"/>
      <c r="O896" s="59"/>
      <c r="P896" s="56"/>
      <c r="Q896" s="56"/>
      <c r="R896" s="56"/>
      <c r="S896" s="57"/>
      <c r="T896" s="56"/>
      <c r="U896" s="56"/>
      <c r="V896" s="56"/>
      <c r="W896" s="57"/>
      <c r="X896" s="51"/>
      <c r="Y896" s="51"/>
      <c r="Z896" s="51"/>
      <c r="AA896" s="51"/>
      <c r="AB896" s="51"/>
      <c r="AC896" s="51"/>
    </row>
    <row r="897" ht="15.75" customHeight="1">
      <c r="A897" s="56"/>
      <c r="B897" s="57"/>
      <c r="C897" s="58"/>
      <c r="D897" s="56"/>
      <c r="E897" s="56"/>
      <c r="F897" s="56"/>
      <c r="G897" s="56"/>
      <c r="H897" s="56"/>
      <c r="I897" s="56"/>
      <c r="J897" s="56"/>
      <c r="K897" s="56"/>
      <c r="L897" s="56"/>
      <c r="M897" s="56"/>
      <c r="N897" s="56"/>
      <c r="O897" s="59"/>
      <c r="P897" s="56"/>
      <c r="Q897" s="56"/>
      <c r="R897" s="56"/>
      <c r="S897" s="57"/>
      <c r="T897" s="56"/>
      <c r="U897" s="56"/>
      <c r="V897" s="56"/>
      <c r="W897" s="57"/>
      <c r="X897" s="51"/>
      <c r="Y897" s="51"/>
      <c r="Z897" s="51"/>
      <c r="AA897" s="51"/>
      <c r="AB897" s="51"/>
      <c r="AC897" s="51"/>
    </row>
    <row r="898" ht="15.75" customHeight="1">
      <c r="A898" s="56"/>
      <c r="B898" s="57"/>
      <c r="C898" s="58"/>
      <c r="D898" s="56"/>
      <c r="E898" s="56"/>
      <c r="F898" s="56"/>
      <c r="G898" s="56"/>
      <c r="H898" s="56"/>
      <c r="I898" s="56"/>
      <c r="J898" s="56"/>
      <c r="K898" s="56"/>
      <c r="L898" s="56"/>
      <c r="M898" s="56"/>
      <c r="N898" s="56"/>
      <c r="O898" s="59"/>
      <c r="P898" s="56"/>
      <c r="Q898" s="56"/>
      <c r="R898" s="56"/>
      <c r="S898" s="57"/>
      <c r="T898" s="56"/>
      <c r="U898" s="56"/>
      <c r="V898" s="56"/>
      <c r="W898" s="57"/>
      <c r="X898" s="51"/>
      <c r="Y898" s="51"/>
      <c r="Z898" s="51"/>
      <c r="AA898" s="51"/>
      <c r="AB898" s="51"/>
      <c r="AC898" s="51"/>
    </row>
    <row r="899" ht="15.75" customHeight="1">
      <c r="A899" s="56"/>
      <c r="B899" s="57"/>
      <c r="C899" s="58"/>
      <c r="D899" s="56"/>
      <c r="E899" s="56"/>
      <c r="F899" s="56"/>
      <c r="G899" s="56"/>
      <c r="H899" s="56"/>
      <c r="I899" s="56"/>
      <c r="J899" s="56"/>
      <c r="K899" s="56"/>
      <c r="L899" s="56"/>
      <c r="M899" s="56"/>
      <c r="N899" s="56"/>
      <c r="O899" s="59"/>
      <c r="P899" s="56"/>
      <c r="Q899" s="56"/>
      <c r="R899" s="56"/>
      <c r="S899" s="57"/>
      <c r="T899" s="56"/>
      <c r="U899" s="56"/>
      <c r="V899" s="56"/>
      <c r="W899" s="57"/>
      <c r="X899" s="51"/>
      <c r="Y899" s="51"/>
      <c r="Z899" s="51"/>
      <c r="AA899" s="51"/>
      <c r="AB899" s="51"/>
      <c r="AC899" s="51"/>
    </row>
    <row r="900" ht="15.75" customHeight="1">
      <c r="A900" s="56"/>
      <c r="B900" s="57"/>
      <c r="C900" s="58"/>
      <c r="D900" s="56"/>
      <c r="E900" s="56"/>
      <c r="F900" s="56"/>
      <c r="G900" s="56"/>
      <c r="H900" s="56"/>
      <c r="I900" s="56"/>
      <c r="J900" s="56"/>
      <c r="K900" s="56"/>
      <c r="L900" s="56"/>
      <c r="M900" s="56"/>
      <c r="N900" s="56"/>
      <c r="O900" s="59"/>
      <c r="P900" s="56"/>
      <c r="Q900" s="56"/>
      <c r="R900" s="56"/>
      <c r="S900" s="57"/>
      <c r="T900" s="56"/>
      <c r="U900" s="56"/>
      <c r="V900" s="56"/>
      <c r="W900" s="57"/>
      <c r="X900" s="51"/>
      <c r="Y900" s="51"/>
      <c r="Z900" s="51"/>
      <c r="AA900" s="51"/>
      <c r="AB900" s="51"/>
      <c r="AC900" s="51"/>
    </row>
    <row r="901" ht="15.75" customHeight="1">
      <c r="A901" s="56"/>
      <c r="B901" s="57"/>
      <c r="C901" s="58"/>
      <c r="D901" s="56"/>
      <c r="E901" s="56"/>
      <c r="F901" s="56"/>
      <c r="G901" s="56"/>
      <c r="H901" s="56"/>
      <c r="I901" s="56"/>
      <c r="J901" s="56"/>
      <c r="K901" s="56"/>
      <c r="L901" s="56"/>
      <c r="M901" s="56"/>
      <c r="N901" s="56"/>
      <c r="O901" s="59"/>
      <c r="P901" s="56"/>
      <c r="Q901" s="56"/>
      <c r="R901" s="56"/>
      <c r="S901" s="57"/>
      <c r="T901" s="56"/>
      <c r="U901" s="56"/>
      <c r="V901" s="56"/>
      <c r="W901" s="57"/>
      <c r="X901" s="51"/>
      <c r="Y901" s="51"/>
      <c r="Z901" s="51"/>
      <c r="AA901" s="51"/>
      <c r="AB901" s="51"/>
      <c r="AC901" s="51"/>
    </row>
    <row r="902" ht="15.75" customHeight="1">
      <c r="A902" s="56"/>
      <c r="B902" s="57"/>
      <c r="C902" s="58"/>
      <c r="D902" s="56"/>
      <c r="E902" s="56"/>
      <c r="F902" s="56"/>
      <c r="G902" s="56"/>
      <c r="H902" s="56"/>
      <c r="I902" s="56"/>
      <c r="J902" s="56"/>
      <c r="K902" s="56"/>
      <c r="L902" s="56"/>
      <c r="M902" s="56"/>
      <c r="N902" s="56"/>
      <c r="O902" s="59"/>
      <c r="P902" s="56"/>
      <c r="Q902" s="56"/>
      <c r="R902" s="56"/>
      <c r="S902" s="57"/>
      <c r="T902" s="56"/>
      <c r="U902" s="56"/>
      <c r="V902" s="56"/>
      <c r="W902" s="57"/>
      <c r="X902" s="51"/>
      <c r="Y902" s="51"/>
      <c r="Z902" s="51"/>
      <c r="AA902" s="51"/>
      <c r="AB902" s="51"/>
      <c r="AC902" s="51"/>
    </row>
    <row r="903" ht="15.75" customHeight="1">
      <c r="A903" s="56"/>
      <c r="B903" s="57"/>
      <c r="C903" s="58"/>
      <c r="D903" s="56"/>
      <c r="E903" s="56"/>
      <c r="F903" s="56"/>
      <c r="G903" s="56"/>
      <c r="H903" s="56"/>
      <c r="I903" s="56"/>
      <c r="J903" s="56"/>
      <c r="K903" s="56"/>
      <c r="L903" s="56"/>
      <c r="M903" s="56"/>
      <c r="N903" s="56"/>
      <c r="O903" s="59"/>
      <c r="P903" s="56"/>
      <c r="Q903" s="56"/>
      <c r="R903" s="56"/>
      <c r="S903" s="57"/>
      <c r="T903" s="56"/>
      <c r="U903" s="56"/>
      <c r="V903" s="56"/>
      <c r="W903" s="57"/>
      <c r="X903" s="51"/>
      <c r="Y903" s="51"/>
      <c r="Z903" s="51"/>
      <c r="AA903" s="51"/>
      <c r="AB903" s="51"/>
      <c r="AC903" s="51"/>
    </row>
    <row r="904" ht="15.75" customHeight="1">
      <c r="A904" s="56"/>
      <c r="B904" s="57"/>
      <c r="C904" s="58"/>
      <c r="D904" s="56"/>
      <c r="E904" s="56"/>
      <c r="F904" s="56"/>
      <c r="G904" s="56"/>
      <c r="H904" s="56"/>
      <c r="I904" s="56"/>
      <c r="J904" s="56"/>
      <c r="K904" s="56"/>
      <c r="L904" s="56"/>
      <c r="M904" s="56"/>
      <c r="N904" s="56"/>
      <c r="O904" s="59"/>
      <c r="P904" s="56"/>
      <c r="Q904" s="56"/>
      <c r="R904" s="56"/>
      <c r="S904" s="57"/>
      <c r="T904" s="56"/>
      <c r="U904" s="56"/>
      <c r="V904" s="56"/>
      <c r="W904" s="57"/>
      <c r="X904" s="51"/>
      <c r="Y904" s="51"/>
      <c r="Z904" s="51"/>
      <c r="AA904" s="51"/>
      <c r="AB904" s="51"/>
      <c r="AC904" s="51"/>
    </row>
    <row r="905" ht="15.75" customHeight="1">
      <c r="A905" s="56"/>
      <c r="B905" s="57"/>
      <c r="C905" s="58"/>
      <c r="D905" s="56"/>
      <c r="E905" s="56"/>
      <c r="F905" s="56"/>
      <c r="G905" s="56"/>
      <c r="H905" s="56"/>
      <c r="I905" s="56"/>
      <c r="J905" s="56"/>
      <c r="K905" s="56"/>
      <c r="L905" s="56"/>
      <c r="M905" s="56"/>
      <c r="N905" s="56"/>
      <c r="O905" s="59"/>
      <c r="P905" s="56"/>
      <c r="Q905" s="56"/>
      <c r="R905" s="56"/>
      <c r="S905" s="57"/>
      <c r="T905" s="56"/>
      <c r="U905" s="56"/>
      <c r="V905" s="56"/>
      <c r="W905" s="57"/>
      <c r="X905" s="51"/>
      <c r="Y905" s="51"/>
      <c r="Z905" s="51"/>
      <c r="AA905" s="51"/>
      <c r="AB905" s="51"/>
      <c r="AC905" s="51"/>
    </row>
    <row r="906" ht="15.75" customHeight="1">
      <c r="A906" s="56"/>
      <c r="B906" s="57"/>
      <c r="C906" s="58"/>
      <c r="D906" s="56"/>
      <c r="E906" s="56"/>
      <c r="F906" s="56"/>
      <c r="G906" s="56"/>
      <c r="H906" s="56"/>
      <c r="I906" s="56"/>
      <c r="J906" s="56"/>
      <c r="K906" s="56"/>
      <c r="L906" s="56"/>
      <c r="M906" s="56"/>
      <c r="N906" s="56"/>
      <c r="O906" s="59"/>
      <c r="P906" s="56"/>
      <c r="Q906" s="56"/>
      <c r="R906" s="56"/>
      <c r="S906" s="57"/>
      <c r="T906" s="56"/>
      <c r="U906" s="56"/>
      <c r="V906" s="56"/>
      <c r="W906" s="57"/>
      <c r="X906" s="51"/>
      <c r="Y906" s="51"/>
      <c r="Z906" s="51"/>
      <c r="AA906" s="51"/>
      <c r="AB906" s="51"/>
      <c r="AC906" s="51"/>
    </row>
    <row r="907" ht="15.75" customHeight="1">
      <c r="A907" s="56"/>
      <c r="B907" s="57"/>
      <c r="C907" s="58"/>
      <c r="D907" s="56"/>
      <c r="E907" s="56"/>
      <c r="F907" s="56"/>
      <c r="G907" s="56"/>
      <c r="H907" s="56"/>
      <c r="I907" s="56"/>
      <c r="J907" s="56"/>
      <c r="K907" s="56"/>
      <c r="L907" s="56"/>
      <c r="M907" s="56"/>
      <c r="N907" s="56"/>
      <c r="O907" s="59"/>
      <c r="P907" s="56"/>
      <c r="Q907" s="56"/>
      <c r="R907" s="56"/>
      <c r="S907" s="57"/>
      <c r="T907" s="56"/>
      <c r="U907" s="56"/>
      <c r="V907" s="56"/>
      <c r="W907" s="57"/>
      <c r="X907" s="51"/>
      <c r="Y907" s="51"/>
      <c r="Z907" s="51"/>
      <c r="AA907" s="51"/>
      <c r="AB907" s="51"/>
      <c r="AC907" s="51"/>
    </row>
    <row r="908" ht="15.75" customHeight="1">
      <c r="A908" s="56"/>
      <c r="B908" s="57"/>
      <c r="C908" s="58"/>
      <c r="D908" s="56"/>
      <c r="E908" s="56"/>
      <c r="F908" s="56"/>
      <c r="G908" s="56"/>
      <c r="H908" s="56"/>
      <c r="I908" s="56"/>
      <c r="J908" s="56"/>
      <c r="K908" s="56"/>
      <c r="L908" s="56"/>
      <c r="M908" s="56"/>
      <c r="N908" s="56"/>
      <c r="O908" s="59"/>
      <c r="P908" s="56"/>
      <c r="Q908" s="56"/>
      <c r="R908" s="56"/>
      <c r="S908" s="57"/>
      <c r="T908" s="56"/>
      <c r="U908" s="56"/>
      <c r="V908" s="56"/>
      <c r="W908" s="57"/>
      <c r="X908" s="51"/>
      <c r="Y908" s="51"/>
      <c r="Z908" s="51"/>
      <c r="AA908" s="51"/>
      <c r="AB908" s="51"/>
      <c r="AC908" s="51"/>
    </row>
    <row r="909" ht="15.75" customHeight="1">
      <c r="A909" s="56"/>
      <c r="B909" s="57"/>
      <c r="C909" s="58"/>
      <c r="D909" s="56"/>
      <c r="E909" s="56"/>
      <c r="F909" s="56"/>
      <c r="G909" s="56"/>
      <c r="H909" s="56"/>
      <c r="I909" s="56"/>
      <c r="J909" s="56"/>
      <c r="K909" s="56"/>
      <c r="L909" s="56"/>
      <c r="M909" s="56"/>
      <c r="N909" s="56"/>
      <c r="O909" s="59"/>
      <c r="P909" s="56"/>
      <c r="Q909" s="56"/>
      <c r="R909" s="56"/>
      <c r="S909" s="57"/>
      <c r="T909" s="56"/>
      <c r="U909" s="56"/>
      <c r="V909" s="56"/>
      <c r="W909" s="57"/>
      <c r="X909" s="51"/>
      <c r="Y909" s="51"/>
      <c r="Z909" s="51"/>
      <c r="AA909" s="51"/>
      <c r="AB909" s="51"/>
      <c r="AC909" s="51"/>
    </row>
    <row r="910" ht="15.75" customHeight="1">
      <c r="A910" s="56"/>
      <c r="B910" s="57"/>
      <c r="C910" s="58"/>
      <c r="D910" s="56"/>
      <c r="E910" s="56"/>
      <c r="F910" s="56"/>
      <c r="G910" s="56"/>
      <c r="H910" s="56"/>
      <c r="I910" s="56"/>
      <c r="J910" s="56"/>
      <c r="K910" s="56"/>
      <c r="L910" s="56"/>
      <c r="M910" s="56"/>
      <c r="N910" s="56"/>
      <c r="O910" s="59"/>
      <c r="P910" s="56"/>
      <c r="Q910" s="56"/>
      <c r="R910" s="56"/>
      <c r="S910" s="57"/>
      <c r="T910" s="56"/>
      <c r="U910" s="56"/>
      <c r="V910" s="56"/>
      <c r="W910" s="57"/>
      <c r="X910" s="51"/>
      <c r="Y910" s="51"/>
      <c r="Z910" s="51"/>
      <c r="AA910" s="51"/>
      <c r="AB910" s="51"/>
      <c r="AC910" s="51"/>
    </row>
    <row r="911" ht="15.75" customHeight="1">
      <c r="A911" s="56"/>
      <c r="B911" s="57"/>
      <c r="C911" s="58"/>
      <c r="D911" s="56"/>
      <c r="E911" s="56"/>
      <c r="F911" s="56"/>
      <c r="G911" s="56"/>
      <c r="H911" s="56"/>
      <c r="I911" s="56"/>
      <c r="J911" s="56"/>
      <c r="K911" s="56"/>
      <c r="L911" s="56"/>
      <c r="M911" s="56"/>
      <c r="N911" s="56"/>
      <c r="O911" s="59"/>
      <c r="P911" s="56"/>
      <c r="Q911" s="56"/>
      <c r="R911" s="56"/>
      <c r="S911" s="57"/>
      <c r="T911" s="56"/>
      <c r="U911" s="56"/>
      <c r="V911" s="56"/>
      <c r="W911" s="57"/>
      <c r="X911" s="51"/>
      <c r="Y911" s="51"/>
      <c r="Z911" s="51"/>
      <c r="AA911" s="51"/>
      <c r="AB911" s="51"/>
      <c r="AC911" s="51"/>
    </row>
    <row r="912" ht="15.75" customHeight="1">
      <c r="A912" s="56"/>
      <c r="B912" s="57"/>
      <c r="C912" s="58"/>
      <c r="D912" s="56"/>
      <c r="E912" s="56"/>
      <c r="F912" s="56"/>
      <c r="G912" s="56"/>
      <c r="H912" s="56"/>
      <c r="I912" s="56"/>
      <c r="J912" s="56"/>
      <c r="K912" s="56"/>
      <c r="L912" s="56"/>
      <c r="M912" s="56"/>
      <c r="N912" s="56"/>
      <c r="O912" s="59"/>
      <c r="P912" s="56"/>
      <c r="Q912" s="56"/>
      <c r="R912" s="56"/>
      <c r="S912" s="57"/>
      <c r="T912" s="56"/>
      <c r="U912" s="56"/>
      <c r="V912" s="56"/>
      <c r="W912" s="57"/>
      <c r="X912" s="51"/>
      <c r="Y912" s="51"/>
      <c r="Z912" s="51"/>
      <c r="AA912" s="51"/>
      <c r="AB912" s="51"/>
      <c r="AC912" s="51"/>
    </row>
    <row r="913" ht="15.75" customHeight="1">
      <c r="A913" s="56"/>
      <c r="B913" s="57"/>
      <c r="C913" s="58"/>
      <c r="D913" s="56"/>
      <c r="E913" s="56"/>
      <c r="F913" s="56"/>
      <c r="G913" s="56"/>
      <c r="H913" s="56"/>
      <c r="I913" s="56"/>
      <c r="J913" s="56"/>
      <c r="K913" s="56"/>
      <c r="L913" s="56"/>
      <c r="M913" s="56"/>
      <c r="N913" s="56"/>
      <c r="O913" s="59"/>
      <c r="P913" s="56"/>
      <c r="Q913" s="56"/>
      <c r="R913" s="56"/>
      <c r="S913" s="57"/>
      <c r="T913" s="56"/>
      <c r="U913" s="56"/>
      <c r="V913" s="56"/>
      <c r="W913" s="57"/>
      <c r="X913" s="51"/>
      <c r="Y913" s="51"/>
      <c r="Z913" s="51"/>
      <c r="AA913" s="51"/>
      <c r="AB913" s="51"/>
      <c r="AC913" s="51"/>
    </row>
    <row r="914" ht="15.75" customHeight="1">
      <c r="A914" s="56"/>
      <c r="B914" s="57"/>
      <c r="C914" s="58"/>
      <c r="D914" s="56"/>
      <c r="E914" s="56"/>
      <c r="F914" s="56"/>
      <c r="G914" s="56"/>
      <c r="H914" s="56"/>
      <c r="I914" s="56"/>
      <c r="J914" s="56"/>
      <c r="K914" s="56"/>
      <c r="L914" s="56"/>
      <c r="M914" s="56"/>
      <c r="N914" s="56"/>
      <c r="O914" s="59"/>
      <c r="P914" s="56"/>
      <c r="Q914" s="56"/>
      <c r="R914" s="56"/>
      <c r="S914" s="57"/>
      <c r="T914" s="56"/>
      <c r="U914" s="56"/>
      <c r="V914" s="56"/>
      <c r="W914" s="57"/>
      <c r="X914" s="51"/>
      <c r="Y914" s="51"/>
      <c r="Z914" s="51"/>
      <c r="AA914" s="51"/>
      <c r="AB914" s="51"/>
      <c r="AC914" s="51"/>
    </row>
    <row r="915" ht="15.75" customHeight="1">
      <c r="A915" s="56"/>
      <c r="B915" s="57"/>
      <c r="C915" s="58"/>
      <c r="D915" s="56"/>
      <c r="E915" s="56"/>
      <c r="F915" s="56"/>
      <c r="G915" s="56"/>
      <c r="H915" s="56"/>
      <c r="I915" s="56"/>
      <c r="J915" s="56"/>
      <c r="K915" s="56"/>
      <c r="L915" s="56"/>
      <c r="M915" s="56"/>
      <c r="N915" s="56"/>
      <c r="O915" s="59"/>
      <c r="P915" s="56"/>
      <c r="Q915" s="56"/>
      <c r="R915" s="56"/>
      <c r="S915" s="57"/>
      <c r="T915" s="56"/>
      <c r="U915" s="56"/>
      <c r="V915" s="56"/>
      <c r="W915" s="57"/>
      <c r="X915" s="51"/>
      <c r="Y915" s="51"/>
      <c r="Z915" s="51"/>
      <c r="AA915" s="51"/>
      <c r="AB915" s="51"/>
      <c r="AC915" s="51"/>
    </row>
    <row r="916" ht="15.75" customHeight="1">
      <c r="A916" s="56"/>
      <c r="B916" s="57"/>
      <c r="C916" s="58"/>
      <c r="D916" s="56"/>
      <c r="E916" s="56"/>
      <c r="F916" s="56"/>
      <c r="G916" s="56"/>
      <c r="H916" s="56"/>
      <c r="I916" s="56"/>
      <c r="J916" s="56"/>
      <c r="K916" s="56"/>
      <c r="L916" s="56"/>
      <c r="M916" s="56"/>
      <c r="N916" s="56"/>
      <c r="O916" s="59"/>
      <c r="P916" s="56"/>
      <c r="Q916" s="56"/>
      <c r="R916" s="56"/>
      <c r="S916" s="57"/>
      <c r="T916" s="56"/>
      <c r="U916" s="56"/>
      <c r="V916" s="56"/>
      <c r="W916" s="57"/>
      <c r="X916" s="51"/>
      <c r="Y916" s="51"/>
      <c r="Z916" s="51"/>
      <c r="AA916" s="51"/>
      <c r="AB916" s="51"/>
      <c r="AC916" s="51"/>
    </row>
    <row r="917" ht="15.75" customHeight="1">
      <c r="A917" s="56"/>
      <c r="B917" s="57"/>
      <c r="C917" s="58"/>
      <c r="D917" s="56"/>
      <c r="E917" s="56"/>
      <c r="F917" s="56"/>
      <c r="G917" s="56"/>
      <c r="H917" s="56"/>
      <c r="I917" s="56"/>
      <c r="J917" s="56"/>
      <c r="K917" s="56"/>
      <c r="L917" s="56"/>
      <c r="M917" s="56"/>
      <c r="N917" s="56"/>
      <c r="O917" s="59"/>
      <c r="P917" s="56"/>
      <c r="Q917" s="56"/>
      <c r="R917" s="56"/>
      <c r="S917" s="57"/>
      <c r="T917" s="56"/>
      <c r="U917" s="56"/>
      <c r="V917" s="56"/>
      <c r="W917" s="57"/>
      <c r="X917" s="51"/>
      <c r="Y917" s="51"/>
      <c r="Z917" s="51"/>
      <c r="AA917" s="51"/>
      <c r="AB917" s="51"/>
      <c r="AC917" s="51"/>
    </row>
    <row r="918" ht="15.75" customHeight="1">
      <c r="A918" s="56"/>
      <c r="B918" s="57"/>
      <c r="C918" s="58"/>
      <c r="D918" s="56"/>
      <c r="E918" s="56"/>
      <c r="F918" s="56"/>
      <c r="G918" s="56"/>
      <c r="H918" s="56"/>
      <c r="I918" s="56"/>
      <c r="J918" s="56"/>
      <c r="K918" s="56"/>
      <c r="L918" s="56"/>
      <c r="M918" s="56"/>
      <c r="N918" s="56"/>
      <c r="O918" s="59"/>
      <c r="P918" s="56"/>
      <c r="Q918" s="56"/>
      <c r="R918" s="56"/>
      <c r="S918" s="57"/>
      <c r="T918" s="56"/>
      <c r="U918" s="56"/>
      <c r="V918" s="56"/>
      <c r="W918" s="57"/>
      <c r="X918" s="51"/>
      <c r="Y918" s="51"/>
      <c r="Z918" s="51"/>
      <c r="AA918" s="51"/>
      <c r="AB918" s="51"/>
      <c r="AC918" s="51"/>
    </row>
    <row r="919" ht="15.75" customHeight="1">
      <c r="A919" s="56"/>
      <c r="B919" s="57"/>
      <c r="C919" s="58"/>
      <c r="D919" s="56"/>
      <c r="E919" s="56"/>
      <c r="F919" s="56"/>
      <c r="G919" s="56"/>
      <c r="H919" s="56"/>
      <c r="I919" s="56"/>
      <c r="J919" s="56"/>
      <c r="K919" s="56"/>
      <c r="L919" s="56"/>
      <c r="M919" s="56"/>
      <c r="N919" s="56"/>
      <c r="O919" s="59"/>
      <c r="P919" s="56"/>
      <c r="Q919" s="56"/>
      <c r="R919" s="56"/>
      <c r="S919" s="57"/>
      <c r="T919" s="56"/>
      <c r="U919" s="56"/>
      <c r="V919" s="56"/>
      <c r="W919" s="57"/>
      <c r="X919" s="51"/>
      <c r="Y919" s="51"/>
      <c r="Z919" s="51"/>
      <c r="AA919" s="51"/>
      <c r="AB919" s="51"/>
      <c r="AC919" s="51"/>
    </row>
    <row r="920" ht="15.75" customHeight="1">
      <c r="A920" s="56"/>
      <c r="B920" s="57"/>
      <c r="C920" s="58"/>
      <c r="D920" s="56"/>
      <c r="E920" s="56"/>
      <c r="F920" s="56"/>
      <c r="G920" s="56"/>
      <c r="H920" s="56"/>
      <c r="I920" s="56"/>
      <c r="J920" s="56"/>
      <c r="K920" s="56"/>
      <c r="L920" s="56"/>
      <c r="M920" s="56"/>
      <c r="N920" s="56"/>
      <c r="O920" s="59"/>
      <c r="P920" s="56"/>
      <c r="Q920" s="56"/>
      <c r="R920" s="56"/>
      <c r="S920" s="57"/>
      <c r="T920" s="56"/>
      <c r="U920" s="56"/>
      <c r="V920" s="56"/>
      <c r="W920" s="57"/>
      <c r="X920" s="51"/>
      <c r="Y920" s="51"/>
      <c r="Z920" s="51"/>
      <c r="AA920" s="51"/>
      <c r="AB920" s="51"/>
      <c r="AC920" s="51"/>
    </row>
    <row r="921" ht="15.75" customHeight="1">
      <c r="A921" s="56"/>
      <c r="B921" s="57"/>
      <c r="C921" s="58"/>
      <c r="D921" s="56"/>
      <c r="E921" s="56"/>
      <c r="F921" s="56"/>
      <c r="G921" s="56"/>
      <c r="H921" s="56"/>
      <c r="I921" s="56"/>
      <c r="J921" s="56"/>
      <c r="K921" s="56"/>
      <c r="L921" s="56"/>
      <c r="M921" s="56"/>
      <c r="N921" s="56"/>
      <c r="O921" s="59"/>
      <c r="P921" s="56"/>
      <c r="Q921" s="56"/>
      <c r="R921" s="56"/>
      <c r="S921" s="57"/>
      <c r="T921" s="56"/>
      <c r="U921" s="56"/>
      <c r="V921" s="56"/>
      <c r="W921" s="57"/>
      <c r="X921" s="51"/>
      <c r="Y921" s="51"/>
      <c r="Z921" s="51"/>
      <c r="AA921" s="51"/>
      <c r="AB921" s="51"/>
      <c r="AC921" s="51"/>
    </row>
    <row r="922" ht="15.75" customHeight="1">
      <c r="A922" s="56"/>
      <c r="B922" s="57"/>
      <c r="C922" s="58"/>
      <c r="D922" s="56"/>
      <c r="E922" s="56"/>
      <c r="F922" s="56"/>
      <c r="G922" s="56"/>
      <c r="H922" s="56"/>
      <c r="I922" s="56"/>
      <c r="J922" s="56"/>
      <c r="K922" s="56"/>
      <c r="L922" s="56"/>
      <c r="M922" s="56"/>
      <c r="N922" s="56"/>
      <c r="O922" s="59"/>
      <c r="P922" s="56"/>
      <c r="Q922" s="56"/>
      <c r="R922" s="56"/>
      <c r="S922" s="57"/>
      <c r="T922" s="56"/>
      <c r="U922" s="56"/>
      <c r="V922" s="56"/>
      <c r="W922" s="57"/>
      <c r="X922" s="51"/>
      <c r="Y922" s="51"/>
      <c r="Z922" s="51"/>
      <c r="AA922" s="51"/>
      <c r="AB922" s="51"/>
      <c r="AC922" s="51"/>
    </row>
    <row r="923" ht="15.75" customHeight="1">
      <c r="A923" s="56"/>
      <c r="B923" s="57"/>
      <c r="C923" s="58"/>
      <c r="D923" s="56"/>
      <c r="E923" s="56"/>
      <c r="F923" s="56"/>
      <c r="G923" s="56"/>
      <c r="H923" s="56"/>
      <c r="I923" s="56"/>
      <c r="J923" s="56"/>
      <c r="K923" s="56"/>
      <c r="L923" s="56"/>
      <c r="M923" s="56"/>
      <c r="N923" s="56"/>
      <c r="O923" s="59"/>
      <c r="P923" s="56"/>
      <c r="Q923" s="56"/>
      <c r="R923" s="56"/>
      <c r="S923" s="57"/>
      <c r="T923" s="56"/>
      <c r="U923" s="56"/>
      <c r="V923" s="56"/>
      <c r="W923" s="57"/>
      <c r="X923" s="51"/>
      <c r="Y923" s="51"/>
      <c r="Z923" s="51"/>
      <c r="AA923" s="51"/>
      <c r="AB923" s="51"/>
      <c r="AC923" s="51"/>
    </row>
    <row r="924" ht="15.75" customHeight="1">
      <c r="A924" s="56"/>
      <c r="B924" s="57"/>
      <c r="C924" s="58"/>
      <c r="D924" s="56"/>
      <c r="E924" s="56"/>
      <c r="F924" s="56"/>
      <c r="G924" s="56"/>
      <c r="H924" s="56"/>
      <c r="I924" s="56"/>
      <c r="J924" s="56"/>
      <c r="K924" s="56"/>
      <c r="L924" s="56"/>
      <c r="M924" s="56"/>
      <c r="N924" s="56"/>
      <c r="O924" s="59"/>
      <c r="P924" s="56"/>
      <c r="Q924" s="56"/>
      <c r="R924" s="56"/>
      <c r="S924" s="57"/>
      <c r="T924" s="56"/>
      <c r="U924" s="56"/>
      <c r="V924" s="56"/>
      <c r="W924" s="57"/>
      <c r="X924" s="51"/>
      <c r="Y924" s="51"/>
      <c r="Z924" s="51"/>
      <c r="AA924" s="51"/>
      <c r="AB924" s="51"/>
      <c r="AC924" s="51"/>
    </row>
    <row r="925" ht="15.75" customHeight="1">
      <c r="A925" s="56"/>
      <c r="B925" s="57"/>
      <c r="C925" s="58"/>
      <c r="D925" s="56"/>
      <c r="E925" s="56"/>
      <c r="F925" s="56"/>
      <c r="G925" s="56"/>
      <c r="H925" s="56"/>
      <c r="I925" s="56"/>
      <c r="J925" s="56"/>
      <c r="K925" s="56"/>
      <c r="L925" s="56"/>
      <c r="M925" s="56"/>
      <c r="N925" s="56"/>
      <c r="O925" s="59"/>
      <c r="P925" s="56"/>
      <c r="Q925" s="56"/>
      <c r="R925" s="56"/>
      <c r="S925" s="57"/>
      <c r="T925" s="56"/>
      <c r="U925" s="56"/>
      <c r="V925" s="56"/>
      <c r="W925" s="57"/>
      <c r="X925" s="51"/>
      <c r="Y925" s="51"/>
      <c r="Z925" s="51"/>
      <c r="AA925" s="51"/>
      <c r="AB925" s="51"/>
      <c r="AC925" s="51"/>
    </row>
    <row r="926" ht="15.75" customHeight="1">
      <c r="A926" s="56"/>
      <c r="B926" s="57"/>
      <c r="C926" s="58"/>
      <c r="D926" s="56"/>
      <c r="E926" s="56"/>
      <c r="F926" s="56"/>
      <c r="G926" s="56"/>
      <c r="H926" s="56"/>
      <c r="I926" s="56"/>
      <c r="J926" s="56"/>
      <c r="K926" s="56"/>
      <c r="L926" s="56"/>
      <c r="M926" s="56"/>
      <c r="N926" s="56"/>
      <c r="O926" s="59"/>
      <c r="P926" s="56"/>
      <c r="Q926" s="56"/>
      <c r="R926" s="56"/>
      <c r="S926" s="57"/>
      <c r="T926" s="56"/>
      <c r="U926" s="56"/>
      <c r="V926" s="56"/>
      <c r="W926" s="57"/>
      <c r="X926" s="51"/>
      <c r="Y926" s="51"/>
      <c r="Z926" s="51"/>
      <c r="AA926" s="51"/>
      <c r="AB926" s="51"/>
      <c r="AC926" s="51"/>
    </row>
    <row r="927" ht="15.75" customHeight="1">
      <c r="A927" s="56"/>
      <c r="B927" s="57"/>
      <c r="C927" s="58"/>
      <c r="D927" s="56"/>
      <c r="E927" s="56"/>
      <c r="F927" s="56"/>
      <c r="G927" s="56"/>
      <c r="H927" s="56"/>
      <c r="I927" s="56"/>
      <c r="J927" s="56"/>
      <c r="K927" s="56"/>
      <c r="L927" s="56"/>
      <c r="M927" s="56"/>
      <c r="N927" s="56"/>
      <c r="O927" s="59"/>
      <c r="P927" s="56"/>
      <c r="Q927" s="56"/>
      <c r="R927" s="56"/>
      <c r="S927" s="57"/>
      <c r="T927" s="56"/>
      <c r="U927" s="56"/>
      <c r="V927" s="56"/>
      <c r="W927" s="57"/>
      <c r="X927" s="51"/>
      <c r="Y927" s="51"/>
      <c r="Z927" s="51"/>
      <c r="AA927" s="51"/>
      <c r="AB927" s="51"/>
      <c r="AC927" s="51"/>
    </row>
    <row r="928" ht="15.75" customHeight="1">
      <c r="A928" s="56"/>
      <c r="B928" s="57"/>
      <c r="C928" s="58"/>
      <c r="D928" s="56"/>
      <c r="E928" s="56"/>
      <c r="F928" s="56"/>
      <c r="G928" s="56"/>
      <c r="H928" s="56"/>
      <c r="I928" s="56"/>
      <c r="J928" s="56"/>
      <c r="K928" s="56"/>
      <c r="L928" s="56"/>
      <c r="M928" s="56"/>
      <c r="N928" s="56"/>
      <c r="O928" s="59"/>
      <c r="P928" s="56"/>
      <c r="Q928" s="56"/>
      <c r="R928" s="56"/>
      <c r="S928" s="57"/>
      <c r="T928" s="56"/>
      <c r="U928" s="56"/>
      <c r="V928" s="56"/>
      <c r="W928" s="57"/>
      <c r="X928" s="51"/>
      <c r="Y928" s="51"/>
      <c r="Z928" s="51"/>
      <c r="AA928" s="51"/>
      <c r="AB928" s="51"/>
      <c r="AC928" s="51"/>
    </row>
    <row r="929" ht="15.75" customHeight="1">
      <c r="A929" s="56"/>
      <c r="B929" s="57"/>
      <c r="C929" s="58"/>
      <c r="D929" s="56"/>
      <c r="E929" s="56"/>
      <c r="F929" s="56"/>
      <c r="G929" s="56"/>
      <c r="H929" s="56"/>
      <c r="I929" s="56"/>
      <c r="J929" s="56"/>
      <c r="K929" s="56"/>
      <c r="L929" s="56"/>
      <c r="M929" s="56"/>
      <c r="N929" s="56"/>
      <c r="O929" s="59"/>
      <c r="P929" s="56"/>
      <c r="Q929" s="56"/>
      <c r="R929" s="56"/>
      <c r="S929" s="57"/>
      <c r="T929" s="56"/>
      <c r="U929" s="56"/>
      <c r="V929" s="56"/>
      <c r="W929" s="57"/>
      <c r="X929" s="51"/>
      <c r="Y929" s="51"/>
      <c r="Z929" s="51"/>
      <c r="AA929" s="51"/>
      <c r="AB929" s="51"/>
      <c r="AC929" s="51"/>
    </row>
    <row r="930" ht="15.75" customHeight="1">
      <c r="A930" s="56"/>
      <c r="B930" s="57"/>
      <c r="C930" s="58"/>
      <c r="D930" s="56"/>
      <c r="E930" s="56"/>
      <c r="F930" s="56"/>
      <c r="G930" s="56"/>
      <c r="H930" s="56"/>
      <c r="I930" s="56"/>
      <c r="J930" s="56"/>
      <c r="K930" s="56"/>
      <c r="L930" s="56"/>
      <c r="M930" s="56"/>
      <c r="N930" s="56"/>
      <c r="O930" s="59"/>
      <c r="P930" s="56"/>
      <c r="Q930" s="56"/>
      <c r="R930" s="56"/>
      <c r="S930" s="57"/>
      <c r="T930" s="56"/>
      <c r="U930" s="56"/>
      <c r="V930" s="56"/>
      <c r="W930" s="57"/>
      <c r="X930" s="51"/>
      <c r="Y930" s="51"/>
      <c r="Z930" s="51"/>
      <c r="AA930" s="51"/>
      <c r="AB930" s="51"/>
      <c r="AC930" s="51"/>
    </row>
    <row r="931" ht="15.75" customHeight="1">
      <c r="A931" s="56"/>
      <c r="B931" s="57"/>
      <c r="C931" s="58"/>
      <c r="D931" s="56"/>
      <c r="E931" s="56"/>
      <c r="F931" s="56"/>
      <c r="G931" s="56"/>
      <c r="H931" s="56"/>
      <c r="I931" s="56"/>
      <c r="J931" s="56"/>
      <c r="K931" s="56"/>
      <c r="L931" s="56"/>
      <c r="M931" s="56"/>
      <c r="N931" s="56"/>
      <c r="O931" s="59"/>
      <c r="P931" s="56"/>
      <c r="Q931" s="56"/>
      <c r="R931" s="56"/>
      <c r="S931" s="57"/>
      <c r="T931" s="56"/>
      <c r="U931" s="56"/>
      <c r="V931" s="56"/>
      <c r="W931" s="57"/>
      <c r="X931" s="51"/>
      <c r="Y931" s="51"/>
      <c r="Z931" s="51"/>
      <c r="AA931" s="51"/>
      <c r="AB931" s="51"/>
      <c r="AC931" s="51"/>
    </row>
    <row r="932" ht="15.75" customHeight="1">
      <c r="A932" s="56"/>
      <c r="B932" s="57"/>
      <c r="C932" s="58"/>
      <c r="D932" s="56"/>
      <c r="E932" s="56"/>
      <c r="F932" s="56"/>
      <c r="G932" s="56"/>
      <c r="H932" s="56"/>
      <c r="I932" s="56"/>
      <c r="J932" s="56"/>
      <c r="K932" s="56"/>
      <c r="L932" s="56"/>
      <c r="M932" s="56"/>
      <c r="N932" s="56"/>
      <c r="O932" s="59"/>
      <c r="P932" s="56"/>
      <c r="Q932" s="56"/>
      <c r="R932" s="56"/>
      <c r="S932" s="57"/>
      <c r="T932" s="56"/>
      <c r="U932" s="56"/>
      <c r="V932" s="56"/>
      <c r="W932" s="57"/>
      <c r="X932" s="51"/>
      <c r="Y932" s="51"/>
      <c r="Z932" s="51"/>
      <c r="AA932" s="51"/>
      <c r="AB932" s="51"/>
      <c r="AC932" s="51"/>
    </row>
    <row r="933" ht="15.75" customHeight="1">
      <c r="A933" s="56"/>
      <c r="B933" s="57"/>
      <c r="C933" s="58"/>
      <c r="D933" s="56"/>
      <c r="E933" s="56"/>
      <c r="F933" s="56"/>
      <c r="G933" s="56"/>
      <c r="H933" s="56"/>
      <c r="I933" s="56"/>
      <c r="J933" s="56"/>
      <c r="K933" s="56"/>
      <c r="L933" s="56"/>
      <c r="M933" s="56"/>
      <c r="N933" s="56"/>
      <c r="O933" s="59"/>
      <c r="P933" s="56"/>
      <c r="Q933" s="56"/>
      <c r="R933" s="56"/>
      <c r="S933" s="57"/>
      <c r="T933" s="56"/>
      <c r="U933" s="56"/>
      <c r="V933" s="56"/>
      <c r="W933" s="57"/>
      <c r="X933" s="51"/>
      <c r="Y933" s="51"/>
      <c r="Z933" s="51"/>
      <c r="AA933" s="51"/>
      <c r="AB933" s="51"/>
      <c r="AC933" s="51"/>
    </row>
    <row r="934" ht="15.75" customHeight="1">
      <c r="A934" s="56"/>
      <c r="B934" s="57"/>
      <c r="C934" s="58"/>
      <c r="D934" s="56"/>
      <c r="E934" s="56"/>
      <c r="F934" s="56"/>
      <c r="G934" s="56"/>
      <c r="H934" s="56"/>
      <c r="I934" s="56"/>
      <c r="J934" s="56"/>
      <c r="K934" s="56"/>
      <c r="L934" s="56"/>
      <c r="M934" s="56"/>
      <c r="N934" s="56"/>
      <c r="O934" s="59"/>
      <c r="P934" s="56"/>
      <c r="Q934" s="56"/>
      <c r="R934" s="56"/>
      <c r="S934" s="57"/>
      <c r="T934" s="56"/>
      <c r="U934" s="56"/>
      <c r="V934" s="56"/>
      <c r="W934" s="57"/>
      <c r="X934" s="51"/>
      <c r="Y934" s="51"/>
      <c r="Z934" s="51"/>
      <c r="AA934" s="51"/>
      <c r="AB934" s="51"/>
      <c r="AC934" s="51"/>
    </row>
    <row r="935" ht="15.75" customHeight="1">
      <c r="A935" s="56"/>
      <c r="B935" s="57"/>
      <c r="C935" s="58"/>
      <c r="D935" s="56"/>
      <c r="E935" s="56"/>
      <c r="F935" s="56"/>
      <c r="G935" s="56"/>
      <c r="H935" s="56"/>
      <c r="I935" s="56"/>
      <c r="J935" s="56"/>
      <c r="K935" s="56"/>
      <c r="L935" s="56"/>
      <c r="M935" s="56"/>
      <c r="N935" s="56"/>
      <c r="O935" s="59"/>
      <c r="P935" s="56"/>
      <c r="Q935" s="56"/>
      <c r="R935" s="56"/>
      <c r="S935" s="57"/>
      <c r="T935" s="56"/>
      <c r="U935" s="56"/>
      <c r="V935" s="56"/>
      <c r="W935" s="57"/>
      <c r="X935" s="51"/>
      <c r="Y935" s="51"/>
      <c r="Z935" s="51"/>
      <c r="AA935" s="51"/>
      <c r="AB935" s="51"/>
      <c r="AC935" s="51"/>
    </row>
    <row r="936" ht="15.75" customHeight="1">
      <c r="A936" s="56"/>
      <c r="B936" s="57"/>
      <c r="C936" s="58"/>
      <c r="D936" s="56"/>
      <c r="E936" s="56"/>
      <c r="F936" s="56"/>
      <c r="G936" s="56"/>
      <c r="H936" s="56"/>
      <c r="I936" s="56"/>
      <c r="J936" s="56"/>
      <c r="K936" s="56"/>
      <c r="L936" s="56"/>
      <c r="M936" s="56"/>
      <c r="N936" s="56"/>
      <c r="O936" s="59"/>
      <c r="P936" s="56"/>
      <c r="Q936" s="56"/>
      <c r="R936" s="56"/>
      <c r="S936" s="57"/>
      <c r="T936" s="56"/>
      <c r="U936" s="56"/>
      <c r="V936" s="56"/>
      <c r="W936" s="57"/>
      <c r="X936" s="51"/>
      <c r="Y936" s="51"/>
      <c r="Z936" s="51"/>
      <c r="AA936" s="51"/>
      <c r="AB936" s="51"/>
      <c r="AC936" s="51"/>
    </row>
    <row r="937" ht="15.75" customHeight="1">
      <c r="A937" s="56"/>
      <c r="B937" s="57"/>
      <c r="C937" s="58"/>
      <c r="D937" s="56"/>
      <c r="E937" s="56"/>
      <c r="F937" s="56"/>
      <c r="G937" s="56"/>
      <c r="H937" s="56"/>
      <c r="I937" s="56"/>
      <c r="J937" s="56"/>
      <c r="K937" s="56"/>
      <c r="L937" s="56"/>
      <c r="M937" s="56"/>
      <c r="N937" s="56"/>
      <c r="O937" s="59"/>
      <c r="P937" s="56"/>
      <c r="Q937" s="56"/>
      <c r="R937" s="56"/>
      <c r="S937" s="57"/>
      <c r="T937" s="56"/>
      <c r="U937" s="56"/>
      <c r="V937" s="56"/>
      <c r="W937" s="57"/>
      <c r="X937" s="51"/>
      <c r="Y937" s="51"/>
      <c r="Z937" s="51"/>
      <c r="AA937" s="51"/>
      <c r="AB937" s="51"/>
      <c r="AC937" s="51"/>
    </row>
    <row r="938" ht="15.75" customHeight="1">
      <c r="A938" s="56"/>
      <c r="B938" s="57"/>
      <c r="C938" s="58"/>
      <c r="D938" s="56"/>
      <c r="E938" s="56"/>
      <c r="F938" s="56"/>
      <c r="G938" s="56"/>
      <c r="H938" s="56"/>
      <c r="I938" s="56"/>
      <c r="J938" s="56"/>
      <c r="K938" s="56"/>
      <c r="L938" s="56"/>
      <c r="M938" s="56"/>
      <c r="N938" s="56"/>
      <c r="O938" s="59"/>
      <c r="P938" s="56"/>
      <c r="Q938" s="56"/>
      <c r="R938" s="56"/>
      <c r="S938" s="57"/>
      <c r="T938" s="56"/>
      <c r="U938" s="56"/>
      <c r="V938" s="56"/>
      <c r="W938" s="57"/>
      <c r="X938" s="51"/>
      <c r="Y938" s="51"/>
      <c r="Z938" s="51"/>
      <c r="AA938" s="51"/>
      <c r="AB938" s="51"/>
      <c r="AC938" s="51"/>
    </row>
    <row r="939" ht="15.75" customHeight="1">
      <c r="A939" s="56"/>
      <c r="B939" s="57"/>
      <c r="C939" s="58"/>
      <c r="D939" s="56"/>
      <c r="E939" s="56"/>
      <c r="F939" s="56"/>
      <c r="G939" s="56"/>
      <c r="H939" s="56"/>
      <c r="I939" s="56"/>
      <c r="J939" s="56"/>
      <c r="K939" s="56"/>
      <c r="L939" s="56"/>
      <c r="M939" s="56"/>
      <c r="N939" s="56"/>
      <c r="O939" s="59"/>
      <c r="P939" s="56"/>
      <c r="Q939" s="56"/>
      <c r="R939" s="56"/>
      <c r="S939" s="57"/>
      <c r="T939" s="56"/>
      <c r="U939" s="56"/>
      <c r="V939" s="56"/>
      <c r="W939" s="57"/>
      <c r="X939" s="51"/>
      <c r="Y939" s="51"/>
      <c r="Z939" s="51"/>
      <c r="AA939" s="51"/>
      <c r="AB939" s="51"/>
      <c r="AC939" s="51"/>
    </row>
    <row r="940" ht="15.75" customHeight="1">
      <c r="A940" s="56"/>
      <c r="B940" s="57"/>
      <c r="C940" s="58"/>
      <c r="D940" s="56"/>
      <c r="E940" s="56"/>
      <c r="F940" s="56"/>
      <c r="G940" s="56"/>
      <c r="H940" s="56"/>
      <c r="I940" s="56"/>
      <c r="J940" s="56"/>
      <c r="K940" s="56"/>
      <c r="L940" s="56"/>
      <c r="M940" s="56"/>
      <c r="N940" s="56"/>
      <c r="O940" s="59"/>
      <c r="P940" s="56"/>
      <c r="Q940" s="56"/>
      <c r="R940" s="56"/>
      <c r="S940" s="57"/>
      <c r="T940" s="56"/>
      <c r="U940" s="56"/>
      <c r="V940" s="56"/>
      <c r="W940" s="57"/>
      <c r="X940" s="51"/>
      <c r="Y940" s="51"/>
      <c r="Z940" s="51"/>
      <c r="AA940" s="51"/>
      <c r="AB940" s="51"/>
      <c r="AC940" s="51"/>
    </row>
    <row r="941" ht="15.75" customHeight="1">
      <c r="A941" s="56"/>
      <c r="B941" s="57"/>
      <c r="C941" s="58"/>
      <c r="D941" s="56"/>
      <c r="E941" s="56"/>
      <c r="F941" s="56"/>
      <c r="G941" s="56"/>
      <c r="H941" s="56"/>
      <c r="I941" s="56"/>
      <c r="J941" s="56"/>
      <c r="K941" s="56"/>
      <c r="L941" s="56"/>
      <c r="M941" s="56"/>
      <c r="N941" s="56"/>
      <c r="O941" s="59"/>
      <c r="P941" s="56"/>
      <c r="Q941" s="56"/>
      <c r="R941" s="56"/>
      <c r="S941" s="57"/>
      <c r="T941" s="56"/>
      <c r="U941" s="56"/>
      <c r="V941" s="56"/>
      <c r="W941" s="57"/>
      <c r="X941" s="51"/>
      <c r="Y941" s="51"/>
      <c r="Z941" s="51"/>
      <c r="AA941" s="51"/>
      <c r="AB941" s="51"/>
      <c r="AC941" s="51"/>
    </row>
    <row r="942" ht="15.75" customHeight="1">
      <c r="A942" s="56"/>
      <c r="B942" s="57"/>
      <c r="C942" s="58"/>
      <c r="D942" s="56"/>
      <c r="E942" s="56"/>
      <c r="F942" s="56"/>
      <c r="G942" s="56"/>
      <c r="H942" s="56"/>
      <c r="I942" s="56"/>
      <c r="J942" s="56"/>
      <c r="K942" s="56"/>
      <c r="L942" s="56"/>
      <c r="M942" s="56"/>
      <c r="N942" s="56"/>
      <c r="O942" s="59"/>
      <c r="P942" s="56"/>
      <c r="Q942" s="56"/>
      <c r="R942" s="56"/>
      <c r="S942" s="57"/>
      <c r="T942" s="56"/>
      <c r="U942" s="56"/>
      <c r="V942" s="56"/>
      <c r="W942" s="57"/>
      <c r="X942" s="51"/>
      <c r="Y942" s="51"/>
      <c r="Z942" s="51"/>
      <c r="AA942" s="51"/>
      <c r="AB942" s="51"/>
      <c r="AC942" s="51"/>
    </row>
    <row r="943" ht="15.75" customHeight="1">
      <c r="A943" s="56"/>
      <c r="B943" s="57"/>
      <c r="C943" s="58"/>
      <c r="D943" s="56"/>
      <c r="E943" s="56"/>
      <c r="F943" s="56"/>
      <c r="G943" s="56"/>
      <c r="H943" s="56"/>
      <c r="I943" s="56"/>
      <c r="J943" s="56"/>
      <c r="K943" s="56"/>
      <c r="L943" s="56"/>
      <c r="M943" s="56"/>
      <c r="N943" s="56"/>
      <c r="O943" s="59"/>
      <c r="P943" s="56"/>
      <c r="Q943" s="56"/>
      <c r="R943" s="56"/>
      <c r="S943" s="57"/>
      <c r="T943" s="56"/>
      <c r="U943" s="56"/>
      <c r="V943" s="56"/>
      <c r="W943" s="57"/>
      <c r="X943" s="51"/>
      <c r="Y943" s="51"/>
      <c r="Z943" s="51"/>
      <c r="AA943" s="51"/>
      <c r="AB943" s="51"/>
      <c r="AC943" s="51"/>
    </row>
    <row r="944" ht="15.75" customHeight="1">
      <c r="A944" s="56"/>
      <c r="B944" s="57"/>
      <c r="C944" s="58"/>
      <c r="D944" s="56"/>
      <c r="E944" s="56"/>
      <c r="F944" s="56"/>
      <c r="G944" s="56"/>
      <c r="H944" s="56"/>
      <c r="I944" s="56"/>
      <c r="J944" s="56"/>
      <c r="K944" s="56"/>
      <c r="L944" s="56"/>
      <c r="M944" s="56"/>
      <c r="N944" s="56"/>
      <c r="O944" s="59"/>
      <c r="P944" s="56"/>
      <c r="Q944" s="56"/>
      <c r="R944" s="56"/>
      <c r="S944" s="57"/>
      <c r="T944" s="56"/>
      <c r="U944" s="56"/>
      <c r="V944" s="56"/>
      <c r="W944" s="57"/>
      <c r="X944" s="51"/>
      <c r="Y944" s="51"/>
      <c r="Z944" s="51"/>
      <c r="AA944" s="51"/>
      <c r="AB944" s="51"/>
      <c r="AC944" s="51"/>
    </row>
    <row r="945" ht="15.75" customHeight="1">
      <c r="A945" s="56"/>
      <c r="B945" s="57"/>
      <c r="C945" s="58"/>
      <c r="D945" s="56"/>
      <c r="E945" s="56"/>
      <c r="F945" s="56"/>
      <c r="G945" s="56"/>
      <c r="H945" s="56"/>
      <c r="I945" s="56"/>
      <c r="J945" s="56"/>
      <c r="K945" s="56"/>
      <c r="L945" s="56"/>
      <c r="M945" s="56"/>
      <c r="N945" s="56"/>
      <c r="O945" s="59"/>
      <c r="P945" s="56"/>
      <c r="Q945" s="56"/>
      <c r="R945" s="56"/>
      <c r="S945" s="57"/>
      <c r="T945" s="56"/>
      <c r="U945" s="56"/>
      <c r="V945" s="56"/>
      <c r="W945" s="57"/>
      <c r="X945" s="51"/>
      <c r="Y945" s="51"/>
      <c r="Z945" s="51"/>
      <c r="AA945" s="51"/>
      <c r="AB945" s="51"/>
      <c r="AC945" s="51"/>
    </row>
    <row r="946" ht="15.75" customHeight="1">
      <c r="A946" s="56"/>
      <c r="B946" s="57"/>
      <c r="C946" s="58"/>
      <c r="D946" s="56"/>
      <c r="E946" s="56"/>
      <c r="F946" s="56"/>
      <c r="G946" s="56"/>
      <c r="H946" s="56"/>
      <c r="I946" s="56"/>
      <c r="J946" s="56"/>
      <c r="K946" s="56"/>
      <c r="L946" s="56"/>
      <c r="M946" s="56"/>
      <c r="N946" s="56"/>
      <c r="O946" s="59"/>
      <c r="P946" s="56"/>
      <c r="Q946" s="56"/>
      <c r="R946" s="56"/>
      <c r="S946" s="57"/>
      <c r="T946" s="56"/>
      <c r="U946" s="56"/>
      <c r="V946" s="56"/>
      <c r="W946" s="57"/>
      <c r="X946" s="51"/>
      <c r="Y946" s="51"/>
      <c r="Z946" s="51"/>
      <c r="AA946" s="51"/>
      <c r="AB946" s="51"/>
      <c r="AC946" s="51"/>
    </row>
    <row r="947" ht="15.75" customHeight="1">
      <c r="A947" s="56"/>
      <c r="B947" s="57"/>
      <c r="C947" s="58"/>
      <c r="D947" s="56"/>
      <c r="E947" s="56"/>
      <c r="F947" s="56"/>
      <c r="G947" s="56"/>
      <c r="H947" s="56"/>
      <c r="I947" s="56"/>
      <c r="J947" s="56"/>
      <c r="K947" s="56"/>
      <c r="L947" s="56"/>
      <c r="M947" s="56"/>
      <c r="N947" s="56"/>
      <c r="O947" s="59"/>
      <c r="P947" s="56"/>
      <c r="Q947" s="56"/>
      <c r="R947" s="56"/>
      <c r="S947" s="57"/>
      <c r="T947" s="56"/>
      <c r="U947" s="56"/>
      <c r="V947" s="56"/>
      <c r="W947" s="57"/>
      <c r="X947" s="51"/>
      <c r="Y947" s="51"/>
      <c r="Z947" s="51"/>
      <c r="AA947" s="51"/>
      <c r="AB947" s="51"/>
      <c r="AC947" s="51"/>
    </row>
    <row r="948" ht="15.75" customHeight="1">
      <c r="A948" s="56"/>
      <c r="B948" s="57"/>
      <c r="C948" s="58"/>
      <c r="D948" s="56"/>
      <c r="E948" s="56"/>
      <c r="F948" s="56"/>
      <c r="G948" s="56"/>
      <c r="H948" s="56"/>
      <c r="I948" s="56"/>
      <c r="J948" s="56"/>
      <c r="K948" s="56"/>
      <c r="L948" s="56"/>
      <c r="M948" s="56"/>
      <c r="N948" s="56"/>
      <c r="O948" s="59"/>
      <c r="P948" s="56"/>
      <c r="Q948" s="56"/>
      <c r="R948" s="56"/>
      <c r="S948" s="57"/>
      <c r="T948" s="56"/>
      <c r="U948" s="56"/>
      <c r="V948" s="56"/>
      <c r="W948" s="57"/>
      <c r="X948" s="51"/>
      <c r="Y948" s="51"/>
      <c r="Z948" s="51"/>
      <c r="AA948" s="51"/>
      <c r="AB948" s="51"/>
      <c r="AC948" s="51"/>
    </row>
    <row r="949" ht="15.75" customHeight="1">
      <c r="A949" s="56"/>
      <c r="B949" s="57"/>
      <c r="C949" s="58"/>
      <c r="D949" s="56"/>
      <c r="E949" s="56"/>
      <c r="F949" s="56"/>
      <c r="G949" s="56"/>
      <c r="H949" s="56"/>
      <c r="I949" s="56"/>
      <c r="J949" s="56"/>
      <c r="K949" s="56"/>
      <c r="L949" s="56"/>
      <c r="M949" s="56"/>
      <c r="N949" s="56"/>
      <c r="O949" s="59"/>
      <c r="P949" s="56"/>
      <c r="Q949" s="56"/>
      <c r="R949" s="56"/>
      <c r="S949" s="57"/>
      <c r="T949" s="56"/>
      <c r="U949" s="56"/>
      <c r="V949" s="56"/>
      <c r="W949" s="57"/>
      <c r="X949" s="51"/>
      <c r="Y949" s="51"/>
      <c r="Z949" s="51"/>
      <c r="AA949" s="51"/>
      <c r="AB949" s="51"/>
      <c r="AC949" s="51"/>
    </row>
    <row r="950" ht="15.75" customHeight="1">
      <c r="A950" s="56"/>
      <c r="B950" s="57"/>
      <c r="C950" s="58"/>
      <c r="D950" s="56"/>
      <c r="E950" s="56"/>
      <c r="F950" s="56"/>
      <c r="G950" s="56"/>
      <c r="H950" s="56"/>
      <c r="I950" s="56"/>
      <c r="J950" s="56"/>
      <c r="K950" s="56"/>
      <c r="L950" s="56"/>
      <c r="M950" s="56"/>
      <c r="N950" s="56"/>
      <c r="O950" s="59"/>
      <c r="P950" s="56"/>
      <c r="Q950" s="56"/>
      <c r="R950" s="56"/>
      <c r="S950" s="57"/>
      <c r="T950" s="56"/>
      <c r="U950" s="56"/>
      <c r="V950" s="56"/>
      <c r="W950" s="57"/>
      <c r="X950" s="51"/>
      <c r="Y950" s="51"/>
      <c r="Z950" s="51"/>
      <c r="AA950" s="51"/>
      <c r="AB950" s="51"/>
      <c r="AC950" s="51"/>
    </row>
    <row r="951" ht="15.75" customHeight="1">
      <c r="A951" s="56"/>
      <c r="B951" s="57"/>
      <c r="C951" s="58"/>
      <c r="D951" s="56"/>
      <c r="E951" s="56"/>
      <c r="F951" s="56"/>
      <c r="G951" s="56"/>
      <c r="H951" s="56"/>
      <c r="I951" s="56"/>
      <c r="J951" s="56"/>
      <c r="K951" s="56"/>
      <c r="L951" s="56"/>
      <c r="M951" s="56"/>
      <c r="N951" s="56"/>
      <c r="O951" s="59"/>
      <c r="P951" s="56"/>
      <c r="Q951" s="56"/>
      <c r="R951" s="56"/>
      <c r="S951" s="57"/>
      <c r="T951" s="56"/>
      <c r="U951" s="56"/>
      <c r="V951" s="56"/>
      <c r="W951" s="57"/>
      <c r="X951" s="51"/>
      <c r="Y951" s="51"/>
      <c r="Z951" s="51"/>
      <c r="AA951" s="51"/>
      <c r="AB951" s="51"/>
      <c r="AC951" s="51"/>
    </row>
    <row r="952" ht="15.75" customHeight="1">
      <c r="A952" s="56"/>
      <c r="B952" s="57"/>
      <c r="C952" s="58"/>
      <c r="D952" s="56"/>
      <c r="E952" s="56"/>
      <c r="F952" s="56"/>
      <c r="G952" s="56"/>
      <c r="H952" s="56"/>
      <c r="I952" s="56"/>
      <c r="J952" s="56"/>
      <c r="K952" s="56"/>
      <c r="L952" s="56"/>
      <c r="M952" s="56"/>
      <c r="N952" s="56"/>
      <c r="O952" s="59"/>
      <c r="P952" s="56"/>
      <c r="Q952" s="56"/>
      <c r="R952" s="56"/>
      <c r="S952" s="57"/>
      <c r="T952" s="56"/>
      <c r="U952" s="56"/>
      <c r="V952" s="56"/>
      <c r="W952" s="57"/>
      <c r="X952" s="51"/>
      <c r="Y952" s="51"/>
      <c r="Z952" s="51"/>
      <c r="AA952" s="51"/>
      <c r="AB952" s="51"/>
      <c r="AC952" s="51"/>
    </row>
    <row r="953" ht="15.75" customHeight="1">
      <c r="A953" s="56"/>
      <c r="B953" s="57"/>
      <c r="C953" s="58"/>
      <c r="D953" s="56"/>
      <c r="E953" s="56"/>
      <c r="F953" s="56"/>
      <c r="G953" s="56"/>
      <c r="H953" s="56"/>
      <c r="I953" s="56"/>
      <c r="J953" s="56"/>
      <c r="K953" s="56"/>
      <c r="L953" s="56"/>
      <c r="M953" s="56"/>
      <c r="N953" s="56"/>
      <c r="O953" s="59"/>
      <c r="P953" s="56"/>
      <c r="Q953" s="56"/>
      <c r="R953" s="56"/>
      <c r="S953" s="57"/>
      <c r="T953" s="56"/>
      <c r="U953" s="56"/>
      <c r="V953" s="56"/>
      <c r="W953" s="57"/>
      <c r="X953" s="51"/>
      <c r="Y953" s="51"/>
      <c r="Z953" s="51"/>
      <c r="AA953" s="51"/>
      <c r="AB953" s="51"/>
      <c r="AC953" s="51"/>
    </row>
    <row r="954" ht="15.75" customHeight="1">
      <c r="A954" s="56"/>
      <c r="B954" s="57"/>
      <c r="C954" s="58"/>
      <c r="D954" s="56"/>
      <c r="E954" s="56"/>
      <c r="F954" s="56"/>
      <c r="G954" s="56"/>
      <c r="H954" s="56"/>
      <c r="I954" s="56"/>
      <c r="J954" s="56"/>
      <c r="K954" s="56"/>
      <c r="L954" s="56"/>
      <c r="M954" s="56"/>
      <c r="N954" s="56"/>
      <c r="O954" s="59"/>
      <c r="P954" s="56"/>
      <c r="Q954" s="56"/>
      <c r="R954" s="56"/>
      <c r="S954" s="57"/>
      <c r="T954" s="56"/>
      <c r="U954" s="56"/>
      <c r="V954" s="56"/>
      <c r="W954" s="57"/>
      <c r="X954" s="51"/>
      <c r="Y954" s="51"/>
      <c r="Z954" s="51"/>
      <c r="AA954" s="51"/>
      <c r="AB954" s="51"/>
      <c r="AC954" s="51"/>
    </row>
    <row r="955" ht="15.75" customHeight="1">
      <c r="A955" s="56"/>
      <c r="B955" s="57"/>
      <c r="C955" s="58"/>
      <c r="D955" s="56"/>
      <c r="E955" s="56"/>
      <c r="F955" s="56"/>
      <c r="G955" s="56"/>
      <c r="H955" s="56"/>
      <c r="I955" s="56"/>
      <c r="J955" s="56"/>
      <c r="K955" s="56"/>
      <c r="L955" s="56"/>
      <c r="M955" s="56"/>
      <c r="N955" s="56"/>
      <c r="O955" s="59"/>
      <c r="P955" s="56"/>
      <c r="Q955" s="56"/>
      <c r="R955" s="56"/>
      <c r="S955" s="57"/>
      <c r="T955" s="56"/>
      <c r="U955" s="56"/>
      <c r="V955" s="56"/>
      <c r="W955" s="57"/>
      <c r="X955" s="51"/>
      <c r="Y955" s="51"/>
      <c r="Z955" s="51"/>
      <c r="AA955" s="51"/>
      <c r="AB955" s="51"/>
      <c r="AC955" s="51"/>
    </row>
    <row r="956" ht="15.75" customHeight="1">
      <c r="A956" s="56"/>
      <c r="B956" s="57"/>
      <c r="C956" s="58"/>
      <c r="D956" s="56"/>
      <c r="E956" s="56"/>
      <c r="F956" s="56"/>
      <c r="G956" s="56"/>
      <c r="H956" s="56"/>
      <c r="I956" s="56"/>
      <c r="J956" s="56"/>
      <c r="K956" s="56"/>
      <c r="L956" s="56"/>
      <c r="M956" s="56"/>
      <c r="N956" s="56"/>
      <c r="O956" s="59"/>
      <c r="P956" s="56"/>
      <c r="Q956" s="56"/>
      <c r="R956" s="56"/>
      <c r="S956" s="57"/>
      <c r="T956" s="56"/>
      <c r="U956" s="56"/>
      <c r="V956" s="56"/>
      <c r="W956" s="57"/>
      <c r="X956" s="51"/>
      <c r="Y956" s="51"/>
      <c r="Z956" s="51"/>
      <c r="AA956" s="51"/>
      <c r="AB956" s="51"/>
      <c r="AC956" s="51"/>
    </row>
    <row r="957" ht="15.75" customHeight="1">
      <c r="A957" s="56"/>
      <c r="B957" s="57"/>
      <c r="C957" s="58"/>
      <c r="D957" s="56"/>
      <c r="E957" s="56"/>
      <c r="F957" s="56"/>
      <c r="G957" s="56"/>
      <c r="H957" s="56"/>
      <c r="I957" s="56"/>
      <c r="J957" s="56"/>
      <c r="K957" s="56"/>
      <c r="L957" s="56"/>
      <c r="M957" s="56"/>
      <c r="N957" s="56"/>
      <c r="O957" s="59"/>
      <c r="P957" s="56"/>
      <c r="Q957" s="56"/>
      <c r="R957" s="56"/>
      <c r="S957" s="57"/>
      <c r="T957" s="56"/>
      <c r="U957" s="56"/>
      <c r="V957" s="56"/>
      <c r="W957" s="57"/>
      <c r="X957" s="51"/>
      <c r="Y957" s="51"/>
      <c r="Z957" s="51"/>
      <c r="AA957" s="51"/>
      <c r="AB957" s="51"/>
      <c r="AC957" s="51"/>
    </row>
    <row r="958" ht="15.75" customHeight="1">
      <c r="A958" s="56"/>
      <c r="B958" s="57"/>
      <c r="C958" s="58"/>
      <c r="D958" s="56"/>
      <c r="E958" s="56"/>
      <c r="F958" s="56"/>
      <c r="G958" s="56"/>
      <c r="H958" s="56"/>
      <c r="I958" s="56"/>
      <c r="J958" s="56"/>
      <c r="K958" s="56"/>
      <c r="L958" s="56"/>
      <c r="M958" s="56"/>
      <c r="N958" s="56"/>
      <c r="O958" s="59"/>
      <c r="P958" s="56"/>
      <c r="Q958" s="56"/>
      <c r="R958" s="56"/>
      <c r="S958" s="57"/>
      <c r="T958" s="56"/>
      <c r="U958" s="56"/>
      <c r="V958" s="56"/>
      <c r="W958" s="57"/>
      <c r="X958" s="51"/>
      <c r="Y958" s="51"/>
      <c r="Z958" s="51"/>
      <c r="AA958" s="51"/>
      <c r="AB958" s="51"/>
      <c r="AC958" s="51"/>
    </row>
    <row r="959" ht="15.75" customHeight="1">
      <c r="A959" s="56"/>
      <c r="B959" s="57"/>
      <c r="C959" s="58"/>
      <c r="D959" s="56"/>
      <c r="E959" s="56"/>
      <c r="F959" s="56"/>
      <c r="G959" s="56"/>
      <c r="H959" s="56"/>
      <c r="I959" s="56"/>
      <c r="J959" s="56"/>
      <c r="K959" s="56"/>
      <c r="L959" s="56"/>
      <c r="M959" s="56"/>
      <c r="N959" s="56"/>
      <c r="O959" s="59"/>
      <c r="P959" s="56"/>
      <c r="Q959" s="56"/>
      <c r="R959" s="56"/>
      <c r="S959" s="57"/>
      <c r="T959" s="56"/>
      <c r="U959" s="56"/>
      <c r="V959" s="56"/>
      <c r="W959" s="57"/>
      <c r="X959" s="51"/>
      <c r="Y959" s="51"/>
      <c r="Z959" s="51"/>
      <c r="AA959" s="51"/>
      <c r="AB959" s="51"/>
      <c r="AC959" s="51"/>
    </row>
    <row r="960" ht="15.75" customHeight="1">
      <c r="A960" s="56"/>
      <c r="B960" s="57"/>
      <c r="C960" s="58"/>
      <c r="D960" s="56"/>
      <c r="E960" s="56"/>
      <c r="F960" s="56"/>
      <c r="G960" s="56"/>
      <c r="H960" s="56"/>
      <c r="I960" s="56"/>
      <c r="J960" s="56"/>
      <c r="K960" s="56"/>
      <c r="L960" s="56"/>
      <c r="M960" s="56"/>
      <c r="N960" s="56"/>
      <c r="O960" s="59"/>
      <c r="P960" s="56"/>
      <c r="Q960" s="56"/>
      <c r="R960" s="56"/>
      <c r="S960" s="57"/>
      <c r="T960" s="56"/>
      <c r="U960" s="56"/>
      <c r="V960" s="56"/>
      <c r="W960" s="57"/>
      <c r="X960" s="51"/>
      <c r="Y960" s="51"/>
      <c r="Z960" s="51"/>
      <c r="AA960" s="51"/>
      <c r="AB960" s="51"/>
      <c r="AC960" s="51"/>
    </row>
    <row r="961" ht="15.75" customHeight="1">
      <c r="A961" s="56"/>
      <c r="B961" s="57"/>
      <c r="C961" s="58"/>
      <c r="D961" s="56"/>
      <c r="E961" s="56"/>
      <c r="F961" s="56"/>
      <c r="G961" s="56"/>
      <c r="H961" s="56"/>
      <c r="I961" s="56"/>
      <c r="J961" s="56"/>
      <c r="K961" s="56"/>
      <c r="L961" s="56"/>
      <c r="M961" s="56"/>
      <c r="N961" s="56"/>
      <c r="O961" s="59"/>
      <c r="P961" s="56"/>
      <c r="Q961" s="56"/>
      <c r="R961" s="56"/>
      <c r="S961" s="57"/>
      <c r="T961" s="56"/>
      <c r="U961" s="56"/>
      <c r="V961" s="56"/>
      <c r="W961" s="57"/>
      <c r="X961" s="51"/>
      <c r="Y961" s="51"/>
      <c r="Z961" s="51"/>
      <c r="AA961" s="51"/>
      <c r="AB961" s="51"/>
      <c r="AC961" s="51"/>
    </row>
    <row r="962" ht="15.75" customHeight="1">
      <c r="A962" s="56"/>
      <c r="B962" s="57"/>
      <c r="C962" s="58"/>
      <c r="D962" s="56"/>
      <c r="E962" s="56"/>
      <c r="F962" s="56"/>
      <c r="G962" s="56"/>
      <c r="H962" s="56"/>
      <c r="I962" s="56"/>
      <c r="J962" s="56"/>
      <c r="K962" s="56"/>
      <c r="L962" s="56"/>
      <c r="M962" s="56"/>
      <c r="N962" s="56"/>
      <c r="O962" s="59"/>
      <c r="P962" s="56"/>
      <c r="Q962" s="56"/>
      <c r="R962" s="56"/>
      <c r="S962" s="57"/>
      <c r="T962" s="56"/>
      <c r="U962" s="56"/>
      <c r="V962" s="56"/>
      <c r="W962" s="57"/>
      <c r="X962" s="51"/>
      <c r="Y962" s="51"/>
      <c r="Z962" s="51"/>
      <c r="AA962" s="51"/>
      <c r="AB962" s="51"/>
      <c r="AC962" s="51"/>
    </row>
    <row r="963" ht="15.75" customHeight="1">
      <c r="A963" s="56"/>
      <c r="B963" s="57"/>
      <c r="C963" s="58"/>
      <c r="D963" s="56"/>
      <c r="E963" s="56"/>
      <c r="F963" s="56"/>
      <c r="G963" s="56"/>
      <c r="H963" s="56"/>
      <c r="I963" s="56"/>
      <c r="J963" s="56"/>
      <c r="K963" s="56"/>
      <c r="L963" s="56"/>
      <c r="M963" s="56"/>
      <c r="N963" s="56"/>
      <c r="O963" s="59"/>
      <c r="P963" s="56"/>
      <c r="Q963" s="56"/>
      <c r="R963" s="56"/>
      <c r="S963" s="57"/>
      <c r="T963" s="56"/>
      <c r="U963" s="56"/>
      <c r="V963" s="56"/>
      <c r="W963" s="57"/>
      <c r="X963" s="51"/>
      <c r="Y963" s="51"/>
      <c r="Z963" s="51"/>
      <c r="AA963" s="51"/>
      <c r="AB963" s="51"/>
      <c r="AC963" s="51"/>
    </row>
    <row r="964" ht="15.75" customHeight="1">
      <c r="A964" s="56"/>
      <c r="B964" s="57"/>
      <c r="C964" s="58"/>
      <c r="D964" s="56"/>
      <c r="E964" s="56"/>
      <c r="F964" s="56"/>
      <c r="G964" s="56"/>
      <c r="H964" s="56"/>
      <c r="I964" s="56"/>
      <c r="J964" s="56"/>
      <c r="K964" s="56"/>
      <c r="L964" s="56"/>
      <c r="M964" s="56"/>
      <c r="N964" s="56"/>
      <c r="O964" s="59"/>
      <c r="P964" s="56"/>
      <c r="Q964" s="56"/>
      <c r="R964" s="56"/>
      <c r="S964" s="57"/>
      <c r="T964" s="56"/>
      <c r="U964" s="56"/>
      <c r="V964" s="56"/>
      <c r="W964" s="57"/>
      <c r="X964" s="51"/>
      <c r="Y964" s="51"/>
      <c r="Z964" s="51"/>
      <c r="AA964" s="51"/>
      <c r="AB964" s="51"/>
      <c r="AC964" s="51"/>
    </row>
    <row r="965" ht="15.75" customHeight="1">
      <c r="A965" s="56"/>
      <c r="B965" s="57"/>
      <c r="C965" s="58"/>
      <c r="D965" s="56"/>
      <c r="E965" s="56"/>
      <c r="F965" s="56"/>
      <c r="G965" s="56"/>
      <c r="H965" s="56"/>
      <c r="I965" s="56"/>
      <c r="J965" s="56"/>
      <c r="K965" s="56"/>
      <c r="L965" s="56"/>
      <c r="M965" s="56"/>
      <c r="N965" s="56"/>
      <c r="O965" s="59"/>
      <c r="P965" s="56"/>
      <c r="Q965" s="56"/>
      <c r="R965" s="56"/>
      <c r="S965" s="57"/>
      <c r="T965" s="56"/>
      <c r="U965" s="56"/>
      <c r="V965" s="56"/>
      <c r="W965" s="57"/>
      <c r="X965" s="51"/>
      <c r="Y965" s="51"/>
      <c r="Z965" s="51"/>
      <c r="AA965" s="51"/>
      <c r="AB965" s="51"/>
      <c r="AC965" s="51"/>
    </row>
    <row r="966" ht="15.75" customHeight="1">
      <c r="A966" s="56"/>
      <c r="B966" s="57"/>
      <c r="C966" s="58"/>
      <c r="D966" s="56"/>
      <c r="E966" s="56"/>
      <c r="F966" s="56"/>
      <c r="G966" s="56"/>
      <c r="H966" s="56"/>
      <c r="I966" s="56"/>
      <c r="J966" s="56"/>
      <c r="K966" s="56"/>
      <c r="L966" s="56"/>
      <c r="M966" s="56"/>
      <c r="N966" s="56"/>
      <c r="O966" s="59"/>
      <c r="P966" s="56"/>
      <c r="Q966" s="56"/>
      <c r="R966" s="56"/>
      <c r="S966" s="57"/>
      <c r="T966" s="56"/>
      <c r="U966" s="56"/>
      <c r="V966" s="56"/>
      <c r="W966" s="57"/>
      <c r="X966" s="51"/>
      <c r="Y966" s="51"/>
      <c r="Z966" s="51"/>
      <c r="AA966" s="51"/>
      <c r="AB966" s="51"/>
      <c r="AC966" s="51"/>
    </row>
    <row r="967" ht="15.75" customHeight="1">
      <c r="A967" s="56"/>
      <c r="B967" s="57"/>
      <c r="C967" s="58"/>
      <c r="D967" s="56"/>
      <c r="E967" s="56"/>
      <c r="F967" s="56"/>
      <c r="G967" s="56"/>
      <c r="H967" s="56"/>
      <c r="I967" s="56"/>
      <c r="J967" s="56"/>
      <c r="K967" s="56"/>
      <c r="L967" s="56"/>
      <c r="M967" s="56"/>
      <c r="N967" s="56"/>
      <c r="O967" s="59"/>
      <c r="P967" s="56"/>
      <c r="Q967" s="56"/>
      <c r="R967" s="56"/>
      <c r="S967" s="57"/>
      <c r="T967" s="56"/>
      <c r="U967" s="56"/>
      <c r="V967" s="56"/>
      <c r="W967" s="57"/>
      <c r="X967" s="51"/>
      <c r="Y967" s="51"/>
      <c r="Z967" s="51"/>
      <c r="AA967" s="51"/>
      <c r="AB967" s="51"/>
      <c r="AC967" s="51"/>
    </row>
    <row r="968" ht="15.75" customHeight="1">
      <c r="A968" s="56"/>
      <c r="B968" s="57"/>
      <c r="C968" s="58"/>
      <c r="D968" s="56"/>
      <c r="E968" s="56"/>
      <c r="F968" s="56"/>
      <c r="G968" s="56"/>
      <c r="H968" s="56"/>
      <c r="I968" s="56"/>
      <c r="J968" s="56"/>
      <c r="K968" s="56"/>
      <c r="L968" s="56"/>
      <c r="M968" s="56"/>
      <c r="N968" s="56"/>
      <c r="O968" s="59"/>
      <c r="P968" s="56"/>
      <c r="Q968" s="56"/>
      <c r="R968" s="56"/>
      <c r="S968" s="57"/>
      <c r="T968" s="56"/>
      <c r="U968" s="56"/>
      <c r="V968" s="56"/>
      <c r="W968" s="57"/>
      <c r="X968" s="51"/>
      <c r="Y968" s="51"/>
      <c r="Z968" s="51"/>
      <c r="AA968" s="51"/>
      <c r="AB968" s="51"/>
      <c r="AC968" s="51"/>
    </row>
    <row r="969" ht="15.75" customHeight="1">
      <c r="A969" s="56"/>
      <c r="B969" s="57"/>
      <c r="C969" s="58"/>
      <c r="D969" s="56"/>
      <c r="E969" s="56"/>
      <c r="F969" s="56"/>
      <c r="G969" s="56"/>
      <c r="H969" s="56"/>
      <c r="I969" s="56"/>
      <c r="J969" s="56"/>
      <c r="K969" s="56"/>
      <c r="L969" s="56"/>
      <c r="M969" s="56"/>
      <c r="N969" s="56"/>
      <c r="O969" s="59"/>
      <c r="P969" s="56"/>
      <c r="Q969" s="56"/>
      <c r="R969" s="56"/>
      <c r="S969" s="57"/>
      <c r="T969" s="56"/>
      <c r="U969" s="56"/>
      <c r="V969" s="56"/>
      <c r="W969" s="57"/>
      <c r="X969" s="51"/>
      <c r="Y969" s="51"/>
      <c r="Z969" s="51"/>
      <c r="AA969" s="51"/>
      <c r="AB969" s="51"/>
      <c r="AC969" s="51"/>
    </row>
    <row r="970" ht="15.75" customHeight="1">
      <c r="A970" s="56"/>
      <c r="B970" s="57"/>
      <c r="C970" s="58"/>
      <c r="D970" s="56"/>
      <c r="E970" s="56"/>
      <c r="F970" s="56"/>
      <c r="G970" s="56"/>
      <c r="H970" s="56"/>
      <c r="I970" s="56"/>
      <c r="J970" s="56"/>
      <c r="K970" s="56"/>
      <c r="L970" s="56"/>
      <c r="M970" s="56"/>
      <c r="N970" s="56"/>
      <c r="O970" s="59"/>
      <c r="P970" s="56"/>
      <c r="Q970" s="56"/>
      <c r="R970" s="56"/>
      <c r="S970" s="57"/>
      <c r="T970" s="56"/>
      <c r="U970" s="56"/>
      <c r="V970" s="56"/>
      <c r="W970" s="57"/>
      <c r="X970" s="51"/>
      <c r="Y970" s="51"/>
      <c r="Z970" s="51"/>
      <c r="AA970" s="51"/>
      <c r="AB970" s="51"/>
      <c r="AC970" s="51"/>
    </row>
    <row r="971" ht="15.75" customHeight="1">
      <c r="A971" s="56"/>
      <c r="B971" s="57"/>
      <c r="C971" s="58"/>
      <c r="D971" s="56"/>
      <c r="E971" s="56"/>
      <c r="F971" s="56"/>
      <c r="G971" s="56"/>
      <c r="H971" s="56"/>
      <c r="I971" s="56"/>
      <c r="J971" s="56"/>
      <c r="K971" s="56"/>
      <c r="L971" s="56"/>
      <c r="M971" s="56"/>
      <c r="N971" s="56"/>
      <c r="O971" s="59"/>
      <c r="P971" s="56"/>
      <c r="Q971" s="56"/>
      <c r="R971" s="56"/>
      <c r="S971" s="57"/>
      <c r="T971" s="56"/>
      <c r="U971" s="56"/>
      <c r="V971" s="56"/>
      <c r="W971" s="57"/>
      <c r="X971" s="51"/>
      <c r="Y971" s="51"/>
      <c r="Z971" s="51"/>
      <c r="AA971" s="51"/>
      <c r="AB971" s="51"/>
      <c r="AC971" s="51"/>
    </row>
    <row r="972" ht="15.75" customHeight="1">
      <c r="A972" s="56"/>
      <c r="B972" s="57"/>
      <c r="C972" s="58"/>
      <c r="D972" s="56"/>
      <c r="E972" s="56"/>
      <c r="F972" s="56"/>
      <c r="G972" s="56"/>
      <c r="H972" s="56"/>
      <c r="I972" s="56"/>
      <c r="J972" s="56"/>
      <c r="K972" s="56"/>
      <c r="L972" s="56"/>
      <c r="M972" s="56"/>
      <c r="N972" s="56"/>
      <c r="O972" s="59"/>
      <c r="P972" s="56"/>
      <c r="Q972" s="56"/>
      <c r="R972" s="56"/>
      <c r="S972" s="57"/>
      <c r="T972" s="56"/>
      <c r="U972" s="56"/>
      <c r="V972" s="56"/>
      <c r="W972" s="57"/>
      <c r="X972" s="51"/>
      <c r="Y972" s="51"/>
      <c r="Z972" s="51"/>
      <c r="AA972" s="51"/>
      <c r="AB972" s="51"/>
      <c r="AC972" s="51"/>
    </row>
    <row r="973" ht="15.75" customHeight="1">
      <c r="A973" s="56"/>
      <c r="B973" s="57"/>
      <c r="C973" s="58"/>
      <c r="D973" s="56"/>
      <c r="E973" s="56"/>
      <c r="F973" s="56"/>
      <c r="G973" s="56"/>
      <c r="H973" s="56"/>
      <c r="I973" s="56"/>
      <c r="J973" s="56"/>
      <c r="K973" s="56"/>
      <c r="L973" s="56"/>
      <c r="M973" s="56"/>
      <c r="N973" s="56"/>
      <c r="O973" s="59"/>
      <c r="P973" s="56"/>
      <c r="Q973" s="56"/>
      <c r="R973" s="56"/>
      <c r="S973" s="57"/>
      <c r="T973" s="56"/>
      <c r="U973" s="56"/>
      <c r="V973" s="56"/>
      <c r="W973" s="57"/>
      <c r="X973" s="51"/>
      <c r="Y973" s="51"/>
      <c r="Z973" s="51"/>
      <c r="AA973" s="51"/>
      <c r="AB973" s="51"/>
      <c r="AC973" s="51"/>
    </row>
    <row r="974" ht="15.75" customHeight="1">
      <c r="A974" s="56"/>
      <c r="B974" s="57"/>
      <c r="C974" s="58"/>
      <c r="D974" s="56"/>
      <c r="E974" s="56"/>
      <c r="F974" s="56"/>
      <c r="G974" s="56"/>
      <c r="H974" s="56"/>
      <c r="I974" s="56"/>
      <c r="J974" s="56"/>
      <c r="K974" s="56"/>
      <c r="L974" s="56"/>
      <c r="M974" s="56"/>
      <c r="N974" s="56"/>
      <c r="O974" s="59"/>
      <c r="P974" s="56"/>
      <c r="Q974" s="56"/>
      <c r="R974" s="56"/>
      <c r="S974" s="57"/>
      <c r="T974" s="56"/>
      <c r="U974" s="56"/>
      <c r="V974" s="56"/>
      <c r="W974" s="57"/>
      <c r="X974" s="51"/>
      <c r="Y974" s="51"/>
      <c r="Z974" s="51"/>
      <c r="AA974" s="51"/>
      <c r="AB974" s="51"/>
      <c r="AC974" s="51"/>
    </row>
  </sheetData>
  <mergeCells count="3">
    <mergeCell ref="T1:W1"/>
    <mergeCell ref="K1:M1"/>
    <mergeCell ref="O1:S1"/>
  </mergeCells>
  <hyperlinks>
    <hyperlink r:id="rId1" ref="S4"/>
  </hyperlinks>
  <printOptions/>
  <pageMargins bottom="0.75" footer="0.0" header="0.0" left="0.7" right="0.7" top="0.75"/>
  <pageSetup orientation="landscape"/>
  <drawing r:id="rId2"/>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2024-05-07T15:39:58Z</dcterms:created>
  <dc:creator>LUCA GIAMATTEI</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2ad0b24d-6422-44b0-b3de-abb3a9e8c81a_Enabled">
    <vt:lpwstr>true</vt:lpwstr>
  </property>
  <property fmtid="{D5CDD505-2E9C-101B-9397-08002B2CF9AE}" pid="3" name="MSIP_Label_2ad0b24d-6422-44b0-b3de-abb3a9e8c81a_SetDate">
    <vt:lpwstr>2024-05-07T15:49:11Z</vt:lpwstr>
  </property>
  <property fmtid="{D5CDD505-2E9C-101B-9397-08002B2CF9AE}" pid="4" name="MSIP_Label_2ad0b24d-6422-44b0-b3de-abb3a9e8c81a_Method">
    <vt:lpwstr>Standard</vt:lpwstr>
  </property>
  <property fmtid="{D5CDD505-2E9C-101B-9397-08002B2CF9AE}" pid="5" name="MSIP_Label_2ad0b24d-6422-44b0-b3de-abb3a9e8c81a_Name">
    <vt:lpwstr>defa4170-0d19-0005-0004-bc88714345d2</vt:lpwstr>
  </property>
  <property fmtid="{D5CDD505-2E9C-101B-9397-08002B2CF9AE}" pid="6" name="MSIP_Label_2ad0b24d-6422-44b0-b3de-abb3a9e8c81a_SiteId">
    <vt:lpwstr>2fcfe26a-bb62-46b0-b1e3-28f9da0c45fd</vt:lpwstr>
  </property>
  <property fmtid="{D5CDD505-2E9C-101B-9397-08002B2CF9AE}" pid="7" name="MSIP_Label_2ad0b24d-6422-44b0-b3de-abb3a9e8c81a_ActionId">
    <vt:lpwstr>8a27d089-beaf-413a-a149-794559775e68</vt:lpwstr>
  </property>
  <property fmtid="{D5CDD505-2E9C-101B-9397-08002B2CF9AE}" pid="8" name="MSIP_Label_2ad0b24d-6422-44b0-b3de-abb3a9e8c81a_ContentBits">
    <vt:lpwstr>0</vt:lpwstr>
  </property>
</Properties>
</file>