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simpson\Desktop\Eclipse\repositories\uar-service-documentation\Project Workbook\"/>
    </mc:Choice>
  </mc:AlternateContent>
  <bookViews>
    <workbookView xWindow="0" yWindow="0" windowWidth="24000" windowHeight="10320" tabRatio="767"/>
  </bookViews>
  <sheets>
    <sheet name="Project Baseline" sheetId="1" r:id="rId1"/>
    <sheet name="Per Module Labor" sheetId="4" r:id="rId2"/>
    <sheet name="Labor Commits" sheetId="6" r:id="rId3"/>
    <sheet name="Modules By Release" sheetId="2" r:id="rId4"/>
  </sheets>
  <definedNames>
    <definedName name="ACT_BA">'Per Module Labor'!$C$12</definedName>
    <definedName name="ACT_BI">'Per Module Labor'!$C$16</definedName>
    <definedName name="ACT_DAYS">'Per Module Labor'!$C$7</definedName>
    <definedName name="ACT_DS">'Per Module Labor'!$C$14</definedName>
    <definedName name="ACT_FO">'Per Module Labor'!$C$11</definedName>
    <definedName name="ACT_SD">'Per Module Labor'!$C$13</definedName>
    <definedName name="ACT_SO">'Per Module Labor'!$C$15</definedName>
    <definedName name="BKL_BA">'Per Module Labor'!$H$12</definedName>
    <definedName name="BKL_BI">'Per Module Labor'!$H$16</definedName>
    <definedName name="BKL_DAYS">'Per Module Labor'!$H$7</definedName>
    <definedName name="BKL_DS">'Per Module Labor'!$H$14</definedName>
    <definedName name="BKL_FO">'Per Module Labor'!$H$11</definedName>
    <definedName name="BKL_SD">'Per Module Labor'!$H$13</definedName>
    <definedName name="BKL_SO">'Per Module Labor'!$H$15</definedName>
    <definedName name="DLV_BA">'Per Module Labor'!$P$12</definedName>
    <definedName name="DLV_BI">'Per Module Labor'!$P$16</definedName>
    <definedName name="DLV_DAYS">'Per Module Labor'!$P$7</definedName>
    <definedName name="DLV_DS">'Per Module Labor'!$P$14</definedName>
    <definedName name="DLV_FO">'Per Module Labor'!$P$11</definedName>
    <definedName name="DLV_SD">'Per Module Labor'!$P$13</definedName>
    <definedName name="DLV_SO">'Per Module Labor'!$P$15</definedName>
    <definedName name="DSH_BA">'Per Module Labor'!$N$12</definedName>
    <definedName name="DSH_BI">'Per Module Labor'!$N$16</definedName>
    <definedName name="DSH_DAYS">'Per Module Labor'!$N$7</definedName>
    <definedName name="DSH_DS">'Per Module Labor'!$N$14</definedName>
    <definedName name="DSH_FO">'Per Module Labor'!$N$11</definedName>
    <definedName name="DSH_SD">'Per Module Labor'!$N$13</definedName>
    <definedName name="DSH_SO">'Per Module Labor'!$N$15</definedName>
    <definedName name="ECD_WEEKLY">#REF!</definedName>
    <definedName name="ECL_WEEKLY">#REF!</definedName>
    <definedName name="ETL_BA">'Per Module Labor'!$L$12</definedName>
    <definedName name="ETL_BI">'Per Module Labor'!$L$16</definedName>
    <definedName name="ETL_DAYS">'Per Module Labor'!$L$7</definedName>
    <definedName name="ETL_DS">'Per Module Labor'!$L$14</definedName>
    <definedName name="ETL_FO">'Per Module Labor'!$L$11</definedName>
    <definedName name="ETL_SD">'Per Module Labor'!$L$13</definedName>
    <definedName name="ETL_SO">'Per Module Labor'!$L$15</definedName>
    <definedName name="EXP_WEEKLY">#REF!</definedName>
    <definedName name="FTR_BA">'Per Module Labor'!$E$12</definedName>
    <definedName name="FTR_BI">'Per Module Labor'!$E$16</definedName>
    <definedName name="FTR_DAYS">'Per Module Labor'!$E$7</definedName>
    <definedName name="FTR_DS">'Per Module Labor'!$E$14</definedName>
    <definedName name="FTR_FO">'Per Module Labor'!$E$11</definedName>
    <definedName name="FTR_SD">'Per Module Labor'!$E$13</definedName>
    <definedName name="FTR_SO">'Per Module Labor'!$E$15</definedName>
    <definedName name="GAP_BA">'Per Module Labor'!$G$12</definedName>
    <definedName name="GAP_BI">'Per Module Labor'!$G$16</definedName>
    <definedName name="GAP_DAYS">'Per Module Labor'!$G$7</definedName>
    <definedName name="GAP_DS">'Per Module Labor'!$G$14</definedName>
    <definedName name="GAP_FO">'Per Module Labor'!$G$11</definedName>
    <definedName name="GAP_SD">'Per Module Labor'!$G$13</definedName>
    <definedName name="GAP_SO">'Per Module Labor'!$G$15</definedName>
    <definedName name="MDL_BA">'Per Module Labor'!$M$12</definedName>
    <definedName name="MDL_BI">'Per Module Labor'!$M$16</definedName>
    <definedName name="MDL_DAYS">'Per Module Labor'!$M$7</definedName>
    <definedName name="MDL_DS">'Per Module Labor'!$M$14</definedName>
    <definedName name="MDL_FO">'Per Module Labor'!$M$11</definedName>
    <definedName name="MDL_SD">'Per Module Labor'!$M$13</definedName>
    <definedName name="MDL_SO">'Per Module Labor'!$M$15</definedName>
    <definedName name="PDV_BA">'Per Module Labor'!$J$12</definedName>
    <definedName name="PDV_BI">'Per Module Labor'!$J$16</definedName>
    <definedName name="PDV_DAYS">'Per Module Labor'!$J$7</definedName>
    <definedName name="PDV_DS">'Per Module Labor'!$J$14</definedName>
    <definedName name="PDV_FO">'Per Module Labor'!$J$11</definedName>
    <definedName name="PDV_SD">'Per Module Labor'!$J$13</definedName>
    <definedName name="PDV_SO">'Per Module Labor'!$J$15</definedName>
    <definedName name="RLI_BA">'Per Module Labor'!$I$12</definedName>
    <definedName name="RLI_BI">'Per Module Labor'!$I$16</definedName>
    <definedName name="RLI_DAYS">'Per Module Labor'!$I$7</definedName>
    <definedName name="RLI_DS">'Per Module Labor'!$I$14</definedName>
    <definedName name="RLI_FO">'Per Module Labor'!$I$11</definedName>
    <definedName name="RLI_SD">'Per Module Labor'!$I$13</definedName>
    <definedName name="RLI_SO">'Per Module Labor'!$I$15</definedName>
    <definedName name="RLO_BA">'Per Module Labor'!$K$12</definedName>
    <definedName name="RLO_BI">'Per Module Labor'!$K$16</definedName>
    <definedName name="RLO_DAYS">'Per Module Labor'!$K$7</definedName>
    <definedName name="RLO_DS">'Per Module Labor'!$K$14</definedName>
    <definedName name="RLO_FO">'Per Module Labor'!$K$11</definedName>
    <definedName name="RLO_SD">'Per Module Labor'!$K$13</definedName>
    <definedName name="RLO_SO">'Per Module Labor'!$K$15</definedName>
    <definedName name="RPT_BA">'Per Module Labor'!$O$12</definedName>
    <definedName name="RPT_BI">'Per Module Labor'!$O$16</definedName>
    <definedName name="RPT_DAYS">'Per Module Labor'!$O$7</definedName>
    <definedName name="RPT_DS">'Per Module Labor'!$O$14</definedName>
    <definedName name="RPT_FO">'Per Module Labor'!$O$11</definedName>
    <definedName name="RPT_SD">'Per Module Labor'!$O$13</definedName>
    <definedName name="RPT_SO">'Per Module Labor'!$O$15</definedName>
    <definedName name="SCN_BA">'Per Module Labor'!$F$12</definedName>
    <definedName name="SCN_BI">'Per Module Labor'!$F$16</definedName>
    <definedName name="SCN_DAYS">'Per Module Labor'!$F$7</definedName>
    <definedName name="SCN_DS">'Per Module Labor'!$F$14</definedName>
    <definedName name="SCN_FO">'Per Module Labor'!$F$11</definedName>
    <definedName name="SCN_SD">'Per Module Labor'!$F$13</definedName>
    <definedName name="SCN_SO">'Per Module Labor'!$F$15</definedName>
    <definedName name="SND_BA">'Per Module Labor'!$D$12</definedName>
    <definedName name="SND_BI">'Per Module Labor'!$D$16</definedName>
    <definedName name="SND_DAYS">'Per Module Labor'!$D$7</definedName>
    <definedName name="SND_DS">'Per Module Labor'!$D$14</definedName>
    <definedName name="SND_FO">'Per Module Labor'!$D$11</definedName>
    <definedName name="SND_SD">'Per Module Labor'!$D$13</definedName>
    <definedName name="SND_SO">'Per Module Labor'!$D$15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23" i="6" l="1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AT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AT21" i="6"/>
  <c r="AN21" i="6"/>
  <c r="AM21" i="6"/>
  <c r="AL21" i="6"/>
  <c r="AK21" i="6"/>
  <c r="AJ21" i="6"/>
  <c r="AI21" i="6"/>
  <c r="AH21" i="6"/>
  <c r="AB21" i="6"/>
  <c r="V21" i="6"/>
  <c r="AG21" i="6"/>
  <c r="AF21" i="6"/>
  <c r="AE21" i="6"/>
  <c r="AD21" i="6"/>
  <c r="AC21" i="6"/>
  <c r="AA21" i="6"/>
  <c r="Z21" i="6"/>
  <c r="Y21" i="6"/>
  <c r="X21" i="6"/>
  <c r="W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AM20" i="6" l="1"/>
  <c r="AH20" i="6"/>
  <c r="AL20" i="6"/>
  <c r="AK20" i="6"/>
  <c r="AJ20" i="6"/>
  <c r="AI20" i="6"/>
  <c r="AF20" i="6"/>
  <c r="AE20" i="6"/>
  <c r="AD20" i="6"/>
  <c r="AC20" i="6"/>
  <c r="AB20" i="6"/>
  <c r="Z20" i="6"/>
  <c r="Y20" i="6"/>
  <c r="X20" i="6"/>
  <c r="W20" i="6"/>
  <c r="V20" i="6"/>
  <c r="T20" i="6"/>
  <c r="S20" i="6"/>
  <c r="R20" i="6"/>
  <c r="Q20" i="6"/>
  <c r="P20" i="6"/>
  <c r="O20" i="6"/>
  <c r="N20" i="6"/>
  <c r="M20" i="6"/>
  <c r="L20" i="6"/>
  <c r="K20" i="6"/>
  <c r="J20" i="6"/>
  <c r="AM16" i="6" l="1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AU23" i="6" l="1"/>
  <c r="AU21" i="6"/>
  <c r="AT20" i="6" l="1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S6" i="6"/>
  <c r="AN20" i="6"/>
  <c r="AG20" i="6"/>
  <c r="AA20" i="6"/>
  <c r="U20" i="6"/>
  <c r="I20" i="6"/>
  <c r="H20" i="6"/>
  <c r="G20" i="6"/>
  <c r="F20" i="6"/>
  <c r="E20" i="6"/>
  <c r="D20" i="6"/>
  <c r="C20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6" i="6"/>
  <c r="H16" i="6"/>
  <c r="G16" i="6"/>
  <c r="F16" i="6"/>
  <c r="E16" i="6"/>
  <c r="D16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U6" i="6"/>
  <c r="T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AU6" i="6" l="1"/>
  <c r="AU22" i="6"/>
  <c r="AU8" i="6"/>
  <c r="AU10" i="6"/>
  <c r="AU13" i="6"/>
  <c r="AU16" i="6"/>
  <c r="AU18" i="6"/>
  <c r="AU7" i="6"/>
  <c r="AU9" i="6"/>
  <c r="AU12" i="6"/>
  <c r="AU14" i="6"/>
  <c r="AU17" i="6"/>
  <c r="AU20" i="6"/>
  <c r="AU25" i="6"/>
  <c r="AQ50" i="1"/>
  <c r="AQ49" i="1"/>
  <c r="AQ48" i="1"/>
  <c r="AQ47" i="1"/>
  <c r="AQ46" i="1"/>
  <c r="AQ45" i="1"/>
  <c r="AK38" i="1"/>
  <c r="AK43" i="1"/>
  <c r="AK42" i="1"/>
  <c r="AK41" i="1"/>
  <c r="AK40" i="1"/>
  <c r="AK39" i="1"/>
  <c r="AE36" i="1"/>
  <c r="AE35" i="1"/>
  <c r="AE34" i="1"/>
  <c r="AE33" i="1"/>
  <c r="AE32" i="1"/>
  <c r="AE31" i="1"/>
  <c r="Y29" i="1"/>
  <c r="Y28" i="1"/>
  <c r="Y27" i="1"/>
  <c r="Y26" i="1"/>
  <c r="Y25" i="1"/>
  <c r="Y24" i="1"/>
  <c r="S22" i="1"/>
  <c r="S21" i="1"/>
  <c r="S20" i="1"/>
  <c r="S19" i="1"/>
  <c r="S18" i="1"/>
  <c r="S17" i="1"/>
  <c r="C4" i="1" l="1"/>
  <c r="AX50" i="1"/>
  <c r="AX13" i="1" s="1"/>
  <c r="AW50" i="1"/>
  <c r="AW13" i="1" s="1"/>
  <c r="AV50" i="1"/>
  <c r="AV13" i="1" s="1"/>
  <c r="AU50" i="1"/>
  <c r="AU13" i="1" s="1"/>
  <c r="AT50" i="1"/>
  <c r="AT13" i="1" s="1"/>
  <c r="AS50" i="1"/>
  <c r="AS13" i="1" s="1"/>
  <c r="AR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X49" i="1"/>
  <c r="AX12" i="1" s="1"/>
  <c r="AW49" i="1"/>
  <c r="AW12" i="1" s="1"/>
  <c r="AV49" i="1"/>
  <c r="AV12" i="1" s="1"/>
  <c r="AU49" i="1"/>
  <c r="AU12" i="1" s="1"/>
  <c r="AT49" i="1"/>
  <c r="AT12" i="1" s="1"/>
  <c r="AS49" i="1"/>
  <c r="AS12" i="1" s="1"/>
  <c r="AR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X48" i="1"/>
  <c r="AX11" i="1" s="1"/>
  <c r="AW48" i="1"/>
  <c r="AW11" i="1" s="1"/>
  <c r="AV48" i="1"/>
  <c r="AV11" i="1" s="1"/>
  <c r="AU48" i="1"/>
  <c r="AU11" i="1" s="1"/>
  <c r="AT48" i="1"/>
  <c r="AT11" i="1" s="1"/>
  <c r="AS48" i="1"/>
  <c r="AS11" i="1" s="1"/>
  <c r="AR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X47" i="1"/>
  <c r="AX10" i="1" s="1"/>
  <c r="AW47" i="1"/>
  <c r="AW10" i="1" s="1"/>
  <c r="AV47" i="1"/>
  <c r="AV10" i="1" s="1"/>
  <c r="AU47" i="1"/>
  <c r="AU10" i="1" s="1"/>
  <c r="AT47" i="1"/>
  <c r="AT10" i="1" s="1"/>
  <c r="AS47" i="1"/>
  <c r="AS10" i="1" s="1"/>
  <c r="AR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X46" i="1"/>
  <c r="AX9" i="1" s="1"/>
  <c r="AW46" i="1"/>
  <c r="AW9" i="1" s="1"/>
  <c r="AV46" i="1"/>
  <c r="AV9" i="1" s="1"/>
  <c r="AU46" i="1"/>
  <c r="AU9" i="1" s="1"/>
  <c r="AT46" i="1"/>
  <c r="AT9" i="1" s="1"/>
  <c r="AS46" i="1"/>
  <c r="AS9" i="1" s="1"/>
  <c r="AR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X45" i="1"/>
  <c r="AX8" i="1" s="1"/>
  <c r="AW45" i="1"/>
  <c r="AW8" i="1" s="1"/>
  <c r="AV45" i="1"/>
  <c r="AV8" i="1" s="1"/>
  <c r="AU45" i="1"/>
  <c r="AU8" i="1" s="1"/>
  <c r="AT45" i="1"/>
  <c r="AT8" i="1" s="1"/>
  <c r="AS45" i="1"/>
  <c r="AS8" i="1" s="1"/>
  <c r="AR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R43" i="1"/>
  <c r="AQ43" i="1"/>
  <c r="AP43" i="1"/>
  <c r="AO43" i="1"/>
  <c r="AN43" i="1"/>
  <c r="AM43" i="1"/>
  <c r="AL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AR42" i="1"/>
  <c r="AQ42" i="1"/>
  <c r="AP42" i="1"/>
  <c r="AO42" i="1"/>
  <c r="AN42" i="1"/>
  <c r="AM42" i="1"/>
  <c r="AL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AR41" i="1"/>
  <c r="AQ41" i="1"/>
  <c r="AP41" i="1"/>
  <c r="AO41" i="1"/>
  <c r="AN41" i="1"/>
  <c r="AM41" i="1"/>
  <c r="AL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AR40" i="1"/>
  <c r="AQ40" i="1"/>
  <c r="AP40" i="1"/>
  <c r="AO40" i="1"/>
  <c r="AN40" i="1"/>
  <c r="AM40" i="1"/>
  <c r="AL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AR39" i="1"/>
  <c r="AQ39" i="1"/>
  <c r="AP39" i="1"/>
  <c r="AO39" i="1"/>
  <c r="AN39" i="1"/>
  <c r="AM39" i="1"/>
  <c r="AL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AR38" i="1"/>
  <c r="AQ38" i="1"/>
  <c r="AP38" i="1"/>
  <c r="AO38" i="1"/>
  <c r="AN38" i="1"/>
  <c r="AM38" i="1"/>
  <c r="AL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AL36" i="1"/>
  <c r="AK36" i="1"/>
  <c r="AJ36" i="1"/>
  <c r="AI36" i="1"/>
  <c r="AH36" i="1"/>
  <c r="AG36" i="1"/>
  <c r="AF36" i="1"/>
  <c r="AD36" i="1"/>
  <c r="AC36" i="1"/>
  <c r="AB36" i="1"/>
  <c r="AA36" i="1"/>
  <c r="Z36" i="1"/>
  <c r="Y36" i="1"/>
  <c r="X36" i="1"/>
  <c r="W36" i="1"/>
  <c r="V36" i="1"/>
  <c r="U36" i="1"/>
  <c r="T36" i="1"/>
  <c r="S36" i="1"/>
  <c r="AL35" i="1"/>
  <c r="AK35" i="1"/>
  <c r="AJ35" i="1"/>
  <c r="AI35" i="1"/>
  <c r="AH35" i="1"/>
  <c r="AG35" i="1"/>
  <c r="AF35" i="1"/>
  <c r="AD35" i="1"/>
  <c r="AC35" i="1"/>
  <c r="AB35" i="1"/>
  <c r="AA35" i="1"/>
  <c r="Z35" i="1"/>
  <c r="Y35" i="1"/>
  <c r="X35" i="1"/>
  <c r="W35" i="1"/>
  <c r="V35" i="1"/>
  <c r="U35" i="1"/>
  <c r="T35" i="1"/>
  <c r="S35" i="1"/>
  <c r="AL34" i="1"/>
  <c r="AK34" i="1"/>
  <c r="AJ34" i="1"/>
  <c r="AI34" i="1"/>
  <c r="AH34" i="1"/>
  <c r="AG34" i="1"/>
  <c r="AF34" i="1"/>
  <c r="AD34" i="1"/>
  <c r="AC34" i="1"/>
  <c r="AB34" i="1"/>
  <c r="AA34" i="1"/>
  <c r="Z34" i="1"/>
  <c r="Y34" i="1"/>
  <c r="X34" i="1"/>
  <c r="W34" i="1"/>
  <c r="V34" i="1"/>
  <c r="U34" i="1"/>
  <c r="T34" i="1"/>
  <c r="S34" i="1"/>
  <c r="AL33" i="1"/>
  <c r="AK33" i="1"/>
  <c r="AJ33" i="1"/>
  <c r="AI33" i="1"/>
  <c r="AH33" i="1"/>
  <c r="AG33" i="1"/>
  <c r="AF33" i="1"/>
  <c r="AD33" i="1"/>
  <c r="AC33" i="1"/>
  <c r="AB33" i="1"/>
  <c r="AA33" i="1"/>
  <c r="Z33" i="1"/>
  <c r="Y33" i="1"/>
  <c r="X33" i="1"/>
  <c r="W33" i="1"/>
  <c r="V33" i="1"/>
  <c r="U33" i="1"/>
  <c r="T33" i="1"/>
  <c r="S33" i="1"/>
  <c r="AL32" i="1"/>
  <c r="AK32" i="1"/>
  <c r="AJ32" i="1"/>
  <c r="AI32" i="1"/>
  <c r="AH32" i="1"/>
  <c r="AG32" i="1"/>
  <c r="AF32" i="1"/>
  <c r="AD32" i="1"/>
  <c r="AC32" i="1"/>
  <c r="AB32" i="1"/>
  <c r="AA32" i="1"/>
  <c r="Z32" i="1"/>
  <c r="Y32" i="1"/>
  <c r="X32" i="1"/>
  <c r="W32" i="1"/>
  <c r="V32" i="1"/>
  <c r="U32" i="1"/>
  <c r="T32" i="1"/>
  <c r="S32" i="1"/>
  <c r="AL31" i="1"/>
  <c r="AK31" i="1"/>
  <c r="AJ31" i="1"/>
  <c r="AI31" i="1"/>
  <c r="AH31" i="1"/>
  <c r="AG31" i="1"/>
  <c r="AF31" i="1"/>
  <c r="AD31" i="1"/>
  <c r="AC31" i="1"/>
  <c r="AB31" i="1"/>
  <c r="AA31" i="1"/>
  <c r="Z31" i="1"/>
  <c r="Y31" i="1"/>
  <c r="X31" i="1"/>
  <c r="W31" i="1"/>
  <c r="V31" i="1"/>
  <c r="U31" i="1"/>
  <c r="T31" i="1"/>
  <c r="S31" i="1"/>
  <c r="AF29" i="1"/>
  <c r="AE29" i="1"/>
  <c r="AD29" i="1"/>
  <c r="AC29" i="1"/>
  <c r="AB29" i="1"/>
  <c r="AA29" i="1"/>
  <c r="Z29" i="1"/>
  <c r="X29" i="1"/>
  <c r="W29" i="1"/>
  <c r="V29" i="1"/>
  <c r="U29" i="1"/>
  <c r="T29" i="1"/>
  <c r="S29" i="1"/>
  <c r="R29" i="1"/>
  <c r="Q29" i="1"/>
  <c r="P29" i="1"/>
  <c r="O29" i="1"/>
  <c r="N29" i="1"/>
  <c r="M29" i="1"/>
  <c r="AF28" i="1"/>
  <c r="AE28" i="1"/>
  <c r="AD28" i="1"/>
  <c r="AC28" i="1"/>
  <c r="AB28" i="1"/>
  <c r="AA28" i="1"/>
  <c r="Z28" i="1"/>
  <c r="X28" i="1"/>
  <c r="W28" i="1"/>
  <c r="V28" i="1"/>
  <c r="U28" i="1"/>
  <c r="T28" i="1"/>
  <c r="S28" i="1"/>
  <c r="R28" i="1"/>
  <c r="Q28" i="1"/>
  <c r="P28" i="1"/>
  <c r="O28" i="1"/>
  <c r="N28" i="1"/>
  <c r="M28" i="1"/>
  <c r="AF27" i="1"/>
  <c r="AE27" i="1"/>
  <c r="AD27" i="1"/>
  <c r="AC27" i="1"/>
  <c r="AB27" i="1"/>
  <c r="AA27" i="1"/>
  <c r="Z27" i="1"/>
  <c r="X27" i="1"/>
  <c r="W27" i="1"/>
  <c r="V27" i="1"/>
  <c r="U27" i="1"/>
  <c r="T27" i="1"/>
  <c r="S27" i="1"/>
  <c r="R27" i="1"/>
  <c r="Q27" i="1"/>
  <c r="P27" i="1"/>
  <c r="O27" i="1"/>
  <c r="N27" i="1"/>
  <c r="M27" i="1"/>
  <c r="AF26" i="1"/>
  <c r="AE26" i="1"/>
  <c r="AD26" i="1"/>
  <c r="AC26" i="1"/>
  <c r="AB26" i="1"/>
  <c r="AA26" i="1"/>
  <c r="Z26" i="1"/>
  <c r="X26" i="1"/>
  <c r="W26" i="1"/>
  <c r="V26" i="1"/>
  <c r="U26" i="1"/>
  <c r="T26" i="1"/>
  <c r="S26" i="1"/>
  <c r="R26" i="1"/>
  <c r="Q26" i="1"/>
  <c r="P26" i="1"/>
  <c r="O26" i="1"/>
  <c r="N26" i="1"/>
  <c r="M26" i="1"/>
  <c r="AF25" i="1"/>
  <c r="AE25" i="1"/>
  <c r="AD25" i="1"/>
  <c r="AC25" i="1"/>
  <c r="AB25" i="1"/>
  <c r="AA25" i="1"/>
  <c r="Z25" i="1"/>
  <c r="X25" i="1"/>
  <c r="W25" i="1"/>
  <c r="V25" i="1"/>
  <c r="U25" i="1"/>
  <c r="T25" i="1"/>
  <c r="S25" i="1"/>
  <c r="R25" i="1"/>
  <c r="Q25" i="1"/>
  <c r="P25" i="1"/>
  <c r="O25" i="1"/>
  <c r="N25" i="1"/>
  <c r="M25" i="1"/>
  <c r="AF24" i="1"/>
  <c r="AE24" i="1"/>
  <c r="AD24" i="1"/>
  <c r="AC24" i="1"/>
  <c r="AB24" i="1"/>
  <c r="AA24" i="1"/>
  <c r="Z24" i="1"/>
  <c r="X24" i="1"/>
  <c r="W24" i="1"/>
  <c r="V24" i="1"/>
  <c r="U24" i="1"/>
  <c r="T24" i="1"/>
  <c r="S24" i="1"/>
  <c r="R24" i="1"/>
  <c r="Q24" i="1"/>
  <c r="P24" i="1"/>
  <c r="O24" i="1"/>
  <c r="N24" i="1"/>
  <c r="M24" i="1"/>
  <c r="Z22" i="1"/>
  <c r="Y22" i="1"/>
  <c r="X22" i="1"/>
  <c r="W22" i="1"/>
  <c r="V22" i="1"/>
  <c r="U22" i="1"/>
  <c r="T22" i="1"/>
  <c r="R22" i="1"/>
  <c r="Q22" i="1"/>
  <c r="P22" i="1"/>
  <c r="O22" i="1"/>
  <c r="N22" i="1"/>
  <c r="M22" i="1"/>
  <c r="L22" i="1"/>
  <c r="L13" i="1" s="1"/>
  <c r="K22" i="1"/>
  <c r="K13" i="1" s="1"/>
  <c r="J22" i="1"/>
  <c r="J13" i="1" s="1"/>
  <c r="Z21" i="1"/>
  <c r="Y21" i="1"/>
  <c r="X21" i="1"/>
  <c r="W21" i="1"/>
  <c r="V21" i="1"/>
  <c r="U21" i="1"/>
  <c r="T21" i="1"/>
  <c r="R21" i="1"/>
  <c r="Q21" i="1"/>
  <c r="P21" i="1"/>
  <c r="O21" i="1"/>
  <c r="N21" i="1"/>
  <c r="M21" i="1"/>
  <c r="L21" i="1"/>
  <c r="L12" i="1" s="1"/>
  <c r="K21" i="1"/>
  <c r="K12" i="1" s="1"/>
  <c r="J21" i="1"/>
  <c r="J12" i="1" s="1"/>
  <c r="Z20" i="1"/>
  <c r="Y20" i="1"/>
  <c r="X20" i="1"/>
  <c r="W20" i="1"/>
  <c r="V20" i="1"/>
  <c r="U20" i="1"/>
  <c r="T20" i="1"/>
  <c r="R20" i="1"/>
  <c r="Q20" i="1"/>
  <c r="P20" i="1"/>
  <c r="O20" i="1"/>
  <c r="N20" i="1"/>
  <c r="M20" i="1"/>
  <c r="L20" i="1"/>
  <c r="L11" i="1" s="1"/>
  <c r="K20" i="1"/>
  <c r="K11" i="1" s="1"/>
  <c r="J20" i="1"/>
  <c r="J11" i="1" s="1"/>
  <c r="Z19" i="1"/>
  <c r="Y19" i="1"/>
  <c r="X19" i="1"/>
  <c r="W19" i="1"/>
  <c r="V19" i="1"/>
  <c r="U19" i="1"/>
  <c r="T19" i="1"/>
  <c r="R19" i="1"/>
  <c r="Q19" i="1"/>
  <c r="P19" i="1"/>
  <c r="O19" i="1"/>
  <c r="N19" i="1"/>
  <c r="M19" i="1"/>
  <c r="L19" i="1"/>
  <c r="L10" i="1" s="1"/>
  <c r="K19" i="1"/>
  <c r="K10" i="1" s="1"/>
  <c r="J19" i="1"/>
  <c r="J10" i="1" s="1"/>
  <c r="Z18" i="1"/>
  <c r="Y18" i="1"/>
  <c r="X18" i="1"/>
  <c r="W18" i="1"/>
  <c r="V18" i="1"/>
  <c r="U18" i="1"/>
  <c r="T18" i="1"/>
  <c r="R18" i="1"/>
  <c r="Q18" i="1"/>
  <c r="P18" i="1"/>
  <c r="O18" i="1"/>
  <c r="N18" i="1"/>
  <c r="M18" i="1"/>
  <c r="L18" i="1"/>
  <c r="L9" i="1" s="1"/>
  <c r="K18" i="1"/>
  <c r="K9" i="1" s="1"/>
  <c r="J18" i="1"/>
  <c r="J9" i="1" s="1"/>
  <c r="Z17" i="1"/>
  <c r="Y17" i="1"/>
  <c r="X17" i="1"/>
  <c r="W17" i="1"/>
  <c r="V17" i="1"/>
  <c r="U17" i="1"/>
  <c r="T17" i="1"/>
  <c r="R17" i="1"/>
  <c r="Q17" i="1"/>
  <c r="P17" i="1"/>
  <c r="O17" i="1"/>
  <c r="N17" i="1"/>
  <c r="M17" i="1"/>
  <c r="L17" i="1"/>
  <c r="L8" i="1" s="1"/>
  <c r="K17" i="1"/>
  <c r="K8" i="1" s="1"/>
  <c r="J17" i="1"/>
  <c r="J8" i="1" s="1"/>
  <c r="I22" i="1"/>
  <c r="I13" i="1" s="1"/>
  <c r="I21" i="1"/>
  <c r="I12" i="1" s="1"/>
  <c r="I20" i="1"/>
  <c r="I11" i="1" s="1"/>
  <c r="I19" i="1"/>
  <c r="I10" i="1" s="1"/>
  <c r="I18" i="1"/>
  <c r="I9" i="1" s="1"/>
  <c r="I17" i="1"/>
  <c r="I8" i="1" s="1"/>
  <c r="H22" i="1"/>
  <c r="H13" i="1" s="1"/>
  <c r="H21" i="1"/>
  <c r="H12" i="1" s="1"/>
  <c r="H20" i="1"/>
  <c r="H11" i="1" s="1"/>
  <c r="H19" i="1"/>
  <c r="H10" i="1" s="1"/>
  <c r="H18" i="1"/>
  <c r="H9" i="1" s="1"/>
  <c r="H17" i="1"/>
  <c r="H8" i="1" s="1"/>
  <c r="G22" i="1"/>
  <c r="G13" i="1" s="1"/>
  <c r="G21" i="1"/>
  <c r="G12" i="1" s="1"/>
  <c r="G20" i="1"/>
  <c r="G11" i="1" s="1"/>
  <c r="G19" i="1"/>
  <c r="G10" i="1" s="1"/>
  <c r="G18" i="1"/>
  <c r="G9" i="1" s="1"/>
  <c r="G17" i="1"/>
  <c r="G8" i="1" s="1"/>
  <c r="O11" i="1" l="1"/>
  <c r="N11" i="1"/>
  <c r="R11" i="1"/>
  <c r="P11" i="1"/>
  <c r="AV6" i="1"/>
  <c r="M11" i="1"/>
  <c r="Q11" i="1"/>
  <c r="AS6" i="1"/>
  <c r="AT6" i="1"/>
  <c r="AX6" i="1"/>
  <c r="AU6" i="1"/>
  <c r="AW6" i="1"/>
  <c r="H6" i="1"/>
  <c r="J6" i="1"/>
  <c r="K6" i="1"/>
  <c r="G6" i="1"/>
  <c r="I6" i="1"/>
  <c r="L6" i="1"/>
  <c r="P9" i="1"/>
  <c r="V11" i="1"/>
  <c r="Z11" i="1"/>
  <c r="AP10" i="1"/>
  <c r="AP11" i="1"/>
  <c r="P10" i="1"/>
  <c r="O8" i="1"/>
  <c r="AE8" i="1"/>
  <c r="AA9" i="1"/>
  <c r="AE11" i="1"/>
  <c r="S12" i="1"/>
  <c r="AA12" i="1"/>
  <c r="S13" i="1"/>
  <c r="AA13" i="1"/>
  <c r="AK9" i="1"/>
  <c r="U10" i="1"/>
  <c r="AK10" i="1"/>
  <c r="U11" i="1"/>
  <c r="AK11" i="1"/>
  <c r="AQ8" i="1"/>
  <c r="AQ9" i="1"/>
  <c r="AQ12" i="1"/>
  <c r="AI13" i="1"/>
  <c r="AQ13" i="1"/>
  <c r="U9" i="1"/>
  <c r="Y9" i="1"/>
  <c r="S11" i="1"/>
  <c r="AA8" i="1"/>
  <c r="AE9" i="1"/>
  <c r="AH8" i="1"/>
  <c r="R8" i="1"/>
  <c r="V8" i="1"/>
  <c r="Z8" i="1"/>
  <c r="T10" i="1"/>
  <c r="N12" i="1"/>
  <c r="V12" i="1"/>
  <c r="N9" i="1"/>
  <c r="R9" i="1"/>
  <c r="V9" i="1"/>
  <c r="Z9" i="1"/>
  <c r="T11" i="1"/>
  <c r="X11" i="1"/>
  <c r="O12" i="1"/>
  <c r="N13" i="1"/>
  <c r="R13" i="1"/>
  <c r="V13" i="1"/>
  <c r="Z13" i="1"/>
  <c r="AB8" i="1"/>
  <c r="AF8" i="1"/>
  <c r="AB9" i="1"/>
  <c r="AF9" i="1"/>
  <c r="AB10" i="1"/>
  <c r="AF10" i="1"/>
  <c r="AB11" i="1"/>
  <c r="AF11" i="1"/>
  <c r="T13" i="1"/>
  <c r="AB13" i="1"/>
  <c r="AL8" i="1"/>
  <c r="AH9" i="1"/>
  <c r="AL9" i="1"/>
  <c r="Z10" i="1"/>
  <c r="AL10" i="1"/>
  <c r="AL11" i="1"/>
  <c r="AD12" i="1"/>
  <c r="AL12" i="1"/>
  <c r="AH13" i="1"/>
  <c r="AL13" i="1"/>
  <c r="AR8" i="1"/>
  <c r="AR9" i="1"/>
  <c r="AR10" i="1"/>
  <c r="AN11" i="1"/>
  <c r="AR11" i="1"/>
  <c r="AJ13" i="1"/>
  <c r="AR13" i="1"/>
  <c r="P8" i="1"/>
  <c r="N10" i="1"/>
  <c r="R10" i="1"/>
  <c r="T8" i="1"/>
  <c r="W9" i="1"/>
  <c r="Y11" i="1"/>
  <c r="T12" i="1"/>
  <c r="W13" i="1"/>
  <c r="AC8" i="1"/>
  <c r="Q9" i="1"/>
  <c r="AC9" i="1"/>
  <c r="M10" i="1"/>
  <c r="Q10" i="1"/>
  <c r="Y10" i="1"/>
  <c r="AC10" i="1"/>
  <c r="AC11" i="1"/>
  <c r="AC12" i="1"/>
  <c r="AC13" i="1"/>
  <c r="S8" i="1"/>
  <c r="W8" i="1"/>
  <c r="AI8" i="1"/>
  <c r="AI9" i="1"/>
  <c r="AI10" i="1"/>
  <c r="W11" i="1"/>
  <c r="AA11" i="1"/>
  <c r="AI11" i="1"/>
  <c r="W12" i="1"/>
  <c r="AE12" i="1"/>
  <c r="AI12" i="1"/>
  <c r="AE13" i="1"/>
  <c r="AO8" i="1"/>
  <c r="AG9" i="1"/>
  <c r="AO9" i="1"/>
  <c r="AG10" i="1"/>
  <c r="AO10" i="1"/>
  <c r="AG11" i="1"/>
  <c r="AO11" i="1"/>
  <c r="AO12" i="1"/>
  <c r="AO13" i="1"/>
  <c r="AM8" i="1"/>
  <c r="AM9" i="1"/>
  <c r="AM11" i="1"/>
  <c r="AQ11" i="1"/>
  <c r="AM12" i="1"/>
  <c r="AM13" i="1"/>
  <c r="X8" i="1"/>
  <c r="O9" i="1"/>
  <c r="S9" i="1"/>
  <c r="V10" i="1"/>
  <c r="P12" i="1"/>
  <c r="X12" i="1"/>
  <c r="O13" i="1"/>
  <c r="M9" i="1"/>
  <c r="T9" i="1"/>
  <c r="X9" i="1"/>
  <c r="O10" i="1"/>
  <c r="P13" i="1"/>
  <c r="X13" i="1"/>
  <c r="N8" i="1"/>
  <c r="AD8" i="1"/>
  <c r="AD9" i="1"/>
  <c r="AD10" i="1"/>
  <c r="AD11" i="1"/>
  <c r="R12" i="1"/>
  <c r="Z12" i="1"/>
  <c r="AD13" i="1"/>
  <c r="AJ8" i="1"/>
  <c r="AJ9" i="1"/>
  <c r="X10" i="1"/>
  <c r="AJ10" i="1"/>
  <c r="AJ11" i="1"/>
  <c r="AB12" i="1"/>
  <c r="AF12" i="1"/>
  <c r="AJ12" i="1"/>
  <c r="AF13" i="1"/>
  <c r="AP8" i="1"/>
  <c r="AP9" i="1"/>
  <c r="AH10" i="1"/>
  <c r="AH11" i="1"/>
  <c r="AH12" i="1"/>
  <c r="AP12" i="1"/>
  <c r="AP13" i="1"/>
  <c r="AN8" i="1"/>
  <c r="AN9" i="1"/>
  <c r="AN10" i="1"/>
  <c r="AN12" i="1"/>
  <c r="AR12" i="1"/>
  <c r="AN13" i="1"/>
  <c r="M8" i="1"/>
  <c r="Q8" i="1"/>
  <c r="U8" i="1"/>
  <c r="Y8" i="1"/>
  <c r="S10" i="1"/>
  <c r="W10" i="1"/>
  <c r="M12" i="1"/>
  <c r="Q12" i="1"/>
  <c r="U12" i="1"/>
  <c r="Y12" i="1"/>
  <c r="M13" i="1"/>
  <c r="Q13" i="1"/>
  <c r="U13" i="1"/>
  <c r="Y13" i="1"/>
  <c r="AA10" i="1"/>
  <c r="AE10" i="1"/>
  <c r="AG8" i="1"/>
  <c r="AK8" i="1"/>
  <c r="AG12" i="1"/>
  <c r="AK12" i="1"/>
  <c r="AG13" i="1"/>
  <c r="AK13" i="1"/>
  <c r="AM10" i="1"/>
  <c r="AQ10" i="1"/>
  <c r="M6" i="1" l="1"/>
  <c r="R6" i="1"/>
  <c r="C9" i="1"/>
  <c r="C12" i="1"/>
  <c r="C11" i="1"/>
  <c r="C10" i="1"/>
  <c r="C13" i="1"/>
  <c r="AG6" i="1"/>
  <c r="Y6" i="1"/>
  <c r="T6" i="1"/>
  <c r="C8" i="1"/>
  <c r="AI6" i="1"/>
  <c r="AC6" i="1"/>
  <c r="P6" i="1"/>
  <c r="O6" i="1"/>
  <c r="AP6" i="1"/>
  <c r="AD6" i="1"/>
  <c r="AL6" i="1"/>
  <c r="AH6" i="1"/>
  <c r="U6" i="1"/>
  <c r="AN6" i="1"/>
  <c r="AJ6" i="1"/>
  <c r="N6" i="1"/>
  <c r="AO6" i="1"/>
  <c r="S6" i="1"/>
  <c r="AF6" i="1"/>
  <c r="Z6" i="1"/>
  <c r="AM6" i="1"/>
  <c r="W6" i="1"/>
  <c r="AK6" i="1"/>
  <c r="Q6" i="1"/>
  <c r="X6" i="1"/>
  <c r="AR6" i="1"/>
  <c r="AB6" i="1"/>
  <c r="V6" i="1"/>
  <c r="AA6" i="1"/>
  <c r="AQ6" i="1"/>
  <c r="AE6" i="1"/>
  <c r="D9" i="1"/>
  <c r="E9" i="1" s="1"/>
  <c r="D11" i="1"/>
  <c r="E11" i="1" s="1"/>
  <c r="D10" i="1"/>
  <c r="E10" i="1" s="1"/>
  <c r="D8" i="1"/>
  <c r="E8" i="1" s="1"/>
  <c r="D13" i="1"/>
  <c r="E13" i="1" s="1"/>
  <c r="D12" i="1"/>
  <c r="E12" i="1" s="1"/>
  <c r="C5" i="1" l="1"/>
</calcChain>
</file>

<file path=xl/sharedStrings.xml><?xml version="1.0" encoding="utf-8"?>
<sst xmlns="http://schemas.openxmlformats.org/spreadsheetml/2006/main" count="296" uniqueCount="136">
  <si>
    <t>Institutional Proposal</t>
  </si>
  <si>
    <t>Functional Office</t>
  </si>
  <si>
    <t>Business Analysts</t>
  </si>
  <si>
    <t>Software Developers</t>
  </si>
  <si>
    <t>Developer Support</t>
  </si>
  <si>
    <t>Activation</t>
  </si>
  <si>
    <t>Delivery</t>
  </si>
  <si>
    <t>Sandboxing</t>
  </si>
  <si>
    <t>Feature Identification</t>
  </si>
  <si>
    <t>Scenario Scripting</t>
  </si>
  <si>
    <t>Gap Analysis</t>
  </si>
  <si>
    <t>Backlog Creation</t>
  </si>
  <si>
    <t>Release In</t>
  </si>
  <si>
    <t>Pipelined Development</t>
  </si>
  <si>
    <t>Release Out</t>
  </si>
  <si>
    <t>ETL Design</t>
  </si>
  <si>
    <t>Data Modeling</t>
  </si>
  <si>
    <t>Report Creation</t>
  </si>
  <si>
    <t>Days</t>
  </si>
  <si>
    <t>Software Development</t>
  </si>
  <si>
    <t>Development Support</t>
  </si>
  <si>
    <t>Support Operations</t>
  </si>
  <si>
    <t>Business Intelligence</t>
  </si>
  <si>
    <t>Labor</t>
  </si>
  <si>
    <t>ACT</t>
  </si>
  <si>
    <t>SND</t>
  </si>
  <si>
    <t>FTR</t>
  </si>
  <si>
    <t>SCN</t>
  </si>
  <si>
    <t>GAP</t>
  </si>
  <si>
    <t>BKL</t>
  </si>
  <si>
    <t>RLI</t>
  </si>
  <si>
    <t>PDV</t>
  </si>
  <si>
    <t>RLO</t>
  </si>
  <si>
    <t>ETL</t>
  </si>
  <si>
    <t>MDL</t>
  </si>
  <si>
    <t>DSH</t>
  </si>
  <si>
    <t>RPT</t>
  </si>
  <si>
    <t>DLV</t>
  </si>
  <si>
    <t>DAYS</t>
  </si>
  <si>
    <t>FO</t>
  </si>
  <si>
    <t>BA</t>
  </si>
  <si>
    <t>SD</t>
  </si>
  <si>
    <t>DS</t>
  </si>
  <si>
    <t>SO</t>
  </si>
  <si>
    <t>BI</t>
  </si>
  <si>
    <t>Requirements Gathering (REQS)</t>
  </si>
  <si>
    <t>Functional Remediation (FRMD)</t>
  </si>
  <si>
    <t>Knowledge Management (KMGT)</t>
  </si>
  <si>
    <t>Business Analysis</t>
  </si>
  <si>
    <t>Award</t>
  </si>
  <si>
    <t>IRB</t>
  </si>
  <si>
    <t>Negotiation</t>
  </si>
  <si>
    <t>Project Staffing</t>
  </si>
  <si>
    <t>DoW</t>
  </si>
  <si>
    <t>Calendar Months</t>
  </si>
  <si>
    <t>Weeks Since Project Start</t>
  </si>
  <si>
    <t>Peak FTE</t>
  </si>
  <si>
    <t>Total FTE</t>
  </si>
  <si>
    <t>Total FTE Commit</t>
  </si>
  <si>
    <t>Proposal &amp; Budget Development</t>
  </si>
  <si>
    <t>1.0</t>
  </si>
  <si>
    <t>2.0</t>
  </si>
  <si>
    <t>3.0</t>
  </si>
  <si>
    <t>Institutional Review Board</t>
  </si>
  <si>
    <t>5.0</t>
  </si>
  <si>
    <t>Conflict Of Interest</t>
  </si>
  <si>
    <t>Subawards</t>
  </si>
  <si>
    <t>Negotiations</t>
  </si>
  <si>
    <t>Report Tracking</t>
  </si>
  <si>
    <t>4.0</t>
  </si>
  <si>
    <t>2.1</t>
  </si>
  <si>
    <t>KC</t>
  </si>
  <si>
    <t>Rice</t>
  </si>
  <si>
    <t>Release Date</t>
  </si>
  <si>
    <t>Modules</t>
  </si>
  <si>
    <t>Other Notes</t>
  </si>
  <si>
    <t>Grants.gov System-To-System Submission</t>
  </si>
  <si>
    <t>1.1.1</t>
  </si>
  <si>
    <t>Bug fix release.</t>
  </si>
  <si>
    <t>1.1</t>
  </si>
  <si>
    <t>Interface enhancements.</t>
  </si>
  <si>
    <t>3.1</t>
  </si>
  <si>
    <t>Enhancements to existing modules.</t>
  </si>
  <si>
    <t>3.1.1</t>
  </si>
  <si>
    <t>KFS/KC integration work.</t>
  </si>
  <si>
    <t>3.2</t>
  </si>
  <si>
    <t>Internal release.</t>
  </si>
  <si>
    <t>Institutional Animal Care &amp; Use Committee</t>
  </si>
  <si>
    <t>KRMS integration.</t>
  </si>
  <si>
    <t>5.0.1</t>
  </si>
  <si>
    <t>5.1</t>
  </si>
  <si>
    <t>2.1.5</t>
  </si>
  <si>
    <t>5.1.1</t>
  </si>
  <si>
    <t>2.1.7</t>
  </si>
  <si>
    <t>5.2</t>
  </si>
  <si>
    <t>Improved support for Java 7.</t>
  </si>
  <si>
    <t>-</t>
  </si>
  <si>
    <t>UA Research Upgrade - Modules By Release</t>
  </si>
  <si>
    <t>UA Research Upgrade - Per Module Labor Estimate By Phase</t>
  </si>
  <si>
    <t>%Util</t>
  </si>
  <si>
    <t>Dashboard Design</t>
  </si>
  <si>
    <t>BA-Principal</t>
  </si>
  <si>
    <t>BA-Senior-1</t>
  </si>
  <si>
    <t>BA-Senior-2</t>
  </si>
  <si>
    <t>SD-Principal</t>
  </si>
  <si>
    <t>SD-Senior-1</t>
  </si>
  <si>
    <t>SD-Senior-2</t>
  </si>
  <si>
    <t>FO-Award</t>
  </si>
  <si>
    <t>FO-IRB</t>
  </si>
  <si>
    <t>BI-1</t>
  </si>
  <si>
    <t>Project Week</t>
  </si>
  <si>
    <t>UA Research Upgrade - Estimated Commits By Week</t>
  </si>
  <si>
    <t>Total %Committed</t>
  </si>
  <si>
    <t>PropDev/Inst Prop</t>
  </si>
  <si>
    <t>COI</t>
  </si>
  <si>
    <t>UA Research Upgrade - Project Baseline</t>
  </si>
  <si>
    <t>Delivery Cycle</t>
  </si>
  <si>
    <t>Kari Robertson</t>
  </si>
  <si>
    <t>Amy Dougherty</t>
  </si>
  <si>
    <t>Jessica Peck</t>
  </si>
  <si>
    <t>Josh Shaloo</t>
  </si>
  <si>
    <t>Scott Skinner</t>
  </si>
  <si>
    <t>Phil Walters</t>
  </si>
  <si>
    <t>Heather Lo</t>
  </si>
  <si>
    <t>[tbd]</t>
  </si>
  <si>
    <t>[Jessica]</t>
  </si>
  <si>
    <t>FO-PropDev/InstProp</t>
  </si>
  <si>
    <t>Susan Mundt</t>
  </si>
  <si>
    <t>Andi Encinas</t>
  </si>
  <si>
    <t>Development Support/Operations</t>
  </si>
  <si>
    <t>DSO-Principal</t>
  </si>
  <si>
    <t>DSO-Senior</t>
  </si>
  <si>
    <t>Natalia Costea Ibanez</t>
  </si>
  <si>
    <t>Jennifer Hard</t>
  </si>
  <si>
    <t>Robert Hunter</t>
  </si>
  <si>
    <t>FO-???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</si>
</sst>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;0.00;&quot;-&quot;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Gill Sans MT"/>
      <family val="2"/>
    </font>
    <font>
      <u/>
      <sz val="9"/>
      <color theme="1"/>
      <name val="Gill Sans MT"/>
      <family val="2"/>
    </font>
    <font>
      <i/>
      <sz val="9"/>
      <color theme="1"/>
      <name val="Gill Sans MT"/>
      <family val="2"/>
    </font>
    <font>
      <b/>
      <u/>
      <sz val="9"/>
      <color theme="1"/>
      <name val="Gill Sans MT"/>
      <family val="2"/>
    </font>
    <font>
      <b/>
      <sz val="9"/>
      <color theme="1"/>
      <name val="Gill Sans MT"/>
      <family val="2"/>
    </font>
    <font>
      <sz val="11"/>
      <color theme="1"/>
      <name val="Calibri"/>
      <family val="2"/>
      <scheme val="minor"/>
    </font>
    <font>
      <sz val="9"/>
      <name val="Gill Sans MT"/>
      <family val="2"/>
    </font>
    <font>
      <u/>
      <sz val="9"/>
      <name val="Gill Sans MT"/>
      <family val="2"/>
    </font>
    <font>
      <sz val="9"/>
      <color theme="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1" fillId="0" borderId="0" xfId="0" quotePrefix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2" fontId="1" fillId="0" borderId="0" xfId="0" quotePrefix="1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2" fontId="1" fillId="0" borderId="9" xfId="0" quotePrefix="1" applyNumberFormat="1" applyFont="1" applyFill="1" applyBorder="1" applyAlignment="1">
      <alignment horizontal="center"/>
    </xf>
    <xf numFmtId="2" fontId="1" fillId="0" borderId="2" xfId="0" quotePrefix="1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65" fontId="5" fillId="0" borderId="13" xfId="1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9" fontId="1" fillId="0" borderId="0" xfId="2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vertical="center" wrapText="1"/>
    </xf>
    <xf numFmtId="9" fontId="7" fillId="0" borderId="0" xfId="2" applyFont="1" applyBorder="1"/>
    <xf numFmtId="9" fontId="1" fillId="0" borderId="0" xfId="2" applyFont="1"/>
    <xf numFmtId="0" fontId="9" fillId="6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6BBEB"/>
      <color rgb="FF9A57CD"/>
      <color rgb="FF8080FF"/>
      <color rgb="FF4040FF"/>
      <color rgb="FFC0C0FF"/>
      <color rgb="FF0000FF"/>
      <color rgb="FFCC0000"/>
      <color rgb="FF990099"/>
      <color rgb="FFFFFF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"/>
  <sheetViews>
    <sheetView tabSelected="1" zoomScaleNormal="100" workbookViewId="0"/>
  </sheetViews>
  <sheetFormatPr defaultColWidth="5.7109375" defaultRowHeight="15.75" x14ac:dyDescent="0.35"/>
  <cols>
    <col min="1" max="1" width="16.7109375" style="1" customWidth="1"/>
    <col min="2" max="2" width="4.85546875" style="1" customWidth="1"/>
    <col min="3" max="5" width="9.7109375" style="1" customWidth="1"/>
    <col min="6" max="50" width="5.7109375" style="1" customWidth="1"/>
    <col min="51" max="16384" width="5.7109375" style="1"/>
  </cols>
  <sheetData>
    <row r="1" spans="1:50" x14ac:dyDescent="0.35">
      <c r="A1" s="56" t="s">
        <v>115</v>
      </c>
    </row>
    <row r="2" spans="1:50" x14ac:dyDescent="0.35">
      <c r="A2" s="56"/>
    </row>
    <row r="3" spans="1:50" x14ac:dyDescent="0.35">
      <c r="G3" s="82" t="s">
        <v>55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4"/>
    </row>
    <row r="4" spans="1:50" x14ac:dyDescent="0.35">
      <c r="A4" s="4"/>
      <c r="B4" s="54" t="s">
        <v>54</v>
      </c>
      <c r="C4" s="61">
        <f>MAX(G4:AX4)*5/22</f>
        <v>10</v>
      </c>
      <c r="D4" s="63"/>
      <c r="E4" s="63"/>
      <c r="F4" s="15"/>
      <c r="G4" s="55">
        <v>1</v>
      </c>
      <c r="H4" s="55">
        <v>2</v>
      </c>
      <c r="I4" s="55">
        <v>3</v>
      </c>
      <c r="J4" s="55">
        <v>4</v>
      </c>
      <c r="K4" s="55">
        <v>5</v>
      </c>
      <c r="L4" s="55">
        <v>6</v>
      </c>
      <c r="M4" s="55">
        <v>7</v>
      </c>
      <c r="N4" s="55">
        <v>8</v>
      </c>
      <c r="O4" s="55">
        <v>9</v>
      </c>
      <c r="P4" s="55">
        <v>10</v>
      </c>
      <c r="Q4" s="55">
        <v>11</v>
      </c>
      <c r="R4" s="55">
        <v>12</v>
      </c>
      <c r="S4" s="55">
        <v>13</v>
      </c>
      <c r="T4" s="55">
        <v>14</v>
      </c>
      <c r="U4" s="55">
        <v>15</v>
      </c>
      <c r="V4" s="55">
        <v>16</v>
      </c>
      <c r="W4" s="55">
        <v>17</v>
      </c>
      <c r="X4" s="55">
        <v>18</v>
      </c>
      <c r="Y4" s="55">
        <v>19</v>
      </c>
      <c r="Z4" s="55">
        <v>20</v>
      </c>
      <c r="AA4" s="55">
        <v>21</v>
      </c>
      <c r="AB4" s="55">
        <v>22</v>
      </c>
      <c r="AC4" s="55">
        <v>23</v>
      </c>
      <c r="AD4" s="55">
        <v>24</v>
      </c>
      <c r="AE4" s="55">
        <v>25</v>
      </c>
      <c r="AF4" s="55">
        <v>26</v>
      </c>
      <c r="AG4" s="55">
        <v>27</v>
      </c>
      <c r="AH4" s="55">
        <v>28</v>
      </c>
      <c r="AI4" s="55">
        <v>29</v>
      </c>
      <c r="AJ4" s="55">
        <v>30</v>
      </c>
      <c r="AK4" s="55">
        <v>31</v>
      </c>
      <c r="AL4" s="81">
        <v>32</v>
      </c>
      <c r="AM4" s="55">
        <v>33</v>
      </c>
      <c r="AN4" s="55">
        <v>34</v>
      </c>
      <c r="AO4" s="55">
        <v>35</v>
      </c>
      <c r="AP4" s="55">
        <v>36</v>
      </c>
      <c r="AQ4" s="55">
        <v>37</v>
      </c>
      <c r="AR4" s="55">
        <v>38</v>
      </c>
      <c r="AS4" s="55">
        <v>39</v>
      </c>
      <c r="AT4" s="55">
        <v>40</v>
      </c>
      <c r="AU4" s="55">
        <v>41</v>
      </c>
      <c r="AV4" s="55">
        <v>42</v>
      </c>
      <c r="AW4" s="55">
        <v>43</v>
      </c>
      <c r="AX4" s="55">
        <v>44</v>
      </c>
    </row>
    <row r="5" spans="1:50" x14ac:dyDescent="0.35">
      <c r="A5" s="4"/>
      <c r="B5" s="54" t="s">
        <v>58</v>
      </c>
      <c r="C5" s="62">
        <f>SUM(G6:AX6)/260</f>
        <v>6.5625</v>
      </c>
      <c r="D5" s="64"/>
      <c r="E5" s="6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 spans="1:50" x14ac:dyDescent="0.35">
      <c r="A6" s="4"/>
      <c r="B6" s="4"/>
      <c r="C6" s="57"/>
      <c r="D6" s="57"/>
      <c r="E6" s="57"/>
      <c r="F6" s="59" t="s">
        <v>53</v>
      </c>
      <c r="G6" s="60">
        <f>SUM(G8:G13)*5</f>
        <v>5</v>
      </c>
      <c r="H6" s="60">
        <f>SUM(H8:H13)*5</f>
        <v>11.875</v>
      </c>
      <c r="I6" s="60">
        <f>SUM(I8:I13)*5</f>
        <v>11.875</v>
      </c>
      <c r="J6" s="60">
        <f>SUM(J8:J13)*5</f>
        <v>11.875</v>
      </c>
      <c r="K6" s="60">
        <f>SUM(K8:K13)*5</f>
        <v>11.875</v>
      </c>
      <c r="L6" s="60">
        <f t="shared" ref="L6:AX6" si="0">SUM(L8:L13)*5</f>
        <v>11.875</v>
      </c>
      <c r="M6" s="60">
        <f t="shared" si="0"/>
        <v>16.875</v>
      </c>
      <c r="N6" s="60">
        <f t="shared" si="0"/>
        <v>45</v>
      </c>
      <c r="O6" s="60">
        <f t="shared" si="0"/>
        <v>45</v>
      </c>
      <c r="P6" s="60">
        <f t="shared" si="0"/>
        <v>45</v>
      </c>
      <c r="Q6" s="60">
        <f t="shared" si="0"/>
        <v>45</v>
      </c>
      <c r="R6" s="60">
        <f t="shared" si="0"/>
        <v>45</v>
      </c>
      <c r="S6" s="60">
        <f t="shared" si="0"/>
        <v>48.75</v>
      </c>
      <c r="T6" s="60">
        <f t="shared" si="0"/>
        <v>57.5</v>
      </c>
      <c r="U6" s="60">
        <f t="shared" si="0"/>
        <v>55</v>
      </c>
      <c r="V6" s="60">
        <f t="shared" si="0"/>
        <v>55</v>
      </c>
      <c r="W6" s="60">
        <f t="shared" si="0"/>
        <v>55</v>
      </c>
      <c r="X6" s="60">
        <f t="shared" si="0"/>
        <v>55</v>
      </c>
      <c r="Y6" s="60">
        <f t="shared" si="0"/>
        <v>58.75</v>
      </c>
      <c r="Z6" s="60">
        <f t="shared" si="0"/>
        <v>62.5</v>
      </c>
      <c r="AA6" s="60">
        <f t="shared" si="0"/>
        <v>55</v>
      </c>
      <c r="AB6" s="60">
        <f t="shared" si="0"/>
        <v>55</v>
      </c>
      <c r="AC6" s="60">
        <f t="shared" si="0"/>
        <v>55</v>
      </c>
      <c r="AD6" s="60">
        <f t="shared" si="0"/>
        <v>55</v>
      </c>
      <c r="AE6" s="60">
        <f t="shared" si="0"/>
        <v>58.75</v>
      </c>
      <c r="AF6" s="60">
        <f t="shared" si="0"/>
        <v>62.5</v>
      </c>
      <c r="AG6" s="60">
        <f t="shared" si="0"/>
        <v>55</v>
      </c>
      <c r="AH6" s="60">
        <f t="shared" si="0"/>
        <v>55</v>
      </c>
      <c r="AI6" s="60">
        <f t="shared" si="0"/>
        <v>55</v>
      </c>
      <c r="AJ6" s="60">
        <f t="shared" si="0"/>
        <v>55</v>
      </c>
      <c r="AK6" s="60">
        <f t="shared" si="0"/>
        <v>53.75</v>
      </c>
      <c r="AL6" s="60">
        <f t="shared" si="0"/>
        <v>50.625</v>
      </c>
      <c r="AM6" s="60">
        <f t="shared" si="0"/>
        <v>43.125</v>
      </c>
      <c r="AN6" s="60">
        <f t="shared" si="0"/>
        <v>43.125</v>
      </c>
      <c r="AO6" s="60">
        <f t="shared" si="0"/>
        <v>43.125</v>
      </c>
      <c r="AP6" s="60">
        <f t="shared" si="0"/>
        <v>43.125</v>
      </c>
      <c r="AQ6" s="60">
        <f t="shared" si="0"/>
        <v>41.875</v>
      </c>
      <c r="AR6" s="60">
        <f t="shared" si="0"/>
        <v>17.5</v>
      </c>
      <c r="AS6" s="60">
        <f t="shared" si="0"/>
        <v>10</v>
      </c>
      <c r="AT6" s="60">
        <f t="shared" si="0"/>
        <v>10</v>
      </c>
      <c r="AU6" s="60">
        <f t="shared" si="0"/>
        <v>10</v>
      </c>
      <c r="AV6" s="60">
        <f t="shared" si="0"/>
        <v>10</v>
      </c>
      <c r="AW6" s="60">
        <f t="shared" si="0"/>
        <v>10</v>
      </c>
      <c r="AX6" s="60">
        <f t="shared" si="0"/>
        <v>5</v>
      </c>
    </row>
    <row r="7" spans="1:50" x14ac:dyDescent="0.35">
      <c r="A7" s="54" t="s">
        <v>52</v>
      </c>
      <c r="B7" s="54"/>
      <c r="C7" s="65" t="s">
        <v>57</v>
      </c>
      <c r="D7" s="58" t="s">
        <v>56</v>
      </c>
      <c r="E7" s="58" t="s">
        <v>99</v>
      </c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50" x14ac:dyDescent="0.35">
      <c r="A8" s="5" t="s">
        <v>1</v>
      </c>
      <c r="B8" s="5"/>
      <c r="C8" s="7">
        <f t="shared" ref="C8:C13" si="1">SUM(G8:AX8)*5/260</f>
        <v>1.7307692307692308</v>
      </c>
      <c r="D8" s="25">
        <f t="shared" ref="D8:D13" si="2">MAX(G8:AX8)</f>
        <v>3</v>
      </c>
      <c r="E8" s="70">
        <f t="shared" ref="E8:E13" si="3">(SUM(G8:AX8)*40)/(MAX($G$4:$AX$4)*40*D8)</f>
        <v>0.68181818181818177</v>
      </c>
      <c r="F8" s="25"/>
      <c r="G8" s="6">
        <f t="shared" ref="G8:AX8" si="4">G17+G24+G31+G38+G45</f>
        <v>0</v>
      </c>
      <c r="H8" s="6">
        <f t="shared" si="4"/>
        <v>1</v>
      </c>
      <c r="I8" s="6">
        <f t="shared" si="4"/>
        <v>1</v>
      </c>
      <c r="J8" s="6">
        <f t="shared" si="4"/>
        <v>1</v>
      </c>
      <c r="K8" s="6">
        <f t="shared" si="4"/>
        <v>1</v>
      </c>
      <c r="L8" s="6">
        <f t="shared" si="4"/>
        <v>1</v>
      </c>
      <c r="M8" s="6">
        <f t="shared" si="4"/>
        <v>1</v>
      </c>
      <c r="N8" s="6">
        <f t="shared" si="4"/>
        <v>2</v>
      </c>
      <c r="O8" s="6">
        <f t="shared" si="4"/>
        <v>2</v>
      </c>
      <c r="P8" s="6">
        <f t="shared" si="4"/>
        <v>2</v>
      </c>
      <c r="Q8" s="6">
        <f t="shared" si="4"/>
        <v>2</v>
      </c>
      <c r="R8" s="6">
        <f t="shared" si="4"/>
        <v>2</v>
      </c>
      <c r="S8" s="6">
        <f t="shared" si="4"/>
        <v>2</v>
      </c>
      <c r="T8" s="6">
        <f t="shared" si="4"/>
        <v>3</v>
      </c>
      <c r="U8" s="6">
        <f t="shared" si="4"/>
        <v>3</v>
      </c>
      <c r="V8" s="6">
        <f t="shared" si="4"/>
        <v>3</v>
      </c>
      <c r="W8" s="6">
        <f t="shared" si="4"/>
        <v>3</v>
      </c>
      <c r="X8" s="6">
        <f t="shared" si="4"/>
        <v>3</v>
      </c>
      <c r="Y8" s="6">
        <f t="shared" si="4"/>
        <v>3</v>
      </c>
      <c r="Z8" s="6">
        <f t="shared" si="4"/>
        <v>3</v>
      </c>
      <c r="AA8" s="6">
        <f t="shared" si="4"/>
        <v>3</v>
      </c>
      <c r="AB8" s="6">
        <f t="shared" si="4"/>
        <v>3</v>
      </c>
      <c r="AC8" s="6">
        <f t="shared" si="4"/>
        <v>3</v>
      </c>
      <c r="AD8" s="6">
        <f t="shared" si="4"/>
        <v>3</v>
      </c>
      <c r="AE8" s="6">
        <f t="shared" si="4"/>
        <v>3</v>
      </c>
      <c r="AF8" s="6">
        <f t="shared" si="4"/>
        <v>3</v>
      </c>
      <c r="AG8" s="6">
        <f t="shared" si="4"/>
        <v>3</v>
      </c>
      <c r="AH8" s="6">
        <f t="shared" si="4"/>
        <v>3</v>
      </c>
      <c r="AI8" s="6">
        <f t="shared" si="4"/>
        <v>3</v>
      </c>
      <c r="AJ8" s="6">
        <f t="shared" si="4"/>
        <v>3</v>
      </c>
      <c r="AK8" s="6">
        <f t="shared" si="4"/>
        <v>3</v>
      </c>
      <c r="AL8" s="6">
        <f t="shared" si="4"/>
        <v>2</v>
      </c>
      <c r="AM8" s="6">
        <f t="shared" si="4"/>
        <v>2</v>
      </c>
      <c r="AN8" s="6">
        <f t="shared" si="4"/>
        <v>2</v>
      </c>
      <c r="AO8" s="6">
        <f t="shared" si="4"/>
        <v>2</v>
      </c>
      <c r="AP8" s="6">
        <f t="shared" si="4"/>
        <v>2</v>
      </c>
      <c r="AQ8" s="6">
        <f t="shared" si="4"/>
        <v>2</v>
      </c>
      <c r="AR8" s="6">
        <f t="shared" si="4"/>
        <v>1</v>
      </c>
      <c r="AS8" s="6">
        <f t="shared" si="4"/>
        <v>1</v>
      </c>
      <c r="AT8" s="6">
        <f t="shared" si="4"/>
        <v>1</v>
      </c>
      <c r="AU8" s="6">
        <f t="shared" si="4"/>
        <v>1</v>
      </c>
      <c r="AV8" s="6">
        <f t="shared" si="4"/>
        <v>1</v>
      </c>
      <c r="AW8" s="6">
        <f t="shared" si="4"/>
        <v>1</v>
      </c>
      <c r="AX8" s="6">
        <f t="shared" si="4"/>
        <v>0</v>
      </c>
    </row>
    <row r="9" spans="1:50" x14ac:dyDescent="0.35">
      <c r="A9" s="5" t="s">
        <v>2</v>
      </c>
      <c r="B9" s="5"/>
      <c r="C9" s="7">
        <f t="shared" si="1"/>
        <v>1.7307692307692308</v>
      </c>
      <c r="D9" s="25">
        <f t="shared" si="2"/>
        <v>3</v>
      </c>
      <c r="E9" s="70">
        <f t="shared" si="3"/>
        <v>0.68181818181818177</v>
      </c>
      <c r="F9" s="25"/>
      <c r="G9" s="6">
        <f t="shared" ref="G9:AX9" si="5">G18+G25+G32+G39+G46</f>
        <v>0</v>
      </c>
      <c r="H9" s="6">
        <f t="shared" si="5"/>
        <v>1</v>
      </c>
      <c r="I9" s="6">
        <f t="shared" si="5"/>
        <v>1</v>
      </c>
      <c r="J9" s="6">
        <f t="shared" si="5"/>
        <v>1</v>
      </c>
      <c r="K9" s="6">
        <f t="shared" si="5"/>
        <v>1</v>
      </c>
      <c r="L9" s="6">
        <f t="shared" si="5"/>
        <v>1</v>
      </c>
      <c r="M9" s="6">
        <f t="shared" si="5"/>
        <v>1</v>
      </c>
      <c r="N9" s="6">
        <f t="shared" si="5"/>
        <v>3</v>
      </c>
      <c r="O9" s="6">
        <f t="shared" si="5"/>
        <v>3</v>
      </c>
      <c r="P9" s="6">
        <f t="shared" si="5"/>
        <v>3</v>
      </c>
      <c r="Q9" s="6">
        <f t="shared" si="5"/>
        <v>3</v>
      </c>
      <c r="R9" s="6">
        <f t="shared" si="5"/>
        <v>3</v>
      </c>
      <c r="S9" s="6">
        <f t="shared" si="5"/>
        <v>3</v>
      </c>
      <c r="T9" s="6">
        <f t="shared" si="5"/>
        <v>3</v>
      </c>
      <c r="U9" s="6">
        <f t="shared" si="5"/>
        <v>3</v>
      </c>
      <c r="V9" s="6">
        <f t="shared" si="5"/>
        <v>3</v>
      </c>
      <c r="W9" s="6">
        <f t="shared" si="5"/>
        <v>3</v>
      </c>
      <c r="X9" s="6">
        <f t="shared" si="5"/>
        <v>3</v>
      </c>
      <c r="Y9" s="6">
        <f t="shared" si="5"/>
        <v>3</v>
      </c>
      <c r="Z9" s="6">
        <f t="shared" si="5"/>
        <v>3</v>
      </c>
      <c r="AA9" s="6">
        <f t="shared" si="5"/>
        <v>3</v>
      </c>
      <c r="AB9" s="6">
        <f t="shared" si="5"/>
        <v>3</v>
      </c>
      <c r="AC9" s="6">
        <f t="shared" si="5"/>
        <v>3</v>
      </c>
      <c r="AD9" s="6">
        <f t="shared" si="5"/>
        <v>3</v>
      </c>
      <c r="AE9" s="6">
        <f t="shared" si="5"/>
        <v>3</v>
      </c>
      <c r="AF9" s="6">
        <f t="shared" si="5"/>
        <v>3</v>
      </c>
      <c r="AG9" s="6">
        <f t="shared" si="5"/>
        <v>3</v>
      </c>
      <c r="AH9" s="6">
        <f t="shared" si="5"/>
        <v>3</v>
      </c>
      <c r="AI9" s="6">
        <f t="shared" si="5"/>
        <v>3</v>
      </c>
      <c r="AJ9" s="6">
        <f t="shared" si="5"/>
        <v>3</v>
      </c>
      <c r="AK9" s="6">
        <f t="shared" si="5"/>
        <v>3</v>
      </c>
      <c r="AL9" s="6">
        <f t="shared" si="5"/>
        <v>2</v>
      </c>
      <c r="AM9" s="6">
        <f t="shared" si="5"/>
        <v>2</v>
      </c>
      <c r="AN9" s="6">
        <f t="shared" si="5"/>
        <v>2</v>
      </c>
      <c r="AO9" s="6">
        <f t="shared" si="5"/>
        <v>2</v>
      </c>
      <c r="AP9" s="6">
        <f t="shared" si="5"/>
        <v>2</v>
      </c>
      <c r="AQ9" s="6">
        <f t="shared" si="5"/>
        <v>2</v>
      </c>
      <c r="AR9" s="6">
        <f t="shared" si="5"/>
        <v>0</v>
      </c>
      <c r="AS9" s="6">
        <f t="shared" si="5"/>
        <v>0</v>
      </c>
      <c r="AT9" s="6">
        <f t="shared" si="5"/>
        <v>0</v>
      </c>
      <c r="AU9" s="6">
        <f t="shared" si="5"/>
        <v>0</v>
      </c>
      <c r="AV9" s="6">
        <f t="shared" si="5"/>
        <v>0</v>
      </c>
      <c r="AW9" s="6">
        <f t="shared" si="5"/>
        <v>0</v>
      </c>
      <c r="AX9" s="6">
        <f t="shared" si="5"/>
        <v>0</v>
      </c>
    </row>
    <row r="10" spans="1:50" x14ac:dyDescent="0.35">
      <c r="A10" s="5" t="s">
        <v>3</v>
      </c>
      <c r="B10" s="5"/>
      <c r="C10" s="7">
        <f t="shared" si="1"/>
        <v>1.7307692307692308</v>
      </c>
      <c r="D10" s="25">
        <f t="shared" si="2"/>
        <v>3</v>
      </c>
      <c r="E10" s="70">
        <f t="shared" si="3"/>
        <v>0.68181818181818177</v>
      </c>
      <c r="F10" s="25"/>
      <c r="G10" s="6">
        <f t="shared" ref="G10:AX10" si="6">G19+G26+G33+G40+G47</f>
        <v>0</v>
      </c>
      <c r="H10" s="6">
        <f t="shared" si="6"/>
        <v>0.125</v>
      </c>
      <c r="I10" s="6">
        <f t="shared" si="6"/>
        <v>0.125</v>
      </c>
      <c r="J10" s="6">
        <f t="shared" si="6"/>
        <v>0.125</v>
      </c>
      <c r="K10" s="6">
        <f t="shared" si="6"/>
        <v>0.125</v>
      </c>
      <c r="L10" s="6">
        <f t="shared" si="6"/>
        <v>0.125</v>
      </c>
      <c r="M10" s="6">
        <f t="shared" si="6"/>
        <v>0.125</v>
      </c>
      <c r="N10" s="6">
        <f t="shared" si="6"/>
        <v>3</v>
      </c>
      <c r="O10" s="6">
        <f t="shared" si="6"/>
        <v>3</v>
      </c>
      <c r="P10" s="6">
        <f t="shared" si="6"/>
        <v>3</v>
      </c>
      <c r="Q10" s="6">
        <f t="shared" si="6"/>
        <v>3</v>
      </c>
      <c r="R10" s="6">
        <f t="shared" si="6"/>
        <v>3</v>
      </c>
      <c r="S10" s="6">
        <f t="shared" si="6"/>
        <v>3</v>
      </c>
      <c r="T10" s="6">
        <f t="shared" si="6"/>
        <v>3</v>
      </c>
      <c r="U10" s="6">
        <f t="shared" si="6"/>
        <v>3</v>
      </c>
      <c r="V10" s="6">
        <f t="shared" si="6"/>
        <v>3</v>
      </c>
      <c r="W10" s="6">
        <f t="shared" si="6"/>
        <v>3</v>
      </c>
      <c r="X10" s="6">
        <f t="shared" si="6"/>
        <v>3</v>
      </c>
      <c r="Y10" s="6">
        <f t="shared" si="6"/>
        <v>3</v>
      </c>
      <c r="Z10" s="6">
        <f t="shared" si="6"/>
        <v>3</v>
      </c>
      <c r="AA10" s="6">
        <f t="shared" si="6"/>
        <v>3</v>
      </c>
      <c r="AB10" s="6">
        <f t="shared" si="6"/>
        <v>3</v>
      </c>
      <c r="AC10" s="6">
        <f t="shared" si="6"/>
        <v>3</v>
      </c>
      <c r="AD10" s="6">
        <f t="shared" si="6"/>
        <v>3</v>
      </c>
      <c r="AE10" s="6">
        <f t="shared" si="6"/>
        <v>3</v>
      </c>
      <c r="AF10" s="6">
        <f t="shared" si="6"/>
        <v>3</v>
      </c>
      <c r="AG10" s="6">
        <f t="shared" si="6"/>
        <v>3</v>
      </c>
      <c r="AH10" s="6">
        <f t="shared" si="6"/>
        <v>3</v>
      </c>
      <c r="AI10" s="6">
        <f t="shared" si="6"/>
        <v>3</v>
      </c>
      <c r="AJ10" s="6">
        <f t="shared" si="6"/>
        <v>3</v>
      </c>
      <c r="AK10" s="6">
        <f t="shared" si="6"/>
        <v>3</v>
      </c>
      <c r="AL10" s="6">
        <f t="shared" si="6"/>
        <v>2.875</v>
      </c>
      <c r="AM10" s="6">
        <f t="shared" si="6"/>
        <v>2.875</v>
      </c>
      <c r="AN10" s="6">
        <f t="shared" si="6"/>
        <v>2.875</v>
      </c>
      <c r="AO10" s="6">
        <f t="shared" si="6"/>
        <v>2.875</v>
      </c>
      <c r="AP10" s="6">
        <f t="shared" si="6"/>
        <v>2.875</v>
      </c>
      <c r="AQ10" s="6">
        <f t="shared" si="6"/>
        <v>2.875</v>
      </c>
      <c r="AR10" s="6">
        <f t="shared" si="6"/>
        <v>0</v>
      </c>
      <c r="AS10" s="6">
        <f t="shared" si="6"/>
        <v>0</v>
      </c>
      <c r="AT10" s="6">
        <f t="shared" si="6"/>
        <v>0</v>
      </c>
      <c r="AU10" s="6">
        <f t="shared" si="6"/>
        <v>0</v>
      </c>
      <c r="AV10" s="6">
        <f t="shared" si="6"/>
        <v>0</v>
      </c>
      <c r="AW10" s="6">
        <f t="shared" si="6"/>
        <v>0</v>
      </c>
      <c r="AX10" s="6">
        <f t="shared" si="6"/>
        <v>0</v>
      </c>
    </row>
    <row r="11" spans="1:50" x14ac:dyDescent="0.35">
      <c r="A11" s="5" t="s">
        <v>4</v>
      </c>
      <c r="B11" s="5"/>
      <c r="C11" s="7">
        <f t="shared" si="1"/>
        <v>0.45673076923076922</v>
      </c>
      <c r="D11" s="25">
        <f t="shared" si="2"/>
        <v>1.375</v>
      </c>
      <c r="E11" s="70">
        <f t="shared" si="3"/>
        <v>0.3925619834710744</v>
      </c>
      <c r="F11" s="25"/>
      <c r="G11" s="6">
        <f t="shared" ref="G11:AX11" si="7">G20+G27+G34+G41+G48</f>
        <v>0.5</v>
      </c>
      <c r="H11" s="6">
        <f t="shared" si="7"/>
        <v>0.125</v>
      </c>
      <c r="I11" s="6">
        <f t="shared" si="7"/>
        <v>0.125</v>
      </c>
      <c r="J11" s="6">
        <f t="shared" si="7"/>
        <v>0.125</v>
      </c>
      <c r="K11" s="6">
        <f t="shared" si="7"/>
        <v>0.125</v>
      </c>
      <c r="L11" s="6">
        <f t="shared" si="7"/>
        <v>0.125</v>
      </c>
      <c r="M11" s="6">
        <f t="shared" si="7"/>
        <v>0.625</v>
      </c>
      <c r="N11" s="6">
        <f t="shared" si="7"/>
        <v>0.625</v>
      </c>
      <c r="O11" s="6">
        <f t="shared" si="7"/>
        <v>0.625</v>
      </c>
      <c r="P11" s="6">
        <f t="shared" si="7"/>
        <v>0.625</v>
      </c>
      <c r="Q11" s="6">
        <f t="shared" si="7"/>
        <v>0.625</v>
      </c>
      <c r="R11" s="6">
        <f t="shared" si="7"/>
        <v>0.625</v>
      </c>
      <c r="S11" s="6">
        <f t="shared" si="7"/>
        <v>0.875</v>
      </c>
      <c r="T11" s="6">
        <f t="shared" si="7"/>
        <v>0.875</v>
      </c>
      <c r="U11" s="6">
        <f t="shared" si="7"/>
        <v>0.625</v>
      </c>
      <c r="V11" s="6">
        <f t="shared" si="7"/>
        <v>0.625</v>
      </c>
      <c r="W11" s="6">
        <f t="shared" si="7"/>
        <v>0.625</v>
      </c>
      <c r="X11" s="6">
        <f t="shared" si="7"/>
        <v>0.625</v>
      </c>
      <c r="Y11" s="6">
        <f t="shared" si="7"/>
        <v>0.875</v>
      </c>
      <c r="Z11" s="6">
        <f t="shared" si="7"/>
        <v>1.375</v>
      </c>
      <c r="AA11" s="6">
        <f t="shared" si="7"/>
        <v>0.625</v>
      </c>
      <c r="AB11" s="6">
        <f t="shared" si="7"/>
        <v>0.625</v>
      </c>
      <c r="AC11" s="6">
        <f t="shared" si="7"/>
        <v>0.625</v>
      </c>
      <c r="AD11" s="6">
        <f t="shared" si="7"/>
        <v>0.625</v>
      </c>
      <c r="AE11" s="6">
        <f t="shared" si="7"/>
        <v>0.875</v>
      </c>
      <c r="AF11" s="6">
        <f t="shared" si="7"/>
        <v>1.375</v>
      </c>
      <c r="AG11" s="6">
        <f t="shared" si="7"/>
        <v>0.625</v>
      </c>
      <c r="AH11" s="6">
        <f t="shared" si="7"/>
        <v>0.625</v>
      </c>
      <c r="AI11" s="6">
        <f t="shared" si="7"/>
        <v>0.625</v>
      </c>
      <c r="AJ11" s="6">
        <f t="shared" si="7"/>
        <v>0.625</v>
      </c>
      <c r="AK11" s="6">
        <f t="shared" si="7"/>
        <v>0.375</v>
      </c>
      <c r="AL11" s="6">
        <f t="shared" si="7"/>
        <v>1.25</v>
      </c>
      <c r="AM11" s="6">
        <f t="shared" si="7"/>
        <v>0.5</v>
      </c>
      <c r="AN11" s="6">
        <f t="shared" si="7"/>
        <v>0.5</v>
      </c>
      <c r="AO11" s="6">
        <f t="shared" si="7"/>
        <v>0.5</v>
      </c>
      <c r="AP11" s="6">
        <f t="shared" si="7"/>
        <v>0.5</v>
      </c>
      <c r="AQ11" s="6">
        <f t="shared" si="7"/>
        <v>0.25</v>
      </c>
      <c r="AR11" s="6">
        <f t="shared" si="7"/>
        <v>0.75</v>
      </c>
      <c r="AS11" s="6">
        <f t="shared" si="7"/>
        <v>0</v>
      </c>
      <c r="AT11" s="6">
        <f t="shared" si="7"/>
        <v>0</v>
      </c>
      <c r="AU11" s="6">
        <f t="shared" si="7"/>
        <v>0</v>
      </c>
      <c r="AV11" s="6">
        <f t="shared" si="7"/>
        <v>0</v>
      </c>
      <c r="AW11" s="6">
        <f t="shared" si="7"/>
        <v>0</v>
      </c>
      <c r="AX11" s="6">
        <f t="shared" si="7"/>
        <v>0.5</v>
      </c>
    </row>
    <row r="12" spans="1:50" x14ac:dyDescent="0.35">
      <c r="A12" s="5" t="s">
        <v>21</v>
      </c>
      <c r="B12" s="5"/>
      <c r="C12" s="7">
        <f t="shared" si="1"/>
        <v>0.33653846153846156</v>
      </c>
      <c r="D12" s="25">
        <f t="shared" si="2"/>
        <v>1.125</v>
      </c>
      <c r="E12" s="70">
        <f t="shared" si="3"/>
        <v>0.35353535353535354</v>
      </c>
      <c r="F12" s="25"/>
      <c r="G12" s="6">
        <f t="shared" ref="G12:AX12" si="8">G21+G28+G35+G42+G49</f>
        <v>0.5</v>
      </c>
      <c r="H12" s="6">
        <f t="shared" si="8"/>
        <v>0.125</v>
      </c>
      <c r="I12" s="6">
        <f t="shared" si="8"/>
        <v>0.125</v>
      </c>
      <c r="J12" s="6">
        <f t="shared" si="8"/>
        <v>0.125</v>
      </c>
      <c r="K12" s="6">
        <f t="shared" si="8"/>
        <v>0.125</v>
      </c>
      <c r="L12" s="6">
        <f t="shared" si="8"/>
        <v>0.125</v>
      </c>
      <c r="M12" s="6">
        <f t="shared" si="8"/>
        <v>0.625</v>
      </c>
      <c r="N12" s="6">
        <f t="shared" si="8"/>
        <v>0.375</v>
      </c>
      <c r="O12" s="6">
        <f t="shared" si="8"/>
        <v>0.375</v>
      </c>
      <c r="P12" s="6">
        <f t="shared" si="8"/>
        <v>0.375</v>
      </c>
      <c r="Q12" s="6">
        <f t="shared" si="8"/>
        <v>0.375</v>
      </c>
      <c r="R12" s="6">
        <f t="shared" si="8"/>
        <v>0.375</v>
      </c>
      <c r="S12" s="6">
        <f t="shared" si="8"/>
        <v>0.875</v>
      </c>
      <c r="T12" s="6">
        <f t="shared" si="8"/>
        <v>0.625</v>
      </c>
      <c r="U12" s="6">
        <f t="shared" si="8"/>
        <v>0.375</v>
      </c>
      <c r="V12" s="6">
        <f t="shared" si="8"/>
        <v>0.375</v>
      </c>
      <c r="W12" s="6">
        <f t="shared" si="8"/>
        <v>0.375</v>
      </c>
      <c r="X12" s="6">
        <f t="shared" si="8"/>
        <v>0.375</v>
      </c>
      <c r="Y12" s="6">
        <f t="shared" si="8"/>
        <v>0.875</v>
      </c>
      <c r="Z12" s="6">
        <f t="shared" si="8"/>
        <v>1.125</v>
      </c>
      <c r="AA12" s="6">
        <f t="shared" si="8"/>
        <v>0.375</v>
      </c>
      <c r="AB12" s="6">
        <f t="shared" si="8"/>
        <v>0.375</v>
      </c>
      <c r="AC12" s="6">
        <f t="shared" si="8"/>
        <v>0.375</v>
      </c>
      <c r="AD12" s="6">
        <f t="shared" si="8"/>
        <v>0.375</v>
      </c>
      <c r="AE12" s="6">
        <f t="shared" si="8"/>
        <v>0.875</v>
      </c>
      <c r="AF12" s="6">
        <f t="shared" si="8"/>
        <v>1.125</v>
      </c>
      <c r="AG12" s="6">
        <f t="shared" si="8"/>
        <v>0.375</v>
      </c>
      <c r="AH12" s="6">
        <f t="shared" si="8"/>
        <v>0.375</v>
      </c>
      <c r="AI12" s="6">
        <f t="shared" si="8"/>
        <v>0.375</v>
      </c>
      <c r="AJ12" s="6">
        <f t="shared" si="8"/>
        <v>0.375</v>
      </c>
      <c r="AK12" s="6">
        <f t="shared" si="8"/>
        <v>0.375</v>
      </c>
      <c r="AL12" s="6">
        <f t="shared" si="8"/>
        <v>1</v>
      </c>
      <c r="AM12" s="6">
        <f t="shared" si="8"/>
        <v>0.25</v>
      </c>
      <c r="AN12" s="6">
        <f t="shared" si="8"/>
        <v>0.25</v>
      </c>
      <c r="AO12" s="6">
        <f t="shared" si="8"/>
        <v>0.25</v>
      </c>
      <c r="AP12" s="6">
        <f t="shared" si="8"/>
        <v>0.25</v>
      </c>
      <c r="AQ12" s="6">
        <f t="shared" si="8"/>
        <v>0.25</v>
      </c>
      <c r="AR12" s="6">
        <f t="shared" si="8"/>
        <v>0.75</v>
      </c>
      <c r="AS12" s="6">
        <f t="shared" si="8"/>
        <v>0</v>
      </c>
      <c r="AT12" s="6">
        <f t="shared" si="8"/>
        <v>0</v>
      </c>
      <c r="AU12" s="6">
        <f t="shared" si="8"/>
        <v>0</v>
      </c>
      <c r="AV12" s="6">
        <f t="shared" si="8"/>
        <v>0</v>
      </c>
      <c r="AW12" s="6">
        <f t="shared" si="8"/>
        <v>0</v>
      </c>
      <c r="AX12" s="6">
        <f t="shared" si="8"/>
        <v>0.5</v>
      </c>
    </row>
    <row r="13" spans="1:50" x14ac:dyDescent="0.35">
      <c r="A13" s="5" t="s">
        <v>22</v>
      </c>
      <c r="B13" s="5"/>
      <c r="C13" s="7">
        <f t="shared" si="1"/>
        <v>0.57692307692307687</v>
      </c>
      <c r="D13" s="25">
        <f t="shared" si="2"/>
        <v>1</v>
      </c>
      <c r="E13" s="70">
        <f t="shared" si="3"/>
        <v>0.68181818181818177</v>
      </c>
      <c r="F13" s="25"/>
      <c r="G13" s="6">
        <f t="shared" ref="G13:AX13" si="9">G22+G29+G36+G43+G50</f>
        <v>0</v>
      </c>
      <c r="H13" s="6">
        <f t="shared" si="9"/>
        <v>0</v>
      </c>
      <c r="I13" s="6">
        <f t="shared" si="9"/>
        <v>0</v>
      </c>
      <c r="J13" s="6">
        <f t="shared" si="9"/>
        <v>0</v>
      </c>
      <c r="K13" s="6">
        <f t="shared" si="9"/>
        <v>0</v>
      </c>
      <c r="L13" s="6">
        <f t="shared" si="9"/>
        <v>0</v>
      </c>
      <c r="M13" s="6">
        <f t="shared" si="9"/>
        <v>0</v>
      </c>
      <c r="N13" s="6">
        <f t="shared" si="9"/>
        <v>0</v>
      </c>
      <c r="O13" s="6">
        <f t="shared" si="9"/>
        <v>0</v>
      </c>
      <c r="P13" s="6">
        <f t="shared" si="9"/>
        <v>0</v>
      </c>
      <c r="Q13" s="6">
        <f t="shared" si="9"/>
        <v>0</v>
      </c>
      <c r="R13" s="6">
        <f t="shared" si="9"/>
        <v>0</v>
      </c>
      <c r="S13" s="6">
        <f t="shared" si="9"/>
        <v>0</v>
      </c>
      <c r="T13" s="6">
        <f t="shared" si="9"/>
        <v>1</v>
      </c>
      <c r="U13" s="6">
        <f t="shared" si="9"/>
        <v>1</v>
      </c>
      <c r="V13" s="6">
        <f t="shared" si="9"/>
        <v>1</v>
      </c>
      <c r="W13" s="6">
        <f t="shared" si="9"/>
        <v>1</v>
      </c>
      <c r="X13" s="6">
        <f t="shared" si="9"/>
        <v>1</v>
      </c>
      <c r="Y13" s="6">
        <f t="shared" si="9"/>
        <v>1</v>
      </c>
      <c r="Z13" s="6">
        <f t="shared" si="9"/>
        <v>1</v>
      </c>
      <c r="AA13" s="6">
        <f t="shared" si="9"/>
        <v>1</v>
      </c>
      <c r="AB13" s="6">
        <f t="shared" si="9"/>
        <v>1</v>
      </c>
      <c r="AC13" s="6">
        <f t="shared" si="9"/>
        <v>1</v>
      </c>
      <c r="AD13" s="6">
        <f t="shared" si="9"/>
        <v>1</v>
      </c>
      <c r="AE13" s="6">
        <f t="shared" si="9"/>
        <v>1</v>
      </c>
      <c r="AF13" s="6">
        <f t="shared" si="9"/>
        <v>1</v>
      </c>
      <c r="AG13" s="6">
        <f t="shared" si="9"/>
        <v>1</v>
      </c>
      <c r="AH13" s="6">
        <f t="shared" si="9"/>
        <v>1</v>
      </c>
      <c r="AI13" s="6">
        <f t="shared" si="9"/>
        <v>1</v>
      </c>
      <c r="AJ13" s="6">
        <f t="shared" si="9"/>
        <v>1</v>
      </c>
      <c r="AK13" s="6">
        <f t="shared" si="9"/>
        <v>1</v>
      </c>
      <c r="AL13" s="6">
        <f t="shared" si="9"/>
        <v>1</v>
      </c>
      <c r="AM13" s="6">
        <f t="shared" si="9"/>
        <v>1</v>
      </c>
      <c r="AN13" s="6">
        <f t="shared" si="9"/>
        <v>1</v>
      </c>
      <c r="AO13" s="6">
        <f t="shared" si="9"/>
        <v>1</v>
      </c>
      <c r="AP13" s="6">
        <f t="shared" si="9"/>
        <v>1</v>
      </c>
      <c r="AQ13" s="6">
        <f t="shared" si="9"/>
        <v>1</v>
      </c>
      <c r="AR13" s="6">
        <f t="shared" si="9"/>
        <v>1</v>
      </c>
      <c r="AS13" s="6">
        <f t="shared" si="9"/>
        <v>1</v>
      </c>
      <c r="AT13" s="6">
        <f t="shared" si="9"/>
        <v>1</v>
      </c>
      <c r="AU13" s="6">
        <f t="shared" si="9"/>
        <v>1</v>
      </c>
      <c r="AV13" s="6">
        <f t="shared" si="9"/>
        <v>1</v>
      </c>
      <c r="AW13" s="6">
        <f t="shared" si="9"/>
        <v>1</v>
      </c>
      <c r="AX13" s="6">
        <f t="shared" si="9"/>
        <v>0</v>
      </c>
    </row>
    <row r="14" spans="1:50" x14ac:dyDescent="0.35">
      <c r="A14" s="5"/>
      <c r="B14" s="5"/>
      <c r="C14" s="25"/>
      <c r="D14" s="25"/>
      <c r="E14" s="25"/>
      <c r="F14" s="2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x14ac:dyDescent="0.35">
      <c r="B15" s="3"/>
      <c r="C15" s="3"/>
      <c r="D15" s="3"/>
      <c r="E15" s="54" t="s">
        <v>116</v>
      </c>
      <c r="F15" s="3"/>
      <c r="X15" s="71"/>
      <c r="Y15" s="71"/>
      <c r="Z15" s="71"/>
      <c r="AA15" s="71"/>
      <c r="AD15" s="71"/>
      <c r="AE15" s="71"/>
      <c r="AF15" s="71"/>
      <c r="AG15" s="71"/>
    </row>
    <row r="16" spans="1:50" x14ac:dyDescent="0.35">
      <c r="B16" s="54"/>
      <c r="C16" s="54"/>
      <c r="D16" s="54"/>
      <c r="E16" s="5" t="s">
        <v>113</v>
      </c>
      <c r="F16" s="54"/>
      <c r="G16" s="44" t="s">
        <v>24</v>
      </c>
      <c r="H16" s="45" t="s">
        <v>25</v>
      </c>
      <c r="I16" s="45" t="s">
        <v>26</v>
      </c>
      <c r="J16" s="45" t="s">
        <v>27</v>
      </c>
      <c r="K16" s="45" t="s">
        <v>27</v>
      </c>
      <c r="L16" s="45" t="s">
        <v>28</v>
      </c>
      <c r="M16" s="45" t="s">
        <v>29</v>
      </c>
      <c r="N16" s="46" t="s">
        <v>31</v>
      </c>
      <c r="O16" s="46" t="s">
        <v>31</v>
      </c>
      <c r="P16" s="46" t="s">
        <v>31</v>
      </c>
      <c r="Q16" s="46" t="s">
        <v>31</v>
      </c>
      <c r="R16" s="46" t="s">
        <v>31</v>
      </c>
      <c r="S16" s="46" t="s">
        <v>32</v>
      </c>
      <c r="T16" s="47" t="s">
        <v>33</v>
      </c>
      <c r="U16" s="47" t="s">
        <v>34</v>
      </c>
      <c r="V16" s="47" t="s">
        <v>35</v>
      </c>
      <c r="W16" s="47" t="s">
        <v>36</v>
      </c>
      <c r="X16" s="47" t="s">
        <v>36</v>
      </c>
      <c r="Y16" s="47" t="s">
        <v>36</v>
      </c>
      <c r="Z16" s="48" t="s">
        <v>37</v>
      </c>
      <c r="AA16" s="74"/>
      <c r="AB16" s="2"/>
      <c r="AC16" s="2"/>
      <c r="AD16" s="74"/>
      <c r="AE16" s="74"/>
      <c r="AF16" s="74"/>
      <c r="AG16" s="74"/>
      <c r="AH16" s="2"/>
      <c r="AI16" s="2"/>
      <c r="AJ16" s="2"/>
      <c r="AK16" s="2"/>
      <c r="AL16" s="2"/>
    </row>
    <row r="17" spans="2:38" hidden="1" x14ac:dyDescent="0.35">
      <c r="B17" s="5"/>
      <c r="C17" s="7"/>
      <c r="D17" s="7"/>
      <c r="E17" s="5" t="s">
        <v>1</v>
      </c>
      <c r="F17" s="7"/>
      <c r="G17" s="49">
        <f>ACT_FO</f>
        <v>0</v>
      </c>
      <c r="H17" s="43">
        <f>SND_FO</f>
        <v>1</v>
      </c>
      <c r="I17" s="43">
        <f>FTR_FO</f>
        <v>1</v>
      </c>
      <c r="J17" s="43">
        <f>SCN_FO</f>
        <v>1</v>
      </c>
      <c r="K17" s="43">
        <f>SCN_FO</f>
        <v>1</v>
      </c>
      <c r="L17" s="43">
        <f>GAP_FO</f>
        <v>1</v>
      </c>
      <c r="M17" s="43">
        <f>BKL_FO</f>
        <v>1</v>
      </c>
      <c r="N17" s="42">
        <f t="shared" ref="N17:R17" si="10">PDV_FO</f>
        <v>1</v>
      </c>
      <c r="O17" s="42">
        <f t="shared" si="10"/>
        <v>1</v>
      </c>
      <c r="P17" s="42">
        <f t="shared" si="10"/>
        <v>1</v>
      </c>
      <c r="Q17" s="42">
        <f t="shared" si="10"/>
        <v>1</v>
      </c>
      <c r="R17" s="42">
        <f t="shared" si="10"/>
        <v>1</v>
      </c>
      <c r="S17" s="42">
        <f>RLO_FO</f>
        <v>1</v>
      </c>
      <c r="T17" s="43">
        <f>ETL_FO</f>
        <v>1</v>
      </c>
      <c r="U17" s="43">
        <f>MDL_FO</f>
        <v>1</v>
      </c>
      <c r="V17" s="43">
        <f>DSH_FO</f>
        <v>1</v>
      </c>
      <c r="W17" s="43">
        <f>RPT_FO</f>
        <v>1</v>
      </c>
      <c r="X17" s="72">
        <f>RPT_FO</f>
        <v>1</v>
      </c>
      <c r="Y17" s="72">
        <f>RPT_FO</f>
        <v>1</v>
      </c>
      <c r="Z17" s="52">
        <f>DLV_FO</f>
        <v>0</v>
      </c>
      <c r="AA17" s="74"/>
      <c r="AB17" s="2"/>
      <c r="AC17" s="2"/>
      <c r="AD17" s="74"/>
      <c r="AE17" s="74"/>
      <c r="AF17" s="74"/>
      <c r="AG17" s="74"/>
      <c r="AH17" s="2"/>
      <c r="AI17" s="2"/>
      <c r="AJ17" s="2"/>
      <c r="AK17" s="2"/>
      <c r="AL17" s="2"/>
    </row>
    <row r="18" spans="2:38" hidden="1" x14ac:dyDescent="0.35">
      <c r="B18" s="5"/>
      <c r="C18" s="7"/>
      <c r="D18" s="7"/>
      <c r="E18" s="5" t="s">
        <v>48</v>
      </c>
      <c r="F18" s="7"/>
      <c r="G18" s="50">
        <f>ACT_BA</f>
        <v>0</v>
      </c>
      <c r="H18" s="43">
        <f>SND_BA</f>
        <v>1</v>
      </c>
      <c r="I18" s="43">
        <f>FTR_BA</f>
        <v>1</v>
      </c>
      <c r="J18" s="43">
        <f>SCN_BA</f>
        <v>1</v>
      </c>
      <c r="K18" s="43">
        <f>SCN_BA</f>
        <v>1</v>
      </c>
      <c r="L18" s="43">
        <f>GAP_BA</f>
        <v>1</v>
      </c>
      <c r="M18" s="43">
        <f>BKL_BA</f>
        <v>1</v>
      </c>
      <c r="N18" s="42">
        <f t="shared" ref="N18:R18" si="11">PDV_BA</f>
        <v>2</v>
      </c>
      <c r="O18" s="42">
        <f t="shared" si="11"/>
        <v>2</v>
      </c>
      <c r="P18" s="42">
        <f t="shared" si="11"/>
        <v>2</v>
      </c>
      <c r="Q18" s="42">
        <f t="shared" si="11"/>
        <v>2</v>
      </c>
      <c r="R18" s="42">
        <f t="shared" si="11"/>
        <v>2</v>
      </c>
      <c r="S18" s="42">
        <f>RLO_BA</f>
        <v>2</v>
      </c>
      <c r="T18" s="43">
        <f>ETL_BA</f>
        <v>0</v>
      </c>
      <c r="U18" s="43">
        <f>MDL_BA</f>
        <v>0</v>
      </c>
      <c r="V18" s="43">
        <f>DSH_BA</f>
        <v>0</v>
      </c>
      <c r="W18" s="43">
        <f>RPT_BA</f>
        <v>0</v>
      </c>
      <c r="X18" s="72">
        <f>RPT_BA</f>
        <v>0</v>
      </c>
      <c r="Y18" s="72">
        <f>RPT_BA</f>
        <v>0</v>
      </c>
      <c r="Z18" s="53">
        <f>DLV_BA</f>
        <v>0</v>
      </c>
      <c r="AA18" s="74"/>
      <c r="AB18" s="2"/>
      <c r="AC18" s="2"/>
      <c r="AD18" s="74"/>
      <c r="AE18" s="74"/>
      <c r="AF18" s="74"/>
      <c r="AG18" s="74"/>
      <c r="AH18" s="2"/>
      <c r="AI18" s="2"/>
      <c r="AJ18" s="2"/>
      <c r="AK18" s="2"/>
      <c r="AL18" s="2"/>
    </row>
    <row r="19" spans="2:38" hidden="1" x14ac:dyDescent="0.35">
      <c r="B19" s="5"/>
      <c r="C19" s="7"/>
      <c r="D19" s="7"/>
      <c r="E19" s="5" t="s">
        <v>19</v>
      </c>
      <c r="F19" s="7"/>
      <c r="G19" s="50">
        <f>ACT_SD</f>
        <v>0</v>
      </c>
      <c r="H19" s="42">
        <f>SND_SD</f>
        <v>0.125</v>
      </c>
      <c r="I19" s="42">
        <f>FTR_SD</f>
        <v>0.125</v>
      </c>
      <c r="J19" s="43">
        <f>SCN_SD</f>
        <v>0.125</v>
      </c>
      <c r="K19" s="43">
        <f>SCN_SD</f>
        <v>0.125</v>
      </c>
      <c r="L19" s="43">
        <f>GAP_SD</f>
        <v>0.125</v>
      </c>
      <c r="M19" s="43">
        <f>BKL_SD</f>
        <v>0.125</v>
      </c>
      <c r="N19" s="42">
        <f t="shared" ref="N19:R19" si="12">PDV_SD</f>
        <v>2.875</v>
      </c>
      <c r="O19" s="42">
        <f t="shared" si="12"/>
        <v>2.875</v>
      </c>
      <c r="P19" s="42">
        <f t="shared" si="12"/>
        <v>2.875</v>
      </c>
      <c r="Q19" s="42">
        <f t="shared" si="12"/>
        <v>2.875</v>
      </c>
      <c r="R19" s="42">
        <f t="shared" si="12"/>
        <v>2.875</v>
      </c>
      <c r="S19" s="42">
        <f>RLO_SD</f>
        <v>2.875</v>
      </c>
      <c r="T19" s="43">
        <f>ETL_SD</f>
        <v>0</v>
      </c>
      <c r="U19" s="43">
        <f>MDL_SD</f>
        <v>0</v>
      </c>
      <c r="V19" s="43">
        <f>DSH_SD</f>
        <v>0</v>
      </c>
      <c r="W19" s="43">
        <f>RPT_SD</f>
        <v>0</v>
      </c>
      <c r="X19" s="72">
        <f>RPT_SD</f>
        <v>0</v>
      </c>
      <c r="Y19" s="72">
        <f>RPT_SD</f>
        <v>0</v>
      </c>
      <c r="Z19" s="53">
        <f>DLV_SD</f>
        <v>0</v>
      </c>
      <c r="AA19" s="74"/>
      <c r="AB19" s="2"/>
      <c r="AC19" s="2"/>
      <c r="AD19" s="74"/>
      <c r="AE19" s="74"/>
      <c r="AF19" s="74"/>
      <c r="AG19" s="74"/>
      <c r="AH19" s="2"/>
      <c r="AI19" s="2"/>
      <c r="AJ19" s="2"/>
      <c r="AK19" s="2"/>
      <c r="AL19" s="2"/>
    </row>
    <row r="20" spans="2:38" hidden="1" x14ac:dyDescent="0.35">
      <c r="B20" s="5"/>
      <c r="C20" s="7"/>
      <c r="D20" s="7"/>
      <c r="E20" s="5" t="s">
        <v>20</v>
      </c>
      <c r="F20" s="7"/>
      <c r="G20" s="51">
        <f>ACT_DS</f>
        <v>0.5</v>
      </c>
      <c r="H20" s="43">
        <f>SND_DS</f>
        <v>0.125</v>
      </c>
      <c r="I20" s="43">
        <f>FTR_DS</f>
        <v>0.125</v>
      </c>
      <c r="J20" s="43">
        <f>SCN_DS</f>
        <v>0.125</v>
      </c>
      <c r="K20" s="43">
        <f>SCN_DS</f>
        <v>0.125</v>
      </c>
      <c r="L20" s="43">
        <f>GAP_DS</f>
        <v>0.125</v>
      </c>
      <c r="M20" s="43">
        <f>BKL_DS</f>
        <v>0.125</v>
      </c>
      <c r="N20" s="42">
        <f t="shared" ref="N20:R20" si="13">PDV_DS</f>
        <v>0.5</v>
      </c>
      <c r="O20" s="42">
        <f t="shared" si="13"/>
        <v>0.5</v>
      </c>
      <c r="P20" s="42">
        <f t="shared" si="13"/>
        <v>0.5</v>
      </c>
      <c r="Q20" s="42">
        <f t="shared" si="13"/>
        <v>0.5</v>
      </c>
      <c r="R20" s="42">
        <f t="shared" si="13"/>
        <v>0.5</v>
      </c>
      <c r="S20" s="42">
        <f>RLO_DS</f>
        <v>0.25</v>
      </c>
      <c r="T20" s="43">
        <f>ETL_DS</f>
        <v>0.25</v>
      </c>
      <c r="U20" s="43">
        <f>MDL_DS</f>
        <v>0</v>
      </c>
      <c r="V20" s="43">
        <f>DSH_DS</f>
        <v>0</v>
      </c>
      <c r="W20" s="43">
        <f>RPT_DS</f>
        <v>0</v>
      </c>
      <c r="X20" s="72">
        <f>RPT_DS</f>
        <v>0</v>
      </c>
      <c r="Y20" s="72">
        <f>RPT_DS</f>
        <v>0</v>
      </c>
      <c r="Z20" s="53">
        <f>DLV_DS</f>
        <v>0.5</v>
      </c>
      <c r="AA20" s="74"/>
      <c r="AB20" s="2"/>
      <c r="AC20" s="2"/>
      <c r="AD20" s="74"/>
      <c r="AE20" s="74"/>
      <c r="AF20" s="74"/>
      <c r="AG20" s="74"/>
      <c r="AH20" s="2"/>
      <c r="AI20" s="2"/>
      <c r="AJ20" s="2"/>
      <c r="AK20" s="2"/>
      <c r="AL20" s="2"/>
    </row>
    <row r="21" spans="2:38" hidden="1" x14ac:dyDescent="0.35">
      <c r="B21" s="5"/>
      <c r="C21" s="7"/>
      <c r="D21" s="7"/>
      <c r="E21" s="5" t="s">
        <v>21</v>
      </c>
      <c r="F21" s="7"/>
      <c r="G21" s="51">
        <f>ACT_SO</f>
        <v>0.5</v>
      </c>
      <c r="H21" s="43">
        <f>SND_SO</f>
        <v>0.125</v>
      </c>
      <c r="I21" s="43">
        <f>FTR_SO</f>
        <v>0.125</v>
      </c>
      <c r="J21" s="43">
        <f>SCN_SO</f>
        <v>0.125</v>
      </c>
      <c r="K21" s="43">
        <f>SCN_SO</f>
        <v>0.125</v>
      </c>
      <c r="L21" s="43">
        <f>GAP_SO</f>
        <v>0.125</v>
      </c>
      <c r="M21" s="43">
        <f>BKL_SO</f>
        <v>0.125</v>
      </c>
      <c r="N21" s="42">
        <f t="shared" ref="N21:R21" si="14">PDV_SO</f>
        <v>0.25</v>
      </c>
      <c r="O21" s="42">
        <f t="shared" si="14"/>
        <v>0.25</v>
      </c>
      <c r="P21" s="42">
        <f t="shared" si="14"/>
        <v>0.25</v>
      </c>
      <c r="Q21" s="42">
        <f t="shared" si="14"/>
        <v>0.25</v>
      </c>
      <c r="R21" s="42">
        <f t="shared" si="14"/>
        <v>0.25</v>
      </c>
      <c r="S21" s="42">
        <f>RLO_SO</f>
        <v>0.25</v>
      </c>
      <c r="T21" s="43">
        <f>ETL_SO</f>
        <v>0.25</v>
      </c>
      <c r="U21" s="43">
        <f>MDL_SO</f>
        <v>0</v>
      </c>
      <c r="V21" s="43">
        <f>DSH_SO</f>
        <v>0</v>
      </c>
      <c r="W21" s="43">
        <f>RPT_SO</f>
        <v>0</v>
      </c>
      <c r="X21" s="72">
        <f>RPT_SO</f>
        <v>0</v>
      </c>
      <c r="Y21" s="72">
        <f>RPT_SO</f>
        <v>0</v>
      </c>
      <c r="Z21" s="53">
        <f>DLV_SO</f>
        <v>0.5</v>
      </c>
      <c r="AA21" s="74"/>
      <c r="AB21" s="2"/>
      <c r="AC21" s="2"/>
      <c r="AD21" s="74"/>
      <c r="AE21" s="74"/>
      <c r="AF21" s="74"/>
      <c r="AG21" s="74"/>
      <c r="AH21" s="2"/>
      <c r="AI21" s="2"/>
      <c r="AJ21" s="2"/>
      <c r="AK21" s="2"/>
      <c r="AL21" s="2"/>
    </row>
    <row r="22" spans="2:38" hidden="1" x14ac:dyDescent="0.35">
      <c r="B22" s="5"/>
      <c r="C22" s="7"/>
      <c r="D22" s="7"/>
      <c r="E22" s="5" t="s">
        <v>22</v>
      </c>
      <c r="F22" s="7"/>
      <c r="G22" s="22">
        <f>ACT_BI</f>
        <v>0</v>
      </c>
      <c r="H22" s="7">
        <f>SND_BI</f>
        <v>0</v>
      </c>
      <c r="I22" s="7">
        <f>FTR_BI</f>
        <v>0</v>
      </c>
      <c r="J22" s="43">
        <f>SCN_BI</f>
        <v>0</v>
      </c>
      <c r="K22" s="43">
        <f>SCN_BI</f>
        <v>0</v>
      </c>
      <c r="L22" s="43">
        <f>GAP_BI</f>
        <v>0</v>
      </c>
      <c r="M22" s="43">
        <f>BKL_BI</f>
        <v>0</v>
      </c>
      <c r="N22" s="42">
        <f t="shared" ref="N22:R22" si="15">PDV_BI</f>
        <v>0</v>
      </c>
      <c r="O22" s="42">
        <f t="shared" si="15"/>
        <v>0</v>
      </c>
      <c r="P22" s="42">
        <f t="shared" si="15"/>
        <v>0</v>
      </c>
      <c r="Q22" s="42">
        <f t="shared" si="15"/>
        <v>0</v>
      </c>
      <c r="R22" s="42">
        <f t="shared" si="15"/>
        <v>0</v>
      </c>
      <c r="S22" s="42">
        <f>RLO_BI</f>
        <v>0</v>
      </c>
      <c r="T22" s="43">
        <f>ETL_BI</f>
        <v>1</v>
      </c>
      <c r="U22" s="43">
        <f>MDL_BI</f>
        <v>1</v>
      </c>
      <c r="V22" s="43">
        <f>DSH_BI</f>
        <v>1</v>
      </c>
      <c r="W22" s="43">
        <f>RPT_BI</f>
        <v>1</v>
      </c>
      <c r="X22" s="72">
        <f>RPT_BI</f>
        <v>1</v>
      </c>
      <c r="Y22" s="72">
        <f>RPT_BI</f>
        <v>1</v>
      </c>
      <c r="Z22" s="53">
        <f>DLV_BI</f>
        <v>0</v>
      </c>
      <c r="AA22" s="71"/>
      <c r="AD22" s="71"/>
      <c r="AE22" s="71"/>
      <c r="AF22" s="71"/>
      <c r="AG22" s="71"/>
    </row>
    <row r="23" spans="2:38" x14ac:dyDescent="0.35">
      <c r="C23" s="54"/>
      <c r="D23" s="54"/>
      <c r="E23" s="5" t="s">
        <v>49</v>
      </c>
      <c r="F23" s="54"/>
      <c r="M23" s="44" t="s">
        <v>24</v>
      </c>
      <c r="N23" s="45" t="s">
        <v>25</v>
      </c>
      <c r="O23" s="45" t="s">
        <v>26</v>
      </c>
      <c r="P23" s="45" t="s">
        <v>27</v>
      </c>
      <c r="Q23" s="45" t="s">
        <v>27</v>
      </c>
      <c r="R23" s="45" t="s">
        <v>28</v>
      </c>
      <c r="S23" s="45" t="s">
        <v>29</v>
      </c>
      <c r="T23" s="46" t="s">
        <v>31</v>
      </c>
      <c r="U23" s="46" t="s">
        <v>31</v>
      </c>
      <c r="V23" s="46" t="s">
        <v>31</v>
      </c>
      <c r="W23" s="46" t="s">
        <v>31</v>
      </c>
      <c r="X23" s="46" t="s">
        <v>31</v>
      </c>
      <c r="Y23" s="46" t="s">
        <v>32</v>
      </c>
      <c r="Z23" s="47" t="s">
        <v>33</v>
      </c>
      <c r="AA23" s="47" t="s">
        <v>34</v>
      </c>
      <c r="AB23" s="47" t="s">
        <v>35</v>
      </c>
      <c r="AC23" s="47" t="s">
        <v>36</v>
      </c>
      <c r="AD23" s="47" t="s">
        <v>36</v>
      </c>
      <c r="AE23" s="47" t="s">
        <v>36</v>
      </c>
      <c r="AF23" s="48" t="s">
        <v>37</v>
      </c>
      <c r="AG23" s="71"/>
    </row>
    <row r="24" spans="2:38" hidden="1" x14ac:dyDescent="0.35">
      <c r="B24" s="5"/>
      <c r="C24" s="7"/>
      <c r="D24" s="7"/>
      <c r="E24" s="5" t="s">
        <v>1</v>
      </c>
      <c r="F24" s="7"/>
      <c r="M24" s="49">
        <f>ACT_FO</f>
        <v>0</v>
      </c>
      <c r="N24" s="43">
        <f>SND_FO</f>
        <v>1</v>
      </c>
      <c r="O24" s="43">
        <f>FTR_FO</f>
        <v>1</v>
      </c>
      <c r="P24" s="43">
        <f>SCN_FO</f>
        <v>1</v>
      </c>
      <c r="Q24" s="43">
        <f>SCN_FO</f>
        <v>1</v>
      </c>
      <c r="R24" s="43">
        <f>GAP_FO</f>
        <v>1</v>
      </c>
      <c r="S24" s="43">
        <f>BKL_FO</f>
        <v>1</v>
      </c>
      <c r="T24" s="42">
        <f t="shared" ref="T24:X24" si="16">PDV_FO</f>
        <v>1</v>
      </c>
      <c r="U24" s="42">
        <f t="shared" si="16"/>
        <v>1</v>
      </c>
      <c r="V24" s="42">
        <f t="shared" si="16"/>
        <v>1</v>
      </c>
      <c r="W24" s="42">
        <f t="shared" si="16"/>
        <v>1</v>
      </c>
      <c r="X24" s="73">
        <f t="shared" si="16"/>
        <v>1</v>
      </c>
      <c r="Y24" s="73">
        <f>RLO_FO</f>
        <v>1</v>
      </c>
      <c r="Z24" s="72">
        <f>ETL_FO</f>
        <v>1</v>
      </c>
      <c r="AA24" s="72">
        <f>MDL_FO</f>
        <v>1</v>
      </c>
      <c r="AB24" s="43">
        <f>DSH_FO</f>
        <v>1</v>
      </c>
      <c r="AC24" s="43">
        <f>RPT_FO</f>
        <v>1</v>
      </c>
      <c r="AD24" s="72">
        <f>RPT_FO</f>
        <v>1</v>
      </c>
      <c r="AE24" s="72">
        <f>RPT_FO</f>
        <v>1</v>
      </c>
      <c r="AF24" s="52">
        <f>DLV_FO</f>
        <v>0</v>
      </c>
      <c r="AG24" s="71"/>
    </row>
    <row r="25" spans="2:38" hidden="1" x14ac:dyDescent="0.35">
      <c r="B25" s="5"/>
      <c r="C25" s="7"/>
      <c r="D25" s="7"/>
      <c r="E25" s="5" t="s">
        <v>48</v>
      </c>
      <c r="F25" s="7"/>
      <c r="M25" s="50">
        <f>ACT_BA</f>
        <v>0</v>
      </c>
      <c r="N25" s="43">
        <f>SND_BA</f>
        <v>1</v>
      </c>
      <c r="O25" s="43">
        <f>FTR_BA</f>
        <v>1</v>
      </c>
      <c r="P25" s="43">
        <f>SCN_BA</f>
        <v>1</v>
      </c>
      <c r="Q25" s="43">
        <f>SCN_BA</f>
        <v>1</v>
      </c>
      <c r="R25" s="43">
        <f>GAP_BA</f>
        <v>1</v>
      </c>
      <c r="S25" s="43">
        <f>BKL_BA</f>
        <v>1</v>
      </c>
      <c r="T25" s="42">
        <f t="shared" ref="T25:X25" si="17">PDV_BA</f>
        <v>2</v>
      </c>
      <c r="U25" s="42">
        <f t="shared" si="17"/>
        <v>2</v>
      </c>
      <c r="V25" s="42">
        <f t="shared" si="17"/>
        <v>2</v>
      </c>
      <c r="W25" s="42">
        <f t="shared" si="17"/>
        <v>2</v>
      </c>
      <c r="X25" s="73">
        <f t="shared" si="17"/>
        <v>2</v>
      </c>
      <c r="Y25" s="73">
        <f>RLO_BA</f>
        <v>2</v>
      </c>
      <c r="Z25" s="72">
        <f>ETL_BA</f>
        <v>0</v>
      </c>
      <c r="AA25" s="72">
        <f>MDL_BA</f>
        <v>0</v>
      </c>
      <c r="AB25" s="43">
        <f>DSH_BA</f>
        <v>0</v>
      </c>
      <c r="AC25" s="43">
        <f>RPT_BA</f>
        <v>0</v>
      </c>
      <c r="AD25" s="72">
        <f>RPT_BA</f>
        <v>0</v>
      </c>
      <c r="AE25" s="72">
        <f>RPT_BA</f>
        <v>0</v>
      </c>
      <c r="AF25" s="53">
        <f>DLV_BA</f>
        <v>0</v>
      </c>
      <c r="AG25" s="71"/>
    </row>
    <row r="26" spans="2:38" hidden="1" x14ac:dyDescent="0.35">
      <c r="B26" s="5"/>
      <c r="C26" s="7"/>
      <c r="D26" s="7"/>
      <c r="E26" s="5" t="s">
        <v>19</v>
      </c>
      <c r="F26" s="7"/>
      <c r="M26" s="50">
        <f>ACT_SD</f>
        <v>0</v>
      </c>
      <c r="N26" s="42">
        <f>SND_SD</f>
        <v>0.125</v>
      </c>
      <c r="O26" s="42">
        <f>FTR_SD</f>
        <v>0.125</v>
      </c>
      <c r="P26" s="43">
        <f>SCN_SD</f>
        <v>0.125</v>
      </c>
      <c r="Q26" s="43">
        <f>SCN_SD</f>
        <v>0.125</v>
      </c>
      <c r="R26" s="43">
        <f>GAP_SD</f>
        <v>0.125</v>
      </c>
      <c r="S26" s="43">
        <f>BKL_SD</f>
        <v>0.125</v>
      </c>
      <c r="T26" s="42">
        <f t="shared" ref="T26:X26" si="18">PDV_SD</f>
        <v>2.875</v>
      </c>
      <c r="U26" s="42">
        <f t="shared" si="18"/>
        <v>2.875</v>
      </c>
      <c r="V26" s="42">
        <f t="shared" si="18"/>
        <v>2.875</v>
      </c>
      <c r="W26" s="42">
        <f t="shared" si="18"/>
        <v>2.875</v>
      </c>
      <c r="X26" s="73">
        <f t="shared" si="18"/>
        <v>2.875</v>
      </c>
      <c r="Y26" s="73">
        <f>RLO_SD</f>
        <v>2.875</v>
      </c>
      <c r="Z26" s="72">
        <f>ETL_SD</f>
        <v>0</v>
      </c>
      <c r="AA26" s="72">
        <f>MDL_SD</f>
        <v>0</v>
      </c>
      <c r="AB26" s="43">
        <f>DSH_SD</f>
        <v>0</v>
      </c>
      <c r="AC26" s="43">
        <f>RPT_SD</f>
        <v>0</v>
      </c>
      <c r="AD26" s="72">
        <f>RPT_SD</f>
        <v>0</v>
      </c>
      <c r="AE26" s="72">
        <f>RPT_SD</f>
        <v>0</v>
      </c>
      <c r="AF26" s="53">
        <f>DLV_SD</f>
        <v>0</v>
      </c>
      <c r="AG26" s="71"/>
    </row>
    <row r="27" spans="2:38" hidden="1" x14ac:dyDescent="0.35">
      <c r="B27" s="5"/>
      <c r="C27" s="7"/>
      <c r="D27" s="7"/>
      <c r="E27" s="5" t="s">
        <v>20</v>
      </c>
      <c r="F27" s="7"/>
      <c r="M27" s="51">
        <f>ACT_DS</f>
        <v>0.5</v>
      </c>
      <c r="N27" s="43">
        <f>SND_DS</f>
        <v>0.125</v>
      </c>
      <c r="O27" s="43">
        <f>FTR_DS</f>
        <v>0.125</v>
      </c>
      <c r="P27" s="43">
        <f>SCN_DS</f>
        <v>0.125</v>
      </c>
      <c r="Q27" s="43">
        <f>SCN_DS</f>
        <v>0.125</v>
      </c>
      <c r="R27" s="43">
        <f>GAP_DS</f>
        <v>0.125</v>
      </c>
      <c r="S27" s="43">
        <f>BKL_DS</f>
        <v>0.125</v>
      </c>
      <c r="T27" s="42">
        <f t="shared" ref="T27:X27" si="19">PDV_DS</f>
        <v>0.5</v>
      </c>
      <c r="U27" s="42">
        <f t="shared" si="19"/>
        <v>0.5</v>
      </c>
      <c r="V27" s="42">
        <f t="shared" si="19"/>
        <v>0.5</v>
      </c>
      <c r="W27" s="42">
        <f t="shared" si="19"/>
        <v>0.5</v>
      </c>
      <c r="X27" s="73">
        <f t="shared" si="19"/>
        <v>0.5</v>
      </c>
      <c r="Y27" s="73">
        <f>RLO_DS</f>
        <v>0.25</v>
      </c>
      <c r="Z27" s="72">
        <f>ETL_DS</f>
        <v>0.25</v>
      </c>
      <c r="AA27" s="72">
        <f>MDL_DS</f>
        <v>0</v>
      </c>
      <c r="AB27" s="43">
        <f>DSH_DS</f>
        <v>0</v>
      </c>
      <c r="AC27" s="43">
        <f>RPT_DS</f>
        <v>0</v>
      </c>
      <c r="AD27" s="72">
        <f>RPT_DS</f>
        <v>0</v>
      </c>
      <c r="AE27" s="72">
        <f>RPT_DS</f>
        <v>0</v>
      </c>
      <c r="AF27" s="53">
        <f>DLV_DS</f>
        <v>0.5</v>
      </c>
      <c r="AG27" s="71"/>
    </row>
    <row r="28" spans="2:38" hidden="1" x14ac:dyDescent="0.35">
      <c r="B28" s="5"/>
      <c r="C28" s="7"/>
      <c r="D28" s="7"/>
      <c r="E28" s="5" t="s">
        <v>21</v>
      </c>
      <c r="F28" s="7"/>
      <c r="M28" s="51">
        <f>ACT_SO</f>
        <v>0.5</v>
      </c>
      <c r="N28" s="43">
        <f>SND_SO</f>
        <v>0.125</v>
      </c>
      <c r="O28" s="43">
        <f>FTR_SO</f>
        <v>0.125</v>
      </c>
      <c r="P28" s="43">
        <f>SCN_SO</f>
        <v>0.125</v>
      </c>
      <c r="Q28" s="43">
        <f>SCN_SO</f>
        <v>0.125</v>
      </c>
      <c r="R28" s="43">
        <f>GAP_SO</f>
        <v>0.125</v>
      </c>
      <c r="S28" s="43">
        <f>BKL_SO</f>
        <v>0.125</v>
      </c>
      <c r="T28" s="42">
        <f t="shared" ref="T28:X28" si="20">PDV_SO</f>
        <v>0.25</v>
      </c>
      <c r="U28" s="42">
        <f t="shared" si="20"/>
        <v>0.25</v>
      </c>
      <c r="V28" s="42">
        <f t="shared" si="20"/>
        <v>0.25</v>
      </c>
      <c r="W28" s="42">
        <f t="shared" si="20"/>
        <v>0.25</v>
      </c>
      <c r="X28" s="73">
        <f t="shared" si="20"/>
        <v>0.25</v>
      </c>
      <c r="Y28" s="73">
        <f>RLO_SO</f>
        <v>0.25</v>
      </c>
      <c r="Z28" s="72">
        <f>ETL_SO</f>
        <v>0.25</v>
      </c>
      <c r="AA28" s="72">
        <f>MDL_SO</f>
        <v>0</v>
      </c>
      <c r="AB28" s="43">
        <f>DSH_SO</f>
        <v>0</v>
      </c>
      <c r="AC28" s="43">
        <f>RPT_SO</f>
        <v>0</v>
      </c>
      <c r="AD28" s="72">
        <f>RPT_SO</f>
        <v>0</v>
      </c>
      <c r="AE28" s="72">
        <f>RPT_SO</f>
        <v>0</v>
      </c>
      <c r="AF28" s="53">
        <f>DLV_SO</f>
        <v>0.5</v>
      </c>
      <c r="AG28" s="71"/>
    </row>
    <row r="29" spans="2:38" hidden="1" x14ac:dyDescent="0.35">
      <c r="B29" s="5"/>
      <c r="C29" s="7"/>
      <c r="D29" s="7"/>
      <c r="E29" s="5" t="s">
        <v>22</v>
      </c>
      <c r="F29" s="7"/>
      <c r="M29" s="22">
        <f>ACT_BI</f>
        <v>0</v>
      </c>
      <c r="N29" s="7">
        <f>SND_BI</f>
        <v>0</v>
      </c>
      <c r="O29" s="7">
        <f>FTR_BI</f>
        <v>0</v>
      </c>
      <c r="P29" s="43">
        <f>SCN_BI</f>
        <v>0</v>
      </c>
      <c r="Q29" s="43">
        <f>SCN_BI</f>
        <v>0</v>
      </c>
      <c r="R29" s="43">
        <f>GAP_BI</f>
        <v>0</v>
      </c>
      <c r="S29" s="43">
        <f>BKL_BI</f>
        <v>0</v>
      </c>
      <c r="T29" s="42">
        <f t="shared" ref="T29:X29" si="21">PDV_BI</f>
        <v>0</v>
      </c>
      <c r="U29" s="42">
        <f t="shared" si="21"/>
        <v>0</v>
      </c>
      <c r="V29" s="42">
        <f t="shared" si="21"/>
        <v>0</v>
      </c>
      <c r="W29" s="42">
        <f t="shared" si="21"/>
        <v>0</v>
      </c>
      <c r="X29" s="73">
        <f t="shared" si="21"/>
        <v>0</v>
      </c>
      <c r="Y29" s="73">
        <f>RLO_BI</f>
        <v>0</v>
      </c>
      <c r="Z29" s="72">
        <f>ETL_BI</f>
        <v>1</v>
      </c>
      <c r="AA29" s="72">
        <f>MDL_BI</f>
        <v>1</v>
      </c>
      <c r="AB29" s="43">
        <f>DSH_BI</f>
        <v>1</v>
      </c>
      <c r="AC29" s="43">
        <f>RPT_BI</f>
        <v>1</v>
      </c>
      <c r="AD29" s="72">
        <f>RPT_BI</f>
        <v>1</v>
      </c>
      <c r="AE29" s="72">
        <f>RPT_BI</f>
        <v>1</v>
      </c>
      <c r="AF29" s="53">
        <f>DLV_BI</f>
        <v>0</v>
      </c>
      <c r="AG29" s="71"/>
    </row>
    <row r="30" spans="2:38" x14ac:dyDescent="0.35">
      <c r="B30" s="54"/>
      <c r="C30" s="54"/>
      <c r="D30" s="54"/>
      <c r="E30" s="5" t="s">
        <v>50</v>
      </c>
      <c r="F30" s="54"/>
      <c r="S30" s="44" t="s">
        <v>24</v>
      </c>
      <c r="T30" s="45" t="s">
        <v>25</v>
      </c>
      <c r="U30" s="45" t="s">
        <v>26</v>
      </c>
      <c r="V30" s="45" t="s">
        <v>27</v>
      </c>
      <c r="W30" s="45" t="s">
        <v>27</v>
      </c>
      <c r="X30" s="45" t="s">
        <v>28</v>
      </c>
      <c r="Y30" s="45" t="s">
        <v>29</v>
      </c>
      <c r="Z30" s="46" t="s">
        <v>31</v>
      </c>
      <c r="AA30" s="46" t="s">
        <v>31</v>
      </c>
      <c r="AB30" s="46" t="s">
        <v>31</v>
      </c>
      <c r="AC30" s="46" t="s">
        <v>31</v>
      </c>
      <c r="AD30" s="46" t="s">
        <v>31</v>
      </c>
      <c r="AE30" s="46" t="s">
        <v>32</v>
      </c>
      <c r="AF30" s="47" t="s">
        <v>33</v>
      </c>
      <c r="AG30" s="47" t="s">
        <v>34</v>
      </c>
      <c r="AH30" s="47" t="s">
        <v>35</v>
      </c>
      <c r="AI30" s="47" t="s">
        <v>36</v>
      </c>
      <c r="AJ30" s="47" t="s">
        <v>36</v>
      </c>
      <c r="AK30" s="47" t="s">
        <v>36</v>
      </c>
      <c r="AL30" s="48" t="s">
        <v>37</v>
      </c>
    </row>
    <row r="31" spans="2:38" hidden="1" x14ac:dyDescent="0.35">
      <c r="B31" s="5"/>
      <c r="C31" s="7"/>
      <c r="D31" s="7"/>
      <c r="E31" s="5" t="s">
        <v>1</v>
      </c>
      <c r="F31" s="7"/>
      <c r="S31" s="49">
        <f>ACT_FO</f>
        <v>0</v>
      </c>
      <c r="T31" s="43">
        <f>SND_FO</f>
        <v>1</v>
      </c>
      <c r="U31" s="43">
        <f>FTR_FO</f>
        <v>1</v>
      </c>
      <c r="V31" s="43">
        <f>SCN_FO</f>
        <v>1</v>
      </c>
      <c r="W31" s="43">
        <f>SCN_FO</f>
        <v>1</v>
      </c>
      <c r="X31" s="72">
        <f>GAP_FO</f>
        <v>1</v>
      </c>
      <c r="Y31" s="72">
        <f>BKL_FO</f>
        <v>1</v>
      </c>
      <c r="Z31" s="73">
        <f t="shared" ref="Z31:AD31" si="22">PDV_FO</f>
        <v>1</v>
      </c>
      <c r="AA31" s="73">
        <f t="shared" si="22"/>
        <v>1</v>
      </c>
      <c r="AB31" s="42">
        <f t="shared" si="22"/>
        <v>1</v>
      </c>
      <c r="AC31" s="42">
        <f t="shared" si="22"/>
        <v>1</v>
      </c>
      <c r="AD31" s="73">
        <f t="shared" si="22"/>
        <v>1</v>
      </c>
      <c r="AE31" s="73">
        <f>RLO_FO</f>
        <v>1</v>
      </c>
      <c r="AF31" s="72">
        <f>ETL_FO</f>
        <v>1</v>
      </c>
      <c r="AG31" s="72">
        <f>MDL_FO</f>
        <v>1</v>
      </c>
      <c r="AH31" s="43">
        <f>DSH_FO</f>
        <v>1</v>
      </c>
      <c r="AI31" s="43">
        <f>RPT_FO</f>
        <v>1</v>
      </c>
      <c r="AJ31" s="43">
        <f>RPT_FO</f>
        <v>1</v>
      </c>
      <c r="AK31" s="43">
        <f>RPT_FO</f>
        <v>1</v>
      </c>
      <c r="AL31" s="52">
        <f>DLV_FO</f>
        <v>0</v>
      </c>
    </row>
    <row r="32" spans="2:38" hidden="1" x14ac:dyDescent="0.35">
      <c r="B32" s="5"/>
      <c r="C32" s="7"/>
      <c r="D32" s="7"/>
      <c r="E32" s="5" t="s">
        <v>48</v>
      </c>
      <c r="F32" s="7"/>
      <c r="S32" s="50">
        <f>ACT_BA</f>
        <v>0</v>
      </c>
      <c r="T32" s="43">
        <f>SND_BA</f>
        <v>1</v>
      </c>
      <c r="U32" s="43">
        <f>FTR_BA</f>
        <v>1</v>
      </c>
      <c r="V32" s="43">
        <f>SCN_BA</f>
        <v>1</v>
      </c>
      <c r="W32" s="43">
        <f>SCN_BA</f>
        <v>1</v>
      </c>
      <c r="X32" s="72">
        <f>GAP_BA</f>
        <v>1</v>
      </c>
      <c r="Y32" s="72">
        <f>BKL_BA</f>
        <v>1</v>
      </c>
      <c r="Z32" s="73">
        <f t="shared" ref="Z32:AD32" si="23">PDV_BA</f>
        <v>2</v>
      </c>
      <c r="AA32" s="73">
        <f t="shared" si="23"/>
        <v>2</v>
      </c>
      <c r="AB32" s="42">
        <f t="shared" si="23"/>
        <v>2</v>
      </c>
      <c r="AC32" s="42">
        <f t="shared" si="23"/>
        <v>2</v>
      </c>
      <c r="AD32" s="73">
        <f t="shared" si="23"/>
        <v>2</v>
      </c>
      <c r="AE32" s="73">
        <f>RLO_BA</f>
        <v>2</v>
      </c>
      <c r="AF32" s="72">
        <f>ETL_BA</f>
        <v>0</v>
      </c>
      <c r="AG32" s="72">
        <f>MDL_BA</f>
        <v>0</v>
      </c>
      <c r="AH32" s="43">
        <f>DSH_BA</f>
        <v>0</v>
      </c>
      <c r="AI32" s="43">
        <f>RPT_BA</f>
        <v>0</v>
      </c>
      <c r="AJ32" s="43">
        <f>RPT_BA</f>
        <v>0</v>
      </c>
      <c r="AK32" s="43">
        <f>RPT_BA</f>
        <v>0</v>
      </c>
      <c r="AL32" s="53">
        <f>DLV_BA</f>
        <v>0</v>
      </c>
    </row>
    <row r="33" spans="1:50" hidden="1" x14ac:dyDescent="0.35">
      <c r="B33" s="5"/>
      <c r="C33" s="7"/>
      <c r="D33" s="7"/>
      <c r="E33" s="5" t="s">
        <v>19</v>
      </c>
      <c r="F33" s="7"/>
      <c r="S33" s="50">
        <f>ACT_SD</f>
        <v>0</v>
      </c>
      <c r="T33" s="42">
        <f>SND_SD</f>
        <v>0.125</v>
      </c>
      <c r="U33" s="42">
        <f>FTR_SD</f>
        <v>0.125</v>
      </c>
      <c r="V33" s="43">
        <f>SCN_SD</f>
        <v>0.125</v>
      </c>
      <c r="W33" s="43">
        <f>SCN_SD</f>
        <v>0.125</v>
      </c>
      <c r="X33" s="72">
        <f>GAP_SD</f>
        <v>0.125</v>
      </c>
      <c r="Y33" s="72">
        <f>BKL_SD</f>
        <v>0.125</v>
      </c>
      <c r="Z33" s="73">
        <f t="shared" ref="Z33:AD33" si="24">PDV_SD</f>
        <v>2.875</v>
      </c>
      <c r="AA33" s="73">
        <f t="shared" si="24"/>
        <v>2.875</v>
      </c>
      <c r="AB33" s="42">
        <f t="shared" si="24"/>
        <v>2.875</v>
      </c>
      <c r="AC33" s="42">
        <f t="shared" si="24"/>
        <v>2.875</v>
      </c>
      <c r="AD33" s="73">
        <f t="shared" si="24"/>
        <v>2.875</v>
      </c>
      <c r="AE33" s="73">
        <f>RLO_SD</f>
        <v>2.875</v>
      </c>
      <c r="AF33" s="72">
        <f>ETL_SD</f>
        <v>0</v>
      </c>
      <c r="AG33" s="72">
        <f>MDL_SD</f>
        <v>0</v>
      </c>
      <c r="AH33" s="43">
        <f>DSH_SD</f>
        <v>0</v>
      </c>
      <c r="AI33" s="43">
        <f>RPT_SD</f>
        <v>0</v>
      </c>
      <c r="AJ33" s="43">
        <f>RPT_SD</f>
        <v>0</v>
      </c>
      <c r="AK33" s="43">
        <f>RPT_SD</f>
        <v>0</v>
      </c>
      <c r="AL33" s="53">
        <f>DLV_SD</f>
        <v>0</v>
      </c>
    </row>
    <row r="34" spans="1:50" hidden="1" x14ac:dyDescent="0.35">
      <c r="B34" s="5"/>
      <c r="C34" s="7"/>
      <c r="D34" s="7"/>
      <c r="E34" s="5" t="s">
        <v>20</v>
      </c>
      <c r="F34" s="7"/>
      <c r="S34" s="51">
        <f>ACT_DS</f>
        <v>0.5</v>
      </c>
      <c r="T34" s="43">
        <f>SND_DS</f>
        <v>0.125</v>
      </c>
      <c r="U34" s="43">
        <f>FTR_DS</f>
        <v>0.125</v>
      </c>
      <c r="V34" s="43">
        <f>SCN_DS</f>
        <v>0.125</v>
      </c>
      <c r="W34" s="43">
        <f>SCN_DS</f>
        <v>0.125</v>
      </c>
      <c r="X34" s="72">
        <f>GAP_DS</f>
        <v>0.125</v>
      </c>
      <c r="Y34" s="72">
        <f>BKL_DS</f>
        <v>0.125</v>
      </c>
      <c r="Z34" s="73">
        <f t="shared" ref="Z34:AD34" si="25">PDV_DS</f>
        <v>0.5</v>
      </c>
      <c r="AA34" s="73">
        <f t="shared" si="25"/>
        <v>0.5</v>
      </c>
      <c r="AB34" s="42">
        <f t="shared" si="25"/>
        <v>0.5</v>
      </c>
      <c r="AC34" s="42">
        <f t="shared" si="25"/>
        <v>0.5</v>
      </c>
      <c r="AD34" s="73">
        <f t="shared" si="25"/>
        <v>0.5</v>
      </c>
      <c r="AE34" s="73">
        <f>RLO_DS</f>
        <v>0.25</v>
      </c>
      <c r="AF34" s="72">
        <f>ETL_DS</f>
        <v>0.25</v>
      </c>
      <c r="AG34" s="72">
        <f>MDL_DS</f>
        <v>0</v>
      </c>
      <c r="AH34" s="43">
        <f>DSH_DS</f>
        <v>0</v>
      </c>
      <c r="AI34" s="43">
        <f>RPT_DS</f>
        <v>0</v>
      </c>
      <c r="AJ34" s="43">
        <f>RPT_DS</f>
        <v>0</v>
      </c>
      <c r="AK34" s="43">
        <f>RPT_DS</f>
        <v>0</v>
      </c>
      <c r="AL34" s="53">
        <f>DLV_DS</f>
        <v>0.5</v>
      </c>
    </row>
    <row r="35" spans="1:50" hidden="1" x14ac:dyDescent="0.35">
      <c r="B35" s="5"/>
      <c r="C35" s="7"/>
      <c r="D35" s="7"/>
      <c r="E35" s="5" t="s">
        <v>21</v>
      </c>
      <c r="F35" s="7"/>
      <c r="S35" s="51">
        <f>ACT_SO</f>
        <v>0.5</v>
      </c>
      <c r="T35" s="43">
        <f>SND_SO</f>
        <v>0.125</v>
      </c>
      <c r="U35" s="43">
        <f>FTR_SO</f>
        <v>0.125</v>
      </c>
      <c r="V35" s="43">
        <f>SCN_SO</f>
        <v>0.125</v>
      </c>
      <c r="W35" s="43">
        <f>SCN_SO</f>
        <v>0.125</v>
      </c>
      <c r="X35" s="72">
        <f>GAP_SO</f>
        <v>0.125</v>
      </c>
      <c r="Y35" s="72">
        <f>BKL_SO</f>
        <v>0.125</v>
      </c>
      <c r="Z35" s="73">
        <f t="shared" ref="Z35:AD35" si="26">PDV_SO</f>
        <v>0.25</v>
      </c>
      <c r="AA35" s="73">
        <f t="shared" si="26"/>
        <v>0.25</v>
      </c>
      <c r="AB35" s="42">
        <f t="shared" si="26"/>
        <v>0.25</v>
      </c>
      <c r="AC35" s="42">
        <f t="shared" si="26"/>
        <v>0.25</v>
      </c>
      <c r="AD35" s="73">
        <f t="shared" si="26"/>
        <v>0.25</v>
      </c>
      <c r="AE35" s="73">
        <f>RLO_SO</f>
        <v>0.25</v>
      </c>
      <c r="AF35" s="72">
        <f>ETL_SO</f>
        <v>0.25</v>
      </c>
      <c r="AG35" s="72">
        <f>MDL_SO</f>
        <v>0</v>
      </c>
      <c r="AH35" s="43">
        <f>DSH_SO</f>
        <v>0</v>
      </c>
      <c r="AI35" s="43">
        <f>RPT_SO</f>
        <v>0</v>
      </c>
      <c r="AJ35" s="43">
        <f>RPT_SO</f>
        <v>0</v>
      </c>
      <c r="AK35" s="43">
        <f>RPT_SO</f>
        <v>0</v>
      </c>
      <c r="AL35" s="53">
        <f>DLV_SO</f>
        <v>0.5</v>
      </c>
    </row>
    <row r="36" spans="1:50" hidden="1" x14ac:dyDescent="0.35">
      <c r="B36" s="5"/>
      <c r="C36" s="7"/>
      <c r="D36" s="7"/>
      <c r="E36" s="5" t="s">
        <v>22</v>
      </c>
      <c r="F36" s="7"/>
      <c r="S36" s="22">
        <f>ACT_BI</f>
        <v>0</v>
      </c>
      <c r="T36" s="7">
        <f>SND_BI</f>
        <v>0</v>
      </c>
      <c r="U36" s="7">
        <f>FTR_BI</f>
        <v>0</v>
      </c>
      <c r="V36" s="43">
        <f>SCN_BI</f>
        <v>0</v>
      </c>
      <c r="W36" s="43">
        <f>SCN_BI</f>
        <v>0</v>
      </c>
      <c r="X36" s="72">
        <f>GAP_BI</f>
        <v>0</v>
      </c>
      <c r="Y36" s="72">
        <f>BKL_BI</f>
        <v>0</v>
      </c>
      <c r="Z36" s="73">
        <f t="shared" ref="Z36:AD36" si="27">PDV_BI</f>
        <v>0</v>
      </c>
      <c r="AA36" s="73">
        <f t="shared" si="27"/>
        <v>0</v>
      </c>
      <c r="AB36" s="42">
        <f t="shared" si="27"/>
        <v>0</v>
      </c>
      <c r="AC36" s="42">
        <f t="shared" si="27"/>
        <v>0</v>
      </c>
      <c r="AD36" s="73">
        <f t="shared" si="27"/>
        <v>0</v>
      </c>
      <c r="AE36" s="73">
        <f>RLO_BI</f>
        <v>0</v>
      </c>
      <c r="AF36" s="72">
        <f>ETL_BI</f>
        <v>1</v>
      </c>
      <c r="AG36" s="72">
        <f>MDL_BI</f>
        <v>1</v>
      </c>
      <c r="AH36" s="43">
        <f>DSH_BI</f>
        <v>1</v>
      </c>
      <c r="AI36" s="43">
        <f>RPT_BI</f>
        <v>1</v>
      </c>
      <c r="AJ36" s="43">
        <f>RPT_BI</f>
        <v>1</v>
      </c>
      <c r="AK36" s="43">
        <f>RPT_BI</f>
        <v>1</v>
      </c>
      <c r="AL36" s="53">
        <f>DLV_BI</f>
        <v>0</v>
      </c>
    </row>
    <row r="37" spans="1:50" x14ac:dyDescent="0.35">
      <c r="C37" s="54"/>
      <c r="D37" s="54"/>
      <c r="E37" s="5" t="s">
        <v>51</v>
      </c>
      <c r="F37" s="54"/>
      <c r="X37" s="71"/>
      <c r="Y37" s="44" t="s">
        <v>24</v>
      </c>
      <c r="Z37" s="45" t="s">
        <v>25</v>
      </c>
      <c r="AA37" s="45" t="s">
        <v>26</v>
      </c>
      <c r="AB37" s="45" t="s">
        <v>27</v>
      </c>
      <c r="AC37" s="45" t="s">
        <v>27</v>
      </c>
      <c r="AD37" s="45" t="s">
        <v>28</v>
      </c>
      <c r="AE37" s="45" t="s">
        <v>29</v>
      </c>
      <c r="AF37" s="46" t="s">
        <v>31</v>
      </c>
      <c r="AG37" s="46" t="s">
        <v>31</v>
      </c>
      <c r="AH37" s="46" t="s">
        <v>31</v>
      </c>
      <c r="AI37" s="46" t="s">
        <v>31</v>
      </c>
      <c r="AJ37" s="46" t="s">
        <v>31</v>
      </c>
      <c r="AK37" s="46" t="s">
        <v>32</v>
      </c>
      <c r="AL37" s="47" t="s">
        <v>33</v>
      </c>
      <c r="AM37" s="47" t="s">
        <v>34</v>
      </c>
      <c r="AN37" s="47" t="s">
        <v>35</v>
      </c>
      <c r="AO37" s="47" t="s">
        <v>36</v>
      </c>
      <c r="AP37" s="47" t="s">
        <v>36</v>
      </c>
      <c r="AQ37" s="47" t="s">
        <v>36</v>
      </c>
      <c r="AR37" s="48" t="s">
        <v>37</v>
      </c>
    </row>
    <row r="38" spans="1:50" hidden="1" x14ac:dyDescent="0.35">
      <c r="B38" s="5"/>
      <c r="C38" s="7"/>
      <c r="D38" s="7"/>
      <c r="E38" s="5" t="s">
        <v>1</v>
      </c>
      <c r="F38" s="7"/>
      <c r="X38" s="71"/>
      <c r="Y38" s="49">
        <f>ACT_FO</f>
        <v>0</v>
      </c>
      <c r="Z38" s="72">
        <f>SND_FO</f>
        <v>1</v>
      </c>
      <c r="AA38" s="72">
        <f>FTR_FO</f>
        <v>1</v>
      </c>
      <c r="AB38" s="43">
        <f>SCN_FO</f>
        <v>1</v>
      </c>
      <c r="AC38" s="43">
        <f>SCN_FO</f>
        <v>1</v>
      </c>
      <c r="AD38" s="72">
        <f>GAP_FO</f>
        <v>1</v>
      </c>
      <c r="AE38" s="72">
        <f>BKL_FO</f>
        <v>1</v>
      </c>
      <c r="AF38" s="73">
        <f t="shared" ref="AF38:AJ38" si="28">PDV_FO</f>
        <v>1</v>
      </c>
      <c r="AG38" s="73">
        <f t="shared" si="28"/>
        <v>1</v>
      </c>
      <c r="AH38" s="42">
        <f t="shared" si="28"/>
        <v>1</v>
      </c>
      <c r="AI38" s="42">
        <f t="shared" si="28"/>
        <v>1</v>
      </c>
      <c r="AJ38" s="42">
        <f t="shared" si="28"/>
        <v>1</v>
      </c>
      <c r="AK38" s="42">
        <f>RLO_FO</f>
        <v>1</v>
      </c>
      <c r="AL38" s="43">
        <f>ETL_FO</f>
        <v>1</v>
      </c>
      <c r="AM38" s="43">
        <f>MDL_FO</f>
        <v>1</v>
      </c>
      <c r="AN38" s="43">
        <f>DSH_FO</f>
        <v>1</v>
      </c>
      <c r="AO38" s="43">
        <f>RPT_FO</f>
        <v>1</v>
      </c>
      <c r="AP38" s="43">
        <f>RPT_FO</f>
        <v>1</v>
      </c>
      <c r="AQ38" s="43">
        <f>RPT_FO</f>
        <v>1</v>
      </c>
      <c r="AR38" s="52">
        <f>DLV_FO</f>
        <v>0</v>
      </c>
    </row>
    <row r="39" spans="1:50" hidden="1" x14ac:dyDescent="0.35">
      <c r="B39" s="5"/>
      <c r="C39" s="7"/>
      <c r="D39" s="7"/>
      <c r="E39" s="5" t="s">
        <v>48</v>
      </c>
      <c r="F39" s="7"/>
      <c r="X39" s="71"/>
      <c r="Y39" s="50">
        <f>ACT_BA</f>
        <v>0</v>
      </c>
      <c r="Z39" s="72">
        <f>SND_BA</f>
        <v>1</v>
      </c>
      <c r="AA39" s="72">
        <f>FTR_BA</f>
        <v>1</v>
      </c>
      <c r="AB39" s="43">
        <f>SCN_BA</f>
        <v>1</v>
      </c>
      <c r="AC39" s="43">
        <f>SCN_BA</f>
        <v>1</v>
      </c>
      <c r="AD39" s="72">
        <f>GAP_BA</f>
        <v>1</v>
      </c>
      <c r="AE39" s="72">
        <f>BKL_BA</f>
        <v>1</v>
      </c>
      <c r="AF39" s="73">
        <f t="shared" ref="AF39:AJ39" si="29">PDV_BA</f>
        <v>2</v>
      </c>
      <c r="AG39" s="73">
        <f t="shared" si="29"/>
        <v>2</v>
      </c>
      <c r="AH39" s="42">
        <f t="shared" si="29"/>
        <v>2</v>
      </c>
      <c r="AI39" s="42">
        <f t="shared" si="29"/>
        <v>2</v>
      </c>
      <c r="AJ39" s="42">
        <f t="shared" si="29"/>
        <v>2</v>
      </c>
      <c r="AK39" s="42">
        <f>RLO_BA</f>
        <v>2</v>
      </c>
      <c r="AL39" s="43">
        <f>ETL_BA</f>
        <v>0</v>
      </c>
      <c r="AM39" s="43">
        <f>MDL_BA</f>
        <v>0</v>
      </c>
      <c r="AN39" s="43">
        <f>DSH_BA</f>
        <v>0</v>
      </c>
      <c r="AO39" s="43">
        <f>RPT_BA</f>
        <v>0</v>
      </c>
      <c r="AP39" s="43">
        <f>RPT_BA</f>
        <v>0</v>
      </c>
      <c r="AQ39" s="43">
        <f>RPT_BA</f>
        <v>0</v>
      </c>
      <c r="AR39" s="53">
        <f>DLV_BA</f>
        <v>0</v>
      </c>
    </row>
    <row r="40" spans="1:50" hidden="1" x14ac:dyDescent="0.35">
      <c r="B40" s="5"/>
      <c r="C40" s="7"/>
      <c r="D40" s="7"/>
      <c r="E40" s="5" t="s">
        <v>19</v>
      </c>
      <c r="F40" s="7"/>
      <c r="X40" s="71"/>
      <c r="Y40" s="50">
        <f>ACT_SD</f>
        <v>0</v>
      </c>
      <c r="Z40" s="73">
        <f>SND_SD</f>
        <v>0.125</v>
      </c>
      <c r="AA40" s="73">
        <f>FTR_SD</f>
        <v>0.125</v>
      </c>
      <c r="AB40" s="43">
        <f>SCN_SD</f>
        <v>0.125</v>
      </c>
      <c r="AC40" s="43">
        <f>SCN_SD</f>
        <v>0.125</v>
      </c>
      <c r="AD40" s="72">
        <f>GAP_SD</f>
        <v>0.125</v>
      </c>
      <c r="AE40" s="72">
        <f>BKL_SD</f>
        <v>0.125</v>
      </c>
      <c r="AF40" s="73">
        <f t="shared" ref="AF40:AJ40" si="30">PDV_SD</f>
        <v>2.875</v>
      </c>
      <c r="AG40" s="73">
        <f t="shared" si="30"/>
        <v>2.875</v>
      </c>
      <c r="AH40" s="42">
        <f t="shared" si="30"/>
        <v>2.875</v>
      </c>
      <c r="AI40" s="42">
        <f t="shared" si="30"/>
        <v>2.875</v>
      </c>
      <c r="AJ40" s="42">
        <f t="shared" si="30"/>
        <v>2.875</v>
      </c>
      <c r="AK40" s="42">
        <f>RLO_SD</f>
        <v>2.875</v>
      </c>
      <c r="AL40" s="43">
        <f>ETL_SD</f>
        <v>0</v>
      </c>
      <c r="AM40" s="43">
        <f>MDL_SD</f>
        <v>0</v>
      </c>
      <c r="AN40" s="43">
        <f>DSH_SD</f>
        <v>0</v>
      </c>
      <c r="AO40" s="43">
        <f>RPT_SD</f>
        <v>0</v>
      </c>
      <c r="AP40" s="43">
        <f>RPT_SD</f>
        <v>0</v>
      </c>
      <c r="AQ40" s="43">
        <f>RPT_SD</f>
        <v>0</v>
      </c>
      <c r="AR40" s="53">
        <f>DLV_SD</f>
        <v>0</v>
      </c>
    </row>
    <row r="41" spans="1:50" hidden="1" x14ac:dyDescent="0.35">
      <c r="B41" s="5"/>
      <c r="C41" s="7"/>
      <c r="D41" s="7"/>
      <c r="E41" s="5" t="s">
        <v>20</v>
      </c>
      <c r="F41" s="7"/>
      <c r="X41" s="71"/>
      <c r="Y41" s="51">
        <f>ACT_DS</f>
        <v>0.5</v>
      </c>
      <c r="Z41" s="72">
        <f>SND_DS</f>
        <v>0.125</v>
      </c>
      <c r="AA41" s="72">
        <f>FTR_DS</f>
        <v>0.125</v>
      </c>
      <c r="AB41" s="43">
        <f>SCN_DS</f>
        <v>0.125</v>
      </c>
      <c r="AC41" s="43">
        <f>SCN_DS</f>
        <v>0.125</v>
      </c>
      <c r="AD41" s="72">
        <f>GAP_DS</f>
        <v>0.125</v>
      </c>
      <c r="AE41" s="72">
        <f>BKL_DS</f>
        <v>0.125</v>
      </c>
      <c r="AF41" s="73">
        <f t="shared" ref="AF41:AJ41" si="31">PDV_DS</f>
        <v>0.5</v>
      </c>
      <c r="AG41" s="73">
        <f t="shared" si="31"/>
        <v>0.5</v>
      </c>
      <c r="AH41" s="42">
        <f t="shared" si="31"/>
        <v>0.5</v>
      </c>
      <c r="AI41" s="42">
        <f t="shared" si="31"/>
        <v>0.5</v>
      </c>
      <c r="AJ41" s="42">
        <f t="shared" si="31"/>
        <v>0.5</v>
      </c>
      <c r="AK41" s="42">
        <f>RLO_DS</f>
        <v>0.25</v>
      </c>
      <c r="AL41" s="43">
        <f>ETL_DS</f>
        <v>0.25</v>
      </c>
      <c r="AM41" s="43">
        <f>MDL_DS</f>
        <v>0</v>
      </c>
      <c r="AN41" s="43">
        <f>DSH_DS</f>
        <v>0</v>
      </c>
      <c r="AO41" s="43">
        <f>RPT_DS</f>
        <v>0</v>
      </c>
      <c r="AP41" s="43">
        <f>RPT_DS</f>
        <v>0</v>
      </c>
      <c r="AQ41" s="43">
        <f>RPT_DS</f>
        <v>0</v>
      </c>
      <c r="AR41" s="53">
        <f>DLV_DS</f>
        <v>0.5</v>
      </c>
    </row>
    <row r="42" spans="1:50" hidden="1" x14ac:dyDescent="0.35">
      <c r="B42" s="5"/>
      <c r="C42" s="7"/>
      <c r="D42" s="7"/>
      <c r="E42" s="5" t="s">
        <v>21</v>
      </c>
      <c r="F42" s="7"/>
      <c r="X42" s="71"/>
      <c r="Y42" s="51">
        <f>ACT_SO</f>
        <v>0.5</v>
      </c>
      <c r="Z42" s="72">
        <f>SND_SO</f>
        <v>0.125</v>
      </c>
      <c r="AA42" s="72">
        <f>FTR_SO</f>
        <v>0.125</v>
      </c>
      <c r="AB42" s="43">
        <f>SCN_SO</f>
        <v>0.125</v>
      </c>
      <c r="AC42" s="43">
        <f>SCN_SO</f>
        <v>0.125</v>
      </c>
      <c r="AD42" s="72">
        <f>GAP_SO</f>
        <v>0.125</v>
      </c>
      <c r="AE42" s="72">
        <f>BKL_SO</f>
        <v>0.125</v>
      </c>
      <c r="AF42" s="73">
        <f t="shared" ref="AF42:AJ42" si="32">PDV_SO</f>
        <v>0.25</v>
      </c>
      <c r="AG42" s="73">
        <f t="shared" si="32"/>
        <v>0.25</v>
      </c>
      <c r="AH42" s="42">
        <f t="shared" si="32"/>
        <v>0.25</v>
      </c>
      <c r="AI42" s="42">
        <f t="shared" si="32"/>
        <v>0.25</v>
      </c>
      <c r="AJ42" s="42">
        <f t="shared" si="32"/>
        <v>0.25</v>
      </c>
      <c r="AK42" s="42">
        <f>RLO_SO</f>
        <v>0.25</v>
      </c>
      <c r="AL42" s="43">
        <f>ETL_SO</f>
        <v>0.25</v>
      </c>
      <c r="AM42" s="43">
        <f>MDL_SO</f>
        <v>0</v>
      </c>
      <c r="AN42" s="43">
        <f>DSH_SO</f>
        <v>0</v>
      </c>
      <c r="AO42" s="43">
        <f>RPT_SO</f>
        <v>0</v>
      </c>
      <c r="AP42" s="43">
        <f>RPT_SO</f>
        <v>0</v>
      </c>
      <c r="AQ42" s="43">
        <f>RPT_SO</f>
        <v>0</v>
      </c>
      <c r="AR42" s="53">
        <f>DLV_SO</f>
        <v>0.5</v>
      </c>
    </row>
    <row r="43" spans="1:50" hidden="1" x14ac:dyDescent="0.35">
      <c r="B43" s="5"/>
      <c r="C43" s="7"/>
      <c r="D43" s="7"/>
      <c r="E43" s="5" t="s">
        <v>22</v>
      </c>
      <c r="F43" s="7"/>
      <c r="X43" s="71"/>
      <c r="Y43" s="22">
        <f>ACT_BI</f>
        <v>0</v>
      </c>
      <c r="Z43" s="25">
        <f>SND_BI</f>
        <v>0</v>
      </c>
      <c r="AA43" s="25">
        <f>FTR_BI</f>
        <v>0</v>
      </c>
      <c r="AB43" s="43">
        <f>SCN_BI</f>
        <v>0</v>
      </c>
      <c r="AC43" s="43">
        <f>SCN_BI</f>
        <v>0</v>
      </c>
      <c r="AD43" s="72">
        <f>GAP_BI</f>
        <v>0</v>
      </c>
      <c r="AE43" s="72">
        <f>BKL_BI</f>
        <v>0</v>
      </c>
      <c r="AF43" s="73">
        <f t="shared" ref="AF43:AJ43" si="33">PDV_BI</f>
        <v>0</v>
      </c>
      <c r="AG43" s="73">
        <f t="shared" si="33"/>
        <v>0</v>
      </c>
      <c r="AH43" s="42">
        <f t="shared" si="33"/>
        <v>0</v>
      </c>
      <c r="AI43" s="42">
        <f t="shared" si="33"/>
        <v>0</v>
      </c>
      <c r="AJ43" s="42">
        <f t="shared" si="33"/>
        <v>0</v>
      </c>
      <c r="AK43" s="42">
        <f>RLO_BI</f>
        <v>0</v>
      </c>
      <c r="AL43" s="43">
        <f>ETL_BI</f>
        <v>1</v>
      </c>
      <c r="AM43" s="43">
        <f>MDL_BI</f>
        <v>1</v>
      </c>
      <c r="AN43" s="43">
        <f>DSH_BI</f>
        <v>1</v>
      </c>
      <c r="AO43" s="43">
        <f>RPT_BI</f>
        <v>1</v>
      </c>
      <c r="AP43" s="43">
        <f>RPT_BI</f>
        <v>1</v>
      </c>
      <c r="AQ43" s="43">
        <f>RPT_BI</f>
        <v>1</v>
      </c>
      <c r="AR43" s="53">
        <f>DLV_BI</f>
        <v>0</v>
      </c>
    </row>
    <row r="44" spans="1:50" x14ac:dyDescent="0.35">
      <c r="B44" s="54"/>
      <c r="C44" s="54"/>
      <c r="D44" s="54"/>
      <c r="E44" s="5" t="s">
        <v>114</v>
      </c>
      <c r="F44" s="54"/>
      <c r="X44" s="71"/>
      <c r="Y44" s="71"/>
      <c r="Z44" s="71"/>
      <c r="AA44" s="71"/>
      <c r="AD44" s="71"/>
      <c r="AE44" s="44" t="s">
        <v>24</v>
      </c>
      <c r="AF44" s="45" t="s">
        <v>25</v>
      </c>
      <c r="AG44" s="45" t="s">
        <v>26</v>
      </c>
      <c r="AH44" s="45" t="s">
        <v>27</v>
      </c>
      <c r="AI44" s="45" t="s">
        <v>27</v>
      </c>
      <c r="AJ44" s="45" t="s">
        <v>28</v>
      </c>
      <c r="AK44" s="45" t="s">
        <v>29</v>
      </c>
      <c r="AL44" s="46" t="s">
        <v>31</v>
      </c>
      <c r="AM44" s="46" t="s">
        <v>31</v>
      </c>
      <c r="AN44" s="46" t="s">
        <v>31</v>
      </c>
      <c r="AO44" s="46" t="s">
        <v>31</v>
      </c>
      <c r="AP44" s="46" t="s">
        <v>31</v>
      </c>
      <c r="AQ44" s="46" t="s">
        <v>32</v>
      </c>
      <c r="AR44" s="47" t="s">
        <v>33</v>
      </c>
      <c r="AS44" s="47" t="s">
        <v>34</v>
      </c>
      <c r="AT44" s="47" t="s">
        <v>35</v>
      </c>
      <c r="AU44" s="47" t="s">
        <v>36</v>
      </c>
      <c r="AV44" s="47" t="s">
        <v>36</v>
      </c>
      <c r="AW44" s="47" t="s">
        <v>36</v>
      </c>
      <c r="AX44" s="48" t="s">
        <v>37</v>
      </c>
    </row>
    <row r="45" spans="1:50" hidden="1" x14ac:dyDescent="0.35">
      <c r="A45" s="5" t="s">
        <v>1</v>
      </c>
      <c r="B45" s="5"/>
      <c r="C45" s="7"/>
      <c r="D45" s="7"/>
      <c r="E45" s="7"/>
      <c r="F45" s="7"/>
      <c r="X45" s="71"/>
      <c r="Y45" s="71"/>
      <c r="Z45" s="71"/>
      <c r="AA45" s="71"/>
      <c r="AD45" s="71"/>
      <c r="AE45" s="49">
        <f>ACT_FO</f>
        <v>0</v>
      </c>
      <c r="AF45" s="72">
        <f>SND_FO</f>
        <v>1</v>
      </c>
      <c r="AG45" s="72">
        <f>FTR_FO</f>
        <v>1</v>
      </c>
      <c r="AH45" s="43">
        <f>SCN_FO</f>
        <v>1</v>
      </c>
      <c r="AI45" s="43">
        <f>SCN_FO</f>
        <v>1</v>
      </c>
      <c r="AJ45" s="43">
        <f>GAP_FO</f>
        <v>1</v>
      </c>
      <c r="AK45" s="43">
        <f>BKL_FO</f>
        <v>1</v>
      </c>
      <c r="AL45" s="42">
        <f t="shared" ref="AL45:AP45" si="34">PDV_FO</f>
        <v>1</v>
      </c>
      <c r="AM45" s="42">
        <f t="shared" si="34"/>
        <v>1</v>
      </c>
      <c r="AN45" s="42">
        <f t="shared" si="34"/>
        <v>1</v>
      </c>
      <c r="AO45" s="42">
        <f t="shared" si="34"/>
        <v>1</v>
      </c>
      <c r="AP45" s="42">
        <f t="shared" si="34"/>
        <v>1</v>
      </c>
      <c r="AQ45" s="42">
        <f>RLO_FO</f>
        <v>1</v>
      </c>
      <c r="AR45" s="43">
        <f>ETL_FO</f>
        <v>1</v>
      </c>
      <c r="AS45" s="43">
        <f>MDL_FO</f>
        <v>1</v>
      </c>
      <c r="AT45" s="43">
        <f>DSH_FO</f>
        <v>1</v>
      </c>
      <c r="AU45" s="43">
        <f>RPT_FO</f>
        <v>1</v>
      </c>
      <c r="AV45" s="43">
        <f>RPT_FO</f>
        <v>1</v>
      </c>
      <c r="AW45" s="43">
        <f>RPT_FO</f>
        <v>1</v>
      </c>
      <c r="AX45" s="52">
        <f>DLV_FO</f>
        <v>0</v>
      </c>
    </row>
    <row r="46" spans="1:50" hidden="1" x14ac:dyDescent="0.35">
      <c r="A46" s="5" t="s">
        <v>48</v>
      </c>
      <c r="B46" s="5"/>
      <c r="C46" s="7"/>
      <c r="D46" s="7"/>
      <c r="E46" s="7"/>
      <c r="F46" s="7"/>
      <c r="X46" s="71"/>
      <c r="Y46" s="71"/>
      <c r="Z46" s="71"/>
      <c r="AA46" s="71"/>
      <c r="AD46" s="71"/>
      <c r="AE46" s="50">
        <f>ACT_BA</f>
        <v>0</v>
      </c>
      <c r="AF46" s="72">
        <f>SND_BA</f>
        <v>1</v>
      </c>
      <c r="AG46" s="72">
        <f>FTR_BA</f>
        <v>1</v>
      </c>
      <c r="AH46" s="43">
        <f>SCN_BA</f>
        <v>1</v>
      </c>
      <c r="AI46" s="43">
        <f>SCN_BA</f>
        <v>1</v>
      </c>
      <c r="AJ46" s="43">
        <f>GAP_BA</f>
        <v>1</v>
      </c>
      <c r="AK46" s="43">
        <f>BKL_BA</f>
        <v>1</v>
      </c>
      <c r="AL46" s="42">
        <f t="shared" ref="AL46:AP46" si="35">PDV_BA</f>
        <v>2</v>
      </c>
      <c r="AM46" s="42">
        <f t="shared" si="35"/>
        <v>2</v>
      </c>
      <c r="AN46" s="42">
        <f t="shared" si="35"/>
        <v>2</v>
      </c>
      <c r="AO46" s="42">
        <f t="shared" si="35"/>
        <v>2</v>
      </c>
      <c r="AP46" s="42">
        <f t="shared" si="35"/>
        <v>2</v>
      </c>
      <c r="AQ46" s="42">
        <f>RLO_BA</f>
        <v>2</v>
      </c>
      <c r="AR46" s="43">
        <f>ETL_BA</f>
        <v>0</v>
      </c>
      <c r="AS46" s="43">
        <f>MDL_BA</f>
        <v>0</v>
      </c>
      <c r="AT46" s="43">
        <f>DSH_BA</f>
        <v>0</v>
      </c>
      <c r="AU46" s="43">
        <f>RPT_BA</f>
        <v>0</v>
      </c>
      <c r="AV46" s="43">
        <f>RPT_BA</f>
        <v>0</v>
      </c>
      <c r="AW46" s="43">
        <f>RPT_BA</f>
        <v>0</v>
      </c>
      <c r="AX46" s="53">
        <f>DLV_BA</f>
        <v>0</v>
      </c>
    </row>
    <row r="47" spans="1:50" hidden="1" x14ac:dyDescent="0.35">
      <c r="A47" s="5" t="s">
        <v>19</v>
      </c>
      <c r="B47" s="5"/>
      <c r="C47" s="7"/>
      <c r="D47" s="7"/>
      <c r="E47" s="7"/>
      <c r="F47" s="7"/>
      <c r="X47" s="71"/>
      <c r="Y47" s="71"/>
      <c r="Z47" s="71"/>
      <c r="AA47" s="71"/>
      <c r="AD47" s="71"/>
      <c r="AE47" s="50">
        <f>ACT_SD</f>
        <v>0</v>
      </c>
      <c r="AF47" s="73">
        <f>SND_SD</f>
        <v>0.125</v>
      </c>
      <c r="AG47" s="73">
        <f>FTR_SD</f>
        <v>0.125</v>
      </c>
      <c r="AH47" s="43">
        <f>SCN_SD</f>
        <v>0.125</v>
      </c>
      <c r="AI47" s="43">
        <f>SCN_SD</f>
        <v>0.125</v>
      </c>
      <c r="AJ47" s="43">
        <f>GAP_SD</f>
        <v>0.125</v>
      </c>
      <c r="AK47" s="43">
        <f>BKL_SD</f>
        <v>0.125</v>
      </c>
      <c r="AL47" s="42">
        <f t="shared" ref="AL47:AP47" si="36">PDV_SD</f>
        <v>2.875</v>
      </c>
      <c r="AM47" s="42">
        <f t="shared" si="36"/>
        <v>2.875</v>
      </c>
      <c r="AN47" s="42">
        <f t="shared" si="36"/>
        <v>2.875</v>
      </c>
      <c r="AO47" s="42">
        <f t="shared" si="36"/>
        <v>2.875</v>
      </c>
      <c r="AP47" s="42">
        <f t="shared" si="36"/>
        <v>2.875</v>
      </c>
      <c r="AQ47" s="42">
        <f>RLO_SD</f>
        <v>2.875</v>
      </c>
      <c r="AR47" s="43">
        <f>ETL_SD</f>
        <v>0</v>
      </c>
      <c r="AS47" s="43">
        <f>MDL_SD</f>
        <v>0</v>
      </c>
      <c r="AT47" s="43">
        <f>DSH_SD</f>
        <v>0</v>
      </c>
      <c r="AU47" s="43">
        <f>RPT_SD</f>
        <v>0</v>
      </c>
      <c r="AV47" s="43">
        <f>RPT_SD</f>
        <v>0</v>
      </c>
      <c r="AW47" s="43">
        <f>RPT_SD</f>
        <v>0</v>
      </c>
      <c r="AX47" s="53">
        <f>DLV_SD</f>
        <v>0</v>
      </c>
    </row>
    <row r="48" spans="1:50" hidden="1" x14ac:dyDescent="0.35">
      <c r="A48" s="5" t="s">
        <v>20</v>
      </c>
      <c r="B48" s="5"/>
      <c r="C48" s="7"/>
      <c r="D48" s="7"/>
      <c r="E48" s="7"/>
      <c r="F48" s="7"/>
      <c r="X48" s="71"/>
      <c r="Y48" s="71"/>
      <c r="Z48" s="71"/>
      <c r="AA48" s="71"/>
      <c r="AD48" s="71"/>
      <c r="AE48" s="51">
        <f>ACT_DS</f>
        <v>0.5</v>
      </c>
      <c r="AF48" s="72">
        <f>SND_DS</f>
        <v>0.125</v>
      </c>
      <c r="AG48" s="72">
        <f>FTR_DS</f>
        <v>0.125</v>
      </c>
      <c r="AH48" s="43">
        <f>SCN_DS</f>
        <v>0.125</v>
      </c>
      <c r="AI48" s="43">
        <f>SCN_DS</f>
        <v>0.125</v>
      </c>
      <c r="AJ48" s="43">
        <f>GAP_DS</f>
        <v>0.125</v>
      </c>
      <c r="AK48" s="43">
        <f>BKL_DS</f>
        <v>0.125</v>
      </c>
      <c r="AL48" s="42">
        <f t="shared" ref="AL48:AP48" si="37">PDV_DS</f>
        <v>0.5</v>
      </c>
      <c r="AM48" s="42">
        <f t="shared" si="37"/>
        <v>0.5</v>
      </c>
      <c r="AN48" s="42">
        <f t="shared" si="37"/>
        <v>0.5</v>
      </c>
      <c r="AO48" s="42">
        <f t="shared" si="37"/>
        <v>0.5</v>
      </c>
      <c r="AP48" s="42">
        <f t="shared" si="37"/>
        <v>0.5</v>
      </c>
      <c r="AQ48" s="42">
        <f>RLO_DS</f>
        <v>0.25</v>
      </c>
      <c r="AR48" s="43">
        <f>ETL_DS</f>
        <v>0.25</v>
      </c>
      <c r="AS48" s="43">
        <f>MDL_DS</f>
        <v>0</v>
      </c>
      <c r="AT48" s="43">
        <f>DSH_DS</f>
        <v>0</v>
      </c>
      <c r="AU48" s="43">
        <f>RPT_DS</f>
        <v>0</v>
      </c>
      <c r="AV48" s="43">
        <f>RPT_DS</f>
        <v>0</v>
      </c>
      <c r="AW48" s="43">
        <f>RPT_DS</f>
        <v>0</v>
      </c>
      <c r="AX48" s="53">
        <f>DLV_DS</f>
        <v>0.5</v>
      </c>
    </row>
    <row r="49" spans="1:50" hidden="1" x14ac:dyDescent="0.35">
      <c r="A49" s="5" t="s">
        <v>21</v>
      </c>
      <c r="B49" s="5"/>
      <c r="C49" s="7"/>
      <c r="D49" s="7"/>
      <c r="E49" s="7"/>
      <c r="F49" s="7"/>
      <c r="X49" s="71"/>
      <c r="Y49" s="71"/>
      <c r="Z49" s="71"/>
      <c r="AA49" s="71"/>
      <c r="AD49" s="71"/>
      <c r="AE49" s="51">
        <f>ACT_SO</f>
        <v>0.5</v>
      </c>
      <c r="AF49" s="72">
        <f>SND_SO</f>
        <v>0.125</v>
      </c>
      <c r="AG49" s="72">
        <f>FTR_SO</f>
        <v>0.125</v>
      </c>
      <c r="AH49" s="43">
        <f>SCN_SO</f>
        <v>0.125</v>
      </c>
      <c r="AI49" s="43">
        <f>SCN_SO</f>
        <v>0.125</v>
      </c>
      <c r="AJ49" s="43">
        <f>GAP_SO</f>
        <v>0.125</v>
      </c>
      <c r="AK49" s="43">
        <f>BKL_SO</f>
        <v>0.125</v>
      </c>
      <c r="AL49" s="42">
        <f t="shared" ref="AL49:AP49" si="38">PDV_SO</f>
        <v>0.25</v>
      </c>
      <c r="AM49" s="42">
        <f t="shared" si="38"/>
        <v>0.25</v>
      </c>
      <c r="AN49" s="42">
        <f t="shared" si="38"/>
        <v>0.25</v>
      </c>
      <c r="AO49" s="42">
        <f t="shared" si="38"/>
        <v>0.25</v>
      </c>
      <c r="AP49" s="42">
        <f t="shared" si="38"/>
        <v>0.25</v>
      </c>
      <c r="AQ49" s="42">
        <f>RLO_SO</f>
        <v>0.25</v>
      </c>
      <c r="AR49" s="43">
        <f>ETL_SO</f>
        <v>0.25</v>
      </c>
      <c r="AS49" s="43">
        <f>MDL_SO</f>
        <v>0</v>
      </c>
      <c r="AT49" s="43">
        <f>DSH_SO</f>
        <v>0</v>
      </c>
      <c r="AU49" s="43">
        <f>RPT_SO</f>
        <v>0</v>
      </c>
      <c r="AV49" s="43">
        <f>RPT_SO</f>
        <v>0</v>
      </c>
      <c r="AW49" s="43">
        <f>RPT_SO</f>
        <v>0</v>
      </c>
      <c r="AX49" s="53">
        <f>DLV_SO</f>
        <v>0.5</v>
      </c>
    </row>
    <row r="50" spans="1:50" hidden="1" x14ac:dyDescent="0.35">
      <c r="A50" s="5" t="s">
        <v>22</v>
      </c>
      <c r="B50" s="5"/>
      <c r="C50" s="7"/>
      <c r="D50" s="7"/>
      <c r="E50" s="7"/>
      <c r="F50" s="7"/>
      <c r="X50" s="71"/>
      <c r="Y50" s="71"/>
      <c r="Z50" s="71"/>
      <c r="AA50" s="71"/>
      <c r="AD50" s="71"/>
      <c r="AE50" s="22">
        <f>ACT_BI</f>
        <v>0</v>
      </c>
      <c r="AF50" s="25">
        <f>SND_BI</f>
        <v>0</v>
      </c>
      <c r="AG50" s="25">
        <f>FTR_BI</f>
        <v>0</v>
      </c>
      <c r="AH50" s="43">
        <f>SCN_BI</f>
        <v>0</v>
      </c>
      <c r="AI50" s="43">
        <f>SCN_BI</f>
        <v>0</v>
      </c>
      <c r="AJ50" s="43">
        <f>GAP_BI</f>
        <v>0</v>
      </c>
      <c r="AK50" s="43">
        <f>BKL_BI</f>
        <v>0</v>
      </c>
      <c r="AL50" s="42">
        <f t="shared" ref="AL50:AP50" si="39">PDV_BI</f>
        <v>0</v>
      </c>
      <c r="AM50" s="42">
        <f t="shared" si="39"/>
        <v>0</v>
      </c>
      <c r="AN50" s="42">
        <f t="shared" si="39"/>
        <v>0</v>
      </c>
      <c r="AO50" s="42">
        <f t="shared" si="39"/>
        <v>0</v>
      </c>
      <c r="AP50" s="42">
        <f t="shared" si="39"/>
        <v>0</v>
      </c>
      <c r="AQ50" s="42">
        <f>RLO_BI</f>
        <v>0</v>
      </c>
      <c r="AR50" s="43">
        <f>ETL_BI</f>
        <v>1</v>
      </c>
      <c r="AS50" s="43">
        <f>MDL_BI</f>
        <v>1</v>
      </c>
      <c r="AT50" s="43">
        <f>DSH_BI</f>
        <v>1</v>
      </c>
      <c r="AU50" s="43">
        <f>RPT_BI</f>
        <v>1</v>
      </c>
      <c r="AV50" s="43">
        <f>RPT_BI</f>
        <v>1</v>
      </c>
      <c r="AW50" s="43">
        <f>RPT_BI</f>
        <v>1</v>
      </c>
      <c r="AX50" s="53">
        <f>DLV_BI</f>
        <v>0</v>
      </c>
    </row>
    <row r="51" spans="1:50" x14ac:dyDescent="0.35">
      <c r="X51" s="71"/>
      <c r="Y51" s="71"/>
      <c r="Z51" s="71"/>
      <c r="AA51" s="71"/>
      <c r="AD51" s="71"/>
      <c r="AE51" s="71"/>
      <c r="AF51" s="71"/>
      <c r="AG51" s="71"/>
    </row>
    <row r="52" spans="1:50" x14ac:dyDescent="0.35">
      <c r="X52" s="71"/>
      <c r="Y52" s="71"/>
      <c r="Z52" s="71"/>
      <c r="AA52" s="71"/>
      <c r="AD52" s="71"/>
      <c r="AE52" s="71"/>
      <c r="AF52" s="71"/>
      <c r="AG52" s="71"/>
    </row>
    <row r="53" spans="1:50" x14ac:dyDescent="0.35">
      <c r="X53" s="71"/>
      <c r="Y53" s="71"/>
      <c r="Z53" s="71"/>
      <c r="AA53" s="71"/>
      <c r="AD53" s="71"/>
      <c r="AE53" s="71"/>
      <c r="AF53" s="71"/>
      <c r="AG53" s="71"/>
    </row>
    <row r="54" spans="1:50" x14ac:dyDescent="0.35">
      <c r="X54" s="71"/>
      <c r="Y54" s="71"/>
      <c r="Z54" s="71"/>
      <c r="AA54" s="71"/>
      <c r="AD54" s="71"/>
      <c r="AE54" s="71"/>
      <c r="AF54" s="71"/>
      <c r="AG54" s="71"/>
    </row>
  </sheetData>
  <mergeCells count="1">
    <mergeCell ref="G3:AX3"/>
  </mergeCells>
  <conditionalFormatting sqref="G8:AX13">
    <cfRule type="colorScale" priority="2">
      <colorScale>
        <cfvo type="num" val="0"/>
        <cfvo type="percentile" val="1"/>
        <cfvo type="num" val="4"/>
        <color theme="7" tint="0.79998168889431442"/>
        <color theme="7" tint="0.59999389629810485"/>
        <color theme="7" tint="0.39997558519241921"/>
      </colorScale>
    </cfRule>
  </conditionalFormatting>
  <conditionalFormatting sqref="G6:AX6">
    <cfRule type="colorScale" priority="1">
      <colorScale>
        <cfvo type="num" val="0"/>
        <cfvo type="num" val="10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I21" sqref="I21"/>
    </sheetView>
  </sheetViews>
  <sheetFormatPr defaultRowHeight="15.75" x14ac:dyDescent="0.35"/>
  <cols>
    <col min="1" max="1" width="22" style="8" customWidth="1"/>
    <col min="2" max="2" width="11.28515625" style="8" customWidth="1"/>
    <col min="3" max="16" width="12.7109375" style="8" customWidth="1"/>
    <col min="17" max="16384" width="9.140625" style="8"/>
  </cols>
  <sheetData>
    <row r="1" spans="1:17" x14ac:dyDescent="0.35">
      <c r="A1" s="69" t="s">
        <v>98</v>
      </c>
    </row>
    <row r="3" spans="1:17" ht="16.5" customHeight="1" x14ac:dyDescent="0.35">
      <c r="C3" s="85" t="s">
        <v>5</v>
      </c>
      <c r="D3" s="86" t="s">
        <v>45</v>
      </c>
      <c r="E3" s="87"/>
      <c r="F3" s="87"/>
      <c r="G3" s="87"/>
      <c r="H3" s="87"/>
      <c r="I3" s="86" t="s">
        <v>46</v>
      </c>
      <c r="J3" s="87"/>
      <c r="K3" s="87"/>
      <c r="L3" s="86" t="s">
        <v>47</v>
      </c>
      <c r="M3" s="87"/>
      <c r="N3" s="87"/>
      <c r="O3" s="87"/>
      <c r="P3" s="88" t="s">
        <v>6</v>
      </c>
    </row>
    <row r="4" spans="1:17" ht="31.5" x14ac:dyDescent="0.35">
      <c r="C4" s="85"/>
      <c r="D4" s="23" t="s">
        <v>7</v>
      </c>
      <c r="E4" s="32" t="s">
        <v>8</v>
      </c>
      <c r="F4" s="24" t="s">
        <v>9</v>
      </c>
      <c r="G4" s="32" t="s">
        <v>10</v>
      </c>
      <c r="H4" s="24" t="s">
        <v>11</v>
      </c>
      <c r="I4" s="23" t="s">
        <v>12</v>
      </c>
      <c r="J4" s="32" t="s">
        <v>13</v>
      </c>
      <c r="K4" s="30" t="s">
        <v>14</v>
      </c>
      <c r="L4" s="23" t="s">
        <v>15</v>
      </c>
      <c r="M4" s="32" t="s">
        <v>16</v>
      </c>
      <c r="N4" s="32" t="s">
        <v>100</v>
      </c>
      <c r="O4" s="24" t="s">
        <v>17</v>
      </c>
      <c r="P4" s="88"/>
    </row>
    <row r="5" spans="1:17" x14ac:dyDescent="0.35">
      <c r="A5" s="11"/>
      <c r="B5" s="11"/>
      <c r="C5" s="18" t="s">
        <v>24</v>
      </c>
      <c r="D5" s="18" t="s">
        <v>25</v>
      </c>
      <c r="E5" s="33" t="s">
        <v>26</v>
      </c>
      <c r="F5" s="12" t="s">
        <v>27</v>
      </c>
      <c r="G5" s="33" t="s">
        <v>28</v>
      </c>
      <c r="H5" s="12" t="s">
        <v>29</v>
      </c>
      <c r="I5" s="18" t="s">
        <v>30</v>
      </c>
      <c r="J5" s="33" t="s">
        <v>31</v>
      </c>
      <c r="K5" s="31" t="s">
        <v>32</v>
      </c>
      <c r="L5" s="18" t="s">
        <v>33</v>
      </c>
      <c r="M5" s="33" t="s">
        <v>34</v>
      </c>
      <c r="N5" s="33" t="s">
        <v>35</v>
      </c>
      <c r="O5" s="12" t="s">
        <v>36</v>
      </c>
      <c r="P5" s="26" t="s">
        <v>37</v>
      </c>
      <c r="Q5" s="11"/>
    </row>
    <row r="6" spans="1:17" x14ac:dyDescent="0.35">
      <c r="C6" s="19"/>
      <c r="D6" s="19"/>
      <c r="E6" s="34"/>
      <c r="F6" s="16"/>
      <c r="G6" s="34"/>
      <c r="H6" s="16"/>
      <c r="I6" s="19"/>
      <c r="J6" s="37"/>
      <c r="K6" s="16"/>
      <c r="L6" s="19"/>
      <c r="M6" s="37"/>
      <c r="N6" s="37"/>
      <c r="O6" s="16"/>
      <c r="P6" s="27"/>
    </row>
    <row r="7" spans="1:17" x14ac:dyDescent="0.35">
      <c r="A7" s="9" t="s">
        <v>18</v>
      </c>
      <c r="B7" s="1" t="s">
        <v>38</v>
      </c>
      <c r="C7" s="20">
        <v>5</v>
      </c>
      <c r="D7" s="20">
        <v>5</v>
      </c>
      <c r="E7" s="35">
        <v>5</v>
      </c>
      <c r="F7" s="15">
        <v>10</v>
      </c>
      <c r="G7" s="35">
        <v>5</v>
      </c>
      <c r="H7" s="15">
        <v>5</v>
      </c>
      <c r="I7" s="20">
        <v>1</v>
      </c>
      <c r="J7" s="35">
        <v>24</v>
      </c>
      <c r="K7" s="15">
        <v>5</v>
      </c>
      <c r="L7" s="20">
        <v>5</v>
      </c>
      <c r="M7" s="35">
        <v>5</v>
      </c>
      <c r="N7" s="35">
        <v>5</v>
      </c>
      <c r="O7" s="15">
        <v>15</v>
      </c>
      <c r="P7" s="28">
        <v>5</v>
      </c>
    </row>
    <row r="8" spans="1:17" x14ac:dyDescent="0.35">
      <c r="A8" s="11"/>
      <c r="B8" s="17"/>
      <c r="C8" s="21"/>
      <c r="D8" s="21"/>
      <c r="E8" s="36"/>
      <c r="F8" s="17"/>
      <c r="G8" s="36"/>
      <c r="H8" s="17"/>
      <c r="I8" s="21"/>
      <c r="J8" s="36"/>
      <c r="K8" s="17"/>
      <c r="L8" s="21"/>
      <c r="M8" s="36"/>
      <c r="N8" s="36"/>
      <c r="O8" s="17"/>
      <c r="P8" s="29"/>
      <c r="Q8" s="11"/>
    </row>
    <row r="9" spans="1:17" x14ac:dyDescent="0.35">
      <c r="A9" s="13"/>
      <c r="B9" s="14"/>
      <c r="C9" s="20"/>
      <c r="D9" s="20"/>
      <c r="E9" s="35"/>
      <c r="F9" s="15"/>
      <c r="G9" s="35"/>
      <c r="H9" s="15"/>
      <c r="I9" s="20"/>
      <c r="J9" s="35"/>
      <c r="K9" s="15"/>
      <c r="L9" s="20"/>
      <c r="M9" s="35"/>
      <c r="N9" s="35"/>
      <c r="O9" s="15"/>
      <c r="P9" s="28"/>
      <c r="Q9" s="16"/>
    </row>
    <row r="10" spans="1:17" x14ac:dyDescent="0.35">
      <c r="A10" s="13" t="s">
        <v>23</v>
      </c>
      <c r="B10" s="14"/>
      <c r="C10" s="20"/>
      <c r="D10" s="20"/>
      <c r="E10" s="35"/>
      <c r="F10" s="15"/>
      <c r="G10" s="35"/>
      <c r="H10" s="15"/>
      <c r="I10" s="20"/>
      <c r="J10" s="35"/>
      <c r="K10" s="15"/>
      <c r="L10" s="20"/>
      <c r="M10" s="35"/>
      <c r="N10" s="35"/>
      <c r="O10" s="15"/>
      <c r="P10" s="28"/>
      <c r="Q10" s="16"/>
    </row>
    <row r="11" spans="1:17" x14ac:dyDescent="0.35">
      <c r="A11" s="10" t="s">
        <v>1</v>
      </c>
      <c r="B11" s="1" t="s">
        <v>39</v>
      </c>
      <c r="C11" s="38">
        <v>0</v>
      </c>
      <c r="D11" s="38">
        <v>1</v>
      </c>
      <c r="E11" s="39">
        <v>1</v>
      </c>
      <c r="F11" s="40">
        <v>1</v>
      </c>
      <c r="G11" s="39">
        <v>1</v>
      </c>
      <c r="H11" s="40">
        <v>1</v>
      </c>
      <c r="I11" s="38">
        <v>1</v>
      </c>
      <c r="J11" s="39">
        <v>1</v>
      </c>
      <c r="K11" s="40">
        <v>1</v>
      </c>
      <c r="L11" s="38">
        <v>1</v>
      </c>
      <c r="M11" s="39">
        <v>1</v>
      </c>
      <c r="N11" s="39">
        <v>1</v>
      </c>
      <c r="O11" s="40">
        <v>1</v>
      </c>
      <c r="P11" s="41">
        <v>0</v>
      </c>
    </row>
    <row r="12" spans="1:17" x14ac:dyDescent="0.35">
      <c r="A12" s="10" t="s">
        <v>48</v>
      </c>
      <c r="B12" s="1" t="s">
        <v>40</v>
      </c>
      <c r="C12" s="38">
        <v>0</v>
      </c>
      <c r="D12" s="38">
        <v>1</v>
      </c>
      <c r="E12" s="39">
        <v>1</v>
      </c>
      <c r="F12" s="40">
        <v>1</v>
      </c>
      <c r="G12" s="39">
        <v>1</v>
      </c>
      <c r="H12" s="40">
        <v>1</v>
      </c>
      <c r="I12" s="38">
        <v>2</v>
      </c>
      <c r="J12" s="39">
        <v>2</v>
      </c>
      <c r="K12" s="40">
        <v>2</v>
      </c>
      <c r="L12" s="38">
        <v>0</v>
      </c>
      <c r="M12" s="39">
        <v>0</v>
      </c>
      <c r="N12" s="39">
        <v>0</v>
      </c>
      <c r="O12" s="40">
        <v>0</v>
      </c>
      <c r="P12" s="41">
        <v>0</v>
      </c>
    </row>
    <row r="13" spans="1:17" x14ac:dyDescent="0.35">
      <c r="A13" s="10" t="s">
        <v>19</v>
      </c>
      <c r="B13" s="1" t="s">
        <v>41</v>
      </c>
      <c r="C13" s="38">
        <v>0</v>
      </c>
      <c r="D13" s="38">
        <v>0.125</v>
      </c>
      <c r="E13" s="39">
        <v>0.125</v>
      </c>
      <c r="F13" s="40">
        <v>0.125</v>
      </c>
      <c r="G13" s="39">
        <v>0.125</v>
      </c>
      <c r="H13" s="40">
        <v>0.125</v>
      </c>
      <c r="I13" s="38">
        <v>2.875</v>
      </c>
      <c r="J13" s="39">
        <v>2.875</v>
      </c>
      <c r="K13" s="40">
        <v>2.875</v>
      </c>
      <c r="L13" s="38">
        <v>0</v>
      </c>
      <c r="M13" s="39">
        <v>0</v>
      </c>
      <c r="N13" s="39">
        <v>0</v>
      </c>
      <c r="O13" s="40">
        <v>0</v>
      </c>
      <c r="P13" s="41">
        <v>0</v>
      </c>
    </row>
    <row r="14" spans="1:17" x14ac:dyDescent="0.35">
      <c r="A14" s="10" t="s">
        <v>20</v>
      </c>
      <c r="B14" s="1" t="s">
        <v>42</v>
      </c>
      <c r="C14" s="38">
        <v>0.5</v>
      </c>
      <c r="D14" s="38">
        <v>0.125</v>
      </c>
      <c r="E14" s="39">
        <v>0.125</v>
      </c>
      <c r="F14" s="40">
        <v>0.125</v>
      </c>
      <c r="G14" s="39">
        <v>0.125</v>
      </c>
      <c r="H14" s="40">
        <v>0.125</v>
      </c>
      <c r="I14" s="38">
        <v>0.25</v>
      </c>
      <c r="J14" s="39">
        <v>0.5</v>
      </c>
      <c r="K14" s="40">
        <v>0.25</v>
      </c>
      <c r="L14" s="38">
        <v>0.25</v>
      </c>
      <c r="M14" s="39">
        <v>0</v>
      </c>
      <c r="N14" s="39">
        <v>0</v>
      </c>
      <c r="O14" s="40">
        <v>0</v>
      </c>
      <c r="P14" s="41">
        <v>0.5</v>
      </c>
    </row>
    <row r="15" spans="1:17" x14ac:dyDescent="0.35">
      <c r="A15" s="10" t="s">
        <v>21</v>
      </c>
      <c r="B15" s="1" t="s">
        <v>43</v>
      </c>
      <c r="C15" s="38">
        <v>0.5</v>
      </c>
      <c r="D15" s="38">
        <v>0.125</v>
      </c>
      <c r="E15" s="39">
        <v>0.125</v>
      </c>
      <c r="F15" s="40">
        <v>0.125</v>
      </c>
      <c r="G15" s="39">
        <v>0.125</v>
      </c>
      <c r="H15" s="40">
        <v>0.125</v>
      </c>
      <c r="I15" s="38">
        <v>0.25</v>
      </c>
      <c r="J15" s="39">
        <v>0.25</v>
      </c>
      <c r="K15" s="40">
        <v>0.25</v>
      </c>
      <c r="L15" s="38">
        <v>0.25</v>
      </c>
      <c r="M15" s="39">
        <v>0</v>
      </c>
      <c r="N15" s="39">
        <v>0</v>
      </c>
      <c r="O15" s="40">
        <v>0</v>
      </c>
      <c r="P15" s="41">
        <v>0.5</v>
      </c>
    </row>
    <row r="16" spans="1:17" x14ac:dyDescent="0.35">
      <c r="A16" s="10" t="s">
        <v>22</v>
      </c>
      <c r="B16" s="1" t="s">
        <v>44</v>
      </c>
      <c r="C16" s="38">
        <v>0</v>
      </c>
      <c r="D16" s="38">
        <v>0</v>
      </c>
      <c r="E16" s="39">
        <v>0</v>
      </c>
      <c r="F16" s="40">
        <v>0</v>
      </c>
      <c r="G16" s="39">
        <v>0</v>
      </c>
      <c r="H16" s="40">
        <v>0</v>
      </c>
      <c r="I16" s="38">
        <v>0</v>
      </c>
      <c r="J16" s="39">
        <v>0</v>
      </c>
      <c r="K16" s="40">
        <v>0</v>
      </c>
      <c r="L16" s="38">
        <v>1</v>
      </c>
      <c r="M16" s="39">
        <v>1</v>
      </c>
      <c r="N16" s="39">
        <v>1</v>
      </c>
      <c r="O16" s="40">
        <v>1</v>
      </c>
      <c r="P16" s="41">
        <v>0</v>
      </c>
    </row>
    <row r="17" spans="3:16" x14ac:dyDescent="0.35">
      <c r="C17" s="20"/>
      <c r="D17" s="20"/>
      <c r="E17" s="35"/>
      <c r="F17" s="15"/>
      <c r="G17" s="35"/>
      <c r="H17" s="15"/>
      <c r="I17" s="20"/>
      <c r="J17" s="35"/>
      <c r="K17" s="15"/>
      <c r="L17" s="20"/>
      <c r="M17" s="35"/>
      <c r="N17" s="35"/>
      <c r="O17" s="15"/>
      <c r="P17" s="28"/>
    </row>
    <row r="27" spans="3:16" x14ac:dyDescent="0.35">
      <c r="H27" s="80"/>
    </row>
  </sheetData>
  <mergeCells count="5">
    <mergeCell ref="C3:C4"/>
    <mergeCell ref="D3:H3"/>
    <mergeCell ref="I3:K3"/>
    <mergeCell ref="L3:O3"/>
    <mergeCell ref="P3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>
      <selection activeCell="G33" sqref="G33"/>
    </sheetView>
  </sheetViews>
  <sheetFormatPr defaultRowHeight="15.75" x14ac:dyDescent="0.35"/>
  <cols>
    <col min="1" max="1" width="27" style="75" customWidth="1"/>
    <col min="2" max="2" width="21" style="75" customWidth="1"/>
    <col min="3" max="46" width="3.7109375" style="75" customWidth="1"/>
    <col min="47" max="47" width="12" style="75" customWidth="1"/>
    <col min="48" max="16384" width="9.140625" style="75"/>
  </cols>
  <sheetData>
    <row r="1" spans="1:47" x14ac:dyDescent="0.35">
      <c r="A1" s="69" t="s">
        <v>111</v>
      </c>
      <c r="B1" s="69"/>
    </row>
    <row r="3" spans="1:47" x14ac:dyDescent="0.35">
      <c r="C3" s="82" t="s">
        <v>110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4"/>
      <c r="AU3" s="89" t="s">
        <v>112</v>
      </c>
    </row>
    <row r="4" spans="1:47" x14ac:dyDescent="0.35">
      <c r="A4" s="76"/>
      <c r="B4" s="76"/>
      <c r="C4" s="55">
        <v>1</v>
      </c>
      <c r="D4" s="55">
        <v>2</v>
      </c>
      <c r="E4" s="55">
        <v>3</v>
      </c>
      <c r="F4" s="55">
        <v>4</v>
      </c>
      <c r="G4" s="55">
        <v>5</v>
      </c>
      <c r="H4" s="55">
        <v>6</v>
      </c>
      <c r="I4" s="55">
        <v>7</v>
      </c>
      <c r="J4" s="55">
        <v>8</v>
      </c>
      <c r="K4" s="55">
        <v>9</v>
      </c>
      <c r="L4" s="55">
        <v>10</v>
      </c>
      <c r="M4" s="55">
        <v>11</v>
      </c>
      <c r="N4" s="55">
        <v>12</v>
      </c>
      <c r="O4" s="55">
        <v>13</v>
      </c>
      <c r="P4" s="55">
        <v>14</v>
      </c>
      <c r="Q4" s="55">
        <v>15</v>
      </c>
      <c r="R4" s="55">
        <v>16</v>
      </c>
      <c r="S4" s="55">
        <v>17</v>
      </c>
      <c r="T4" s="55">
        <v>18</v>
      </c>
      <c r="U4" s="55">
        <v>19</v>
      </c>
      <c r="V4" s="55">
        <v>20</v>
      </c>
      <c r="W4" s="55">
        <v>21</v>
      </c>
      <c r="X4" s="55">
        <v>22</v>
      </c>
      <c r="Y4" s="55">
        <v>23</v>
      </c>
      <c r="Z4" s="55">
        <v>24</v>
      </c>
      <c r="AA4" s="55">
        <v>25</v>
      </c>
      <c r="AB4" s="55">
        <v>26</v>
      </c>
      <c r="AC4" s="55">
        <v>27</v>
      </c>
      <c r="AD4" s="55">
        <v>28</v>
      </c>
      <c r="AE4" s="55">
        <v>29</v>
      </c>
      <c r="AF4" s="55">
        <v>30</v>
      </c>
      <c r="AG4" s="55">
        <v>31</v>
      </c>
      <c r="AH4" s="55">
        <v>32</v>
      </c>
      <c r="AI4" s="55">
        <v>33</v>
      </c>
      <c r="AJ4" s="55">
        <v>34</v>
      </c>
      <c r="AK4" s="55">
        <v>35</v>
      </c>
      <c r="AL4" s="55">
        <v>36</v>
      </c>
      <c r="AM4" s="55">
        <v>37</v>
      </c>
      <c r="AN4" s="55">
        <v>38</v>
      </c>
      <c r="AO4" s="55">
        <v>39</v>
      </c>
      <c r="AP4" s="55">
        <v>40</v>
      </c>
      <c r="AQ4" s="55">
        <v>41</v>
      </c>
      <c r="AR4" s="55">
        <v>42</v>
      </c>
      <c r="AS4" s="55">
        <v>43</v>
      </c>
      <c r="AT4" s="55">
        <v>44</v>
      </c>
      <c r="AU4" s="90"/>
    </row>
    <row r="5" spans="1:47" x14ac:dyDescent="0.35">
      <c r="A5" s="78" t="s">
        <v>1</v>
      </c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</row>
    <row r="6" spans="1:47" x14ac:dyDescent="0.35">
      <c r="A6" s="77" t="s">
        <v>126</v>
      </c>
      <c r="B6" s="77" t="s">
        <v>125</v>
      </c>
      <c r="C6" s="79">
        <v>0</v>
      </c>
      <c r="D6" s="79">
        <f>40/40</f>
        <v>1</v>
      </c>
      <c r="E6" s="79">
        <f t="shared" ref="E6:U8" si="0">40/40</f>
        <v>1</v>
      </c>
      <c r="F6" s="79">
        <f t="shared" si="0"/>
        <v>1</v>
      </c>
      <c r="G6" s="79">
        <f t="shared" si="0"/>
        <v>1</v>
      </c>
      <c r="H6" s="79">
        <f t="shared" si="0"/>
        <v>1</v>
      </c>
      <c r="I6" s="79">
        <f t="shared" si="0"/>
        <v>1</v>
      </c>
      <c r="J6" s="79">
        <f t="shared" si="0"/>
        <v>1</v>
      </c>
      <c r="K6" s="79">
        <f t="shared" si="0"/>
        <v>1</v>
      </c>
      <c r="L6" s="79">
        <f t="shared" si="0"/>
        <v>1</v>
      </c>
      <c r="M6" s="79">
        <f t="shared" si="0"/>
        <v>1</v>
      </c>
      <c r="N6" s="79">
        <f t="shared" si="0"/>
        <v>1</v>
      </c>
      <c r="O6" s="79">
        <f t="shared" si="0"/>
        <v>1</v>
      </c>
      <c r="P6" s="79">
        <f t="shared" si="0"/>
        <v>1</v>
      </c>
      <c r="Q6" s="79">
        <f t="shared" si="0"/>
        <v>1</v>
      </c>
      <c r="R6" s="79">
        <f t="shared" si="0"/>
        <v>1</v>
      </c>
      <c r="S6" s="79">
        <f t="shared" si="0"/>
        <v>1</v>
      </c>
      <c r="T6" s="79">
        <f t="shared" si="0"/>
        <v>1</v>
      </c>
      <c r="U6" s="79">
        <f t="shared" si="0"/>
        <v>1</v>
      </c>
      <c r="V6" s="79">
        <v>0</v>
      </c>
      <c r="W6" s="79">
        <v>0</v>
      </c>
      <c r="X6" s="79">
        <v>0</v>
      </c>
      <c r="Y6" s="79">
        <v>0</v>
      </c>
      <c r="Z6" s="79">
        <v>0</v>
      </c>
      <c r="AA6" s="79">
        <v>0</v>
      </c>
      <c r="AB6" s="79">
        <v>0</v>
      </c>
      <c r="AC6" s="79">
        <v>0</v>
      </c>
      <c r="AD6" s="79">
        <v>0</v>
      </c>
      <c r="AE6" s="79">
        <v>0</v>
      </c>
      <c r="AF6" s="79">
        <v>0</v>
      </c>
      <c r="AG6" s="79">
        <v>0</v>
      </c>
      <c r="AH6" s="79">
        <v>0</v>
      </c>
      <c r="AI6" s="79">
        <v>0</v>
      </c>
      <c r="AJ6" s="79">
        <v>0</v>
      </c>
      <c r="AK6" s="79">
        <v>0</v>
      </c>
      <c r="AL6" s="79">
        <v>0</v>
      </c>
      <c r="AM6" s="79">
        <v>0</v>
      </c>
      <c r="AN6" s="79">
        <v>0</v>
      </c>
      <c r="AO6" s="79">
        <v>0</v>
      </c>
      <c r="AP6" s="79">
        <v>0</v>
      </c>
      <c r="AQ6" s="79">
        <v>0</v>
      </c>
      <c r="AR6" s="79">
        <v>0</v>
      </c>
      <c r="AS6" s="79">
        <v>0</v>
      </c>
      <c r="AT6" s="79">
        <v>0</v>
      </c>
      <c r="AU6" s="79">
        <f>(SUM(C6:AT6)*40)/(44*40)</f>
        <v>0.40909090909090912</v>
      </c>
    </row>
    <row r="7" spans="1:47" x14ac:dyDescent="0.35">
      <c r="A7" s="77" t="s">
        <v>107</v>
      </c>
      <c r="B7" s="77" t="s">
        <v>127</v>
      </c>
      <c r="C7" s="79">
        <v>0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0</v>
      </c>
      <c r="J7" s="79">
        <f t="shared" si="0"/>
        <v>1</v>
      </c>
      <c r="K7" s="79">
        <f t="shared" si="0"/>
        <v>1</v>
      </c>
      <c r="L7" s="79">
        <f t="shared" si="0"/>
        <v>1</v>
      </c>
      <c r="M7" s="79">
        <f t="shared" si="0"/>
        <v>1</v>
      </c>
      <c r="N7" s="79">
        <f t="shared" si="0"/>
        <v>1</v>
      </c>
      <c r="O7" s="79">
        <f t="shared" si="0"/>
        <v>1</v>
      </c>
      <c r="P7" s="79">
        <f t="shared" si="0"/>
        <v>1</v>
      </c>
      <c r="Q7" s="79">
        <f t="shared" si="0"/>
        <v>1</v>
      </c>
      <c r="R7" s="79">
        <f t="shared" si="0"/>
        <v>1</v>
      </c>
      <c r="S7" s="79">
        <f t="shared" si="0"/>
        <v>1</v>
      </c>
      <c r="T7" s="79">
        <f t="shared" si="0"/>
        <v>1</v>
      </c>
      <c r="U7" s="79">
        <f t="shared" si="0"/>
        <v>1</v>
      </c>
      <c r="V7" s="79">
        <f t="shared" ref="V7:AK10" si="1">40/40</f>
        <v>1</v>
      </c>
      <c r="W7" s="79">
        <f t="shared" si="1"/>
        <v>1</v>
      </c>
      <c r="X7" s="79">
        <f t="shared" si="1"/>
        <v>1</v>
      </c>
      <c r="Y7" s="79">
        <f t="shared" si="1"/>
        <v>1</v>
      </c>
      <c r="Z7" s="79">
        <f t="shared" si="1"/>
        <v>1</v>
      </c>
      <c r="AA7" s="79">
        <f t="shared" si="1"/>
        <v>1</v>
      </c>
      <c r="AB7" s="79">
        <v>0</v>
      </c>
      <c r="AC7" s="79">
        <v>0</v>
      </c>
      <c r="AD7" s="79">
        <v>0</v>
      </c>
      <c r="AE7" s="79">
        <v>0</v>
      </c>
      <c r="AF7" s="79">
        <v>0</v>
      </c>
      <c r="AG7" s="79">
        <v>0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0</v>
      </c>
      <c r="AN7" s="79">
        <v>0</v>
      </c>
      <c r="AO7" s="79">
        <v>0</v>
      </c>
      <c r="AP7" s="79">
        <v>0</v>
      </c>
      <c r="AQ7" s="79">
        <v>0</v>
      </c>
      <c r="AR7" s="79">
        <v>0</v>
      </c>
      <c r="AS7" s="79">
        <v>0</v>
      </c>
      <c r="AT7" s="79">
        <v>0</v>
      </c>
      <c r="AU7" s="79">
        <f>(SUM(C7:AT7)*40)/(44*40)</f>
        <v>0.40909090909090912</v>
      </c>
    </row>
    <row r="8" spans="1:47" x14ac:dyDescent="0.35">
      <c r="A8" s="77" t="s">
        <v>108</v>
      </c>
      <c r="B8" s="77" t="s">
        <v>128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f t="shared" si="0"/>
        <v>1</v>
      </c>
      <c r="Q8" s="79">
        <f t="shared" si="0"/>
        <v>1</v>
      </c>
      <c r="R8" s="79">
        <f t="shared" si="0"/>
        <v>1</v>
      </c>
      <c r="S8" s="79">
        <f t="shared" si="0"/>
        <v>1</v>
      </c>
      <c r="T8" s="79">
        <f t="shared" si="0"/>
        <v>1</v>
      </c>
      <c r="U8" s="79">
        <f t="shared" si="0"/>
        <v>1</v>
      </c>
      <c r="V8" s="79">
        <f t="shared" si="1"/>
        <v>1</v>
      </c>
      <c r="W8" s="79">
        <f t="shared" si="1"/>
        <v>1</v>
      </c>
      <c r="X8" s="79">
        <f t="shared" si="1"/>
        <v>1</v>
      </c>
      <c r="Y8" s="79">
        <f t="shared" si="1"/>
        <v>1</v>
      </c>
      <c r="Z8" s="79">
        <f t="shared" si="1"/>
        <v>1</v>
      </c>
      <c r="AA8" s="79">
        <f t="shared" si="1"/>
        <v>1</v>
      </c>
      <c r="AB8" s="79">
        <f t="shared" si="1"/>
        <v>1</v>
      </c>
      <c r="AC8" s="79">
        <f t="shared" si="1"/>
        <v>1</v>
      </c>
      <c r="AD8" s="79">
        <f t="shared" si="1"/>
        <v>1</v>
      </c>
      <c r="AE8" s="79">
        <f t="shared" si="1"/>
        <v>1</v>
      </c>
      <c r="AF8" s="79">
        <f t="shared" si="1"/>
        <v>1</v>
      </c>
      <c r="AG8" s="79">
        <f t="shared" si="1"/>
        <v>1</v>
      </c>
      <c r="AH8" s="79">
        <v>0</v>
      </c>
      <c r="AI8" s="79">
        <v>0</v>
      </c>
      <c r="AJ8" s="79">
        <v>0</v>
      </c>
      <c r="AK8" s="79">
        <v>0</v>
      </c>
      <c r="AL8" s="79">
        <v>0</v>
      </c>
      <c r="AM8" s="79">
        <v>0</v>
      </c>
      <c r="AN8" s="79">
        <v>0</v>
      </c>
      <c r="AO8" s="79">
        <v>0</v>
      </c>
      <c r="AP8" s="79">
        <v>0</v>
      </c>
      <c r="AQ8" s="79">
        <v>0</v>
      </c>
      <c r="AR8" s="79">
        <v>0</v>
      </c>
      <c r="AS8" s="79">
        <v>0</v>
      </c>
      <c r="AT8" s="79">
        <v>0</v>
      </c>
      <c r="AU8" s="79">
        <f>(SUM(C8:AT8)*40)/(44*40)</f>
        <v>0.40909090909090912</v>
      </c>
    </row>
    <row r="9" spans="1:47" x14ac:dyDescent="0.35">
      <c r="A9" s="77" t="s">
        <v>135</v>
      </c>
      <c r="B9" s="77" t="s">
        <v>124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f t="shared" si="1"/>
        <v>1</v>
      </c>
      <c r="W9" s="79">
        <f t="shared" si="1"/>
        <v>1</v>
      </c>
      <c r="X9" s="79">
        <f t="shared" si="1"/>
        <v>1</v>
      </c>
      <c r="Y9" s="79">
        <f t="shared" si="1"/>
        <v>1</v>
      </c>
      <c r="Z9" s="79">
        <f t="shared" si="1"/>
        <v>1</v>
      </c>
      <c r="AA9" s="79">
        <f t="shared" si="1"/>
        <v>1</v>
      </c>
      <c r="AB9" s="79">
        <f t="shared" si="1"/>
        <v>1</v>
      </c>
      <c r="AC9" s="79">
        <f t="shared" si="1"/>
        <v>1</v>
      </c>
      <c r="AD9" s="79">
        <f t="shared" si="1"/>
        <v>1</v>
      </c>
      <c r="AE9" s="79">
        <f t="shared" si="1"/>
        <v>1</v>
      </c>
      <c r="AF9" s="79">
        <f t="shared" si="1"/>
        <v>1</v>
      </c>
      <c r="AG9" s="79">
        <f t="shared" si="1"/>
        <v>1</v>
      </c>
      <c r="AH9" s="79">
        <f t="shared" si="1"/>
        <v>1</v>
      </c>
      <c r="AI9" s="79">
        <f t="shared" si="1"/>
        <v>1</v>
      </c>
      <c r="AJ9" s="79">
        <f t="shared" si="1"/>
        <v>1</v>
      </c>
      <c r="AK9" s="79">
        <f t="shared" si="1"/>
        <v>1</v>
      </c>
      <c r="AL9" s="79">
        <f t="shared" ref="AL9:AS10" si="2">40/40</f>
        <v>1</v>
      </c>
      <c r="AM9" s="79">
        <f t="shared" si="2"/>
        <v>1</v>
      </c>
      <c r="AN9" s="79">
        <v>0</v>
      </c>
      <c r="AO9" s="79">
        <v>0</v>
      </c>
      <c r="AP9" s="79">
        <v>0</v>
      </c>
      <c r="AQ9" s="79">
        <v>0</v>
      </c>
      <c r="AR9" s="79">
        <v>0</v>
      </c>
      <c r="AS9" s="79">
        <v>0</v>
      </c>
      <c r="AT9" s="79">
        <v>0</v>
      </c>
      <c r="AU9" s="79">
        <f>(SUM(C9:AT9)*40)/(44*40)</f>
        <v>0.40909090909090912</v>
      </c>
    </row>
    <row r="10" spans="1:47" x14ac:dyDescent="0.35">
      <c r="A10" s="77" t="s">
        <v>135</v>
      </c>
      <c r="B10" s="77" t="s">
        <v>124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f t="shared" si="1"/>
        <v>1</v>
      </c>
      <c r="AC10" s="79">
        <f t="shared" si="1"/>
        <v>1</v>
      </c>
      <c r="AD10" s="79">
        <f t="shared" si="1"/>
        <v>1</v>
      </c>
      <c r="AE10" s="79">
        <f t="shared" si="1"/>
        <v>1</v>
      </c>
      <c r="AF10" s="79">
        <f t="shared" si="1"/>
        <v>1</v>
      </c>
      <c r="AG10" s="79">
        <f t="shared" si="1"/>
        <v>1</v>
      </c>
      <c r="AH10" s="79">
        <f t="shared" si="1"/>
        <v>1</v>
      </c>
      <c r="AI10" s="79">
        <f t="shared" si="1"/>
        <v>1</v>
      </c>
      <c r="AJ10" s="79">
        <f t="shared" si="1"/>
        <v>1</v>
      </c>
      <c r="AK10" s="79">
        <f t="shared" si="1"/>
        <v>1</v>
      </c>
      <c r="AL10" s="79">
        <f t="shared" si="2"/>
        <v>1</v>
      </c>
      <c r="AM10" s="79">
        <f t="shared" si="2"/>
        <v>1</v>
      </c>
      <c r="AN10" s="79">
        <f t="shared" si="2"/>
        <v>1</v>
      </c>
      <c r="AO10" s="79">
        <f t="shared" si="2"/>
        <v>1</v>
      </c>
      <c r="AP10" s="79">
        <f t="shared" si="2"/>
        <v>1</v>
      </c>
      <c r="AQ10" s="79">
        <f t="shared" si="2"/>
        <v>1</v>
      </c>
      <c r="AR10" s="79">
        <f t="shared" si="2"/>
        <v>1</v>
      </c>
      <c r="AS10" s="79">
        <f t="shared" si="2"/>
        <v>1</v>
      </c>
      <c r="AT10" s="79">
        <v>0</v>
      </c>
      <c r="AU10" s="79">
        <f>(SUM(C10:AT10)*40)/(44*40)</f>
        <v>0.40909090909090912</v>
      </c>
    </row>
    <row r="11" spans="1:47" x14ac:dyDescent="0.35">
      <c r="A11" s="78" t="s">
        <v>48</v>
      </c>
      <c r="B11" s="78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</row>
    <row r="12" spans="1:47" x14ac:dyDescent="0.35">
      <c r="A12" s="77" t="s">
        <v>101</v>
      </c>
      <c r="B12" s="77" t="s">
        <v>117</v>
      </c>
      <c r="C12" s="79">
        <v>0</v>
      </c>
      <c r="D12" s="79">
        <f t="shared" ref="D12:AG14" si="3">40/40</f>
        <v>1</v>
      </c>
      <c r="E12" s="79">
        <f t="shared" si="3"/>
        <v>1</v>
      </c>
      <c r="F12" s="79">
        <f t="shared" si="3"/>
        <v>1</v>
      </c>
      <c r="G12" s="79">
        <f t="shared" si="3"/>
        <v>1</v>
      </c>
      <c r="H12" s="79">
        <f t="shared" si="3"/>
        <v>1</v>
      </c>
      <c r="I12" s="79">
        <f t="shared" si="3"/>
        <v>1</v>
      </c>
      <c r="J12" s="79">
        <f t="shared" si="3"/>
        <v>1</v>
      </c>
      <c r="K12" s="79">
        <f t="shared" si="3"/>
        <v>1</v>
      </c>
      <c r="L12" s="79">
        <f t="shared" si="3"/>
        <v>1</v>
      </c>
      <c r="M12" s="79">
        <f t="shared" si="3"/>
        <v>1</v>
      </c>
      <c r="N12" s="79">
        <f t="shared" si="3"/>
        <v>1</v>
      </c>
      <c r="O12" s="79">
        <f t="shared" si="3"/>
        <v>1</v>
      </c>
      <c r="P12" s="79">
        <f t="shared" si="3"/>
        <v>1</v>
      </c>
      <c r="Q12" s="79">
        <f t="shared" si="3"/>
        <v>1</v>
      </c>
      <c r="R12" s="79">
        <f t="shared" si="3"/>
        <v>1</v>
      </c>
      <c r="S12" s="79">
        <f t="shared" si="3"/>
        <v>1</v>
      </c>
      <c r="T12" s="79">
        <f t="shared" si="3"/>
        <v>1</v>
      </c>
      <c r="U12" s="79">
        <f t="shared" si="3"/>
        <v>1</v>
      </c>
      <c r="V12" s="79">
        <f t="shared" si="3"/>
        <v>1</v>
      </c>
      <c r="W12" s="79">
        <f t="shared" si="3"/>
        <v>1</v>
      </c>
      <c r="X12" s="79">
        <f t="shared" si="3"/>
        <v>1</v>
      </c>
      <c r="Y12" s="79">
        <f t="shared" si="3"/>
        <v>1</v>
      </c>
      <c r="Z12" s="79">
        <f t="shared" si="3"/>
        <v>1</v>
      </c>
      <c r="AA12" s="79">
        <f t="shared" si="3"/>
        <v>1</v>
      </c>
      <c r="AB12" s="79">
        <f t="shared" si="3"/>
        <v>1</v>
      </c>
      <c r="AC12" s="79">
        <f t="shared" si="3"/>
        <v>1</v>
      </c>
      <c r="AD12" s="79">
        <f t="shared" si="3"/>
        <v>1</v>
      </c>
      <c r="AE12" s="79">
        <f t="shared" si="3"/>
        <v>1</v>
      </c>
      <c r="AF12" s="79">
        <f t="shared" si="3"/>
        <v>1</v>
      </c>
      <c r="AG12" s="79">
        <f t="shared" si="3"/>
        <v>1</v>
      </c>
      <c r="AH12" s="79">
        <v>0</v>
      </c>
      <c r="AI12" s="79">
        <v>0</v>
      </c>
      <c r="AJ12" s="79">
        <v>0</v>
      </c>
      <c r="AK12" s="79">
        <v>0</v>
      </c>
      <c r="AL12" s="79">
        <v>0</v>
      </c>
      <c r="AM12" s="79">
        <v>0</v>
      </c>
      <c r="AN12" s="79">
        <v>0</v>
      </c>
      <c r="AO12" s="79">
        <v>0</v>
      </c>
      <c r="AP12" s="79">
        <v>0</v>
      </c>
      <c r="AQ12" s="79">
        <v>0</v>
      </c>
      <c r="AR12" s="79">
        <v>0</v>
      </c>
      <c r="AS12" s="79">
        <v>0</v>
      </c>
      <c r="AT12" s="79">
        <v>0</v>
      </c>
      <c r="AU12" s="79">
        <f>(SUM(C12:AT12)*40)/(44*40)</f>
        <v>0.68181818181818177</v>
      </c>
    </row>
    <row r="13" spans="1:47" x14ac:dyDescent="0.35">
      <c r="A13" s="77" t="s">
        <v>102</v>
      </c>
      <c r="B13" s="77" t="s">
        <v>118</v>
      </c>
      <c r="C13" s="79">
        <v>0</v>
      </c>
      <c r="D13" s="79">
        <v>0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9">
        <f t="shared" si="3"/>
        <v>1</v>
      </c>
      <c r="K13" s="79">
        <f t="shared" si="3"/>
        <v>1</v>
      </c>
      <c r="L13" s="79">
        <f t="shared" si="3"/>
        <v>1</v>
      </c>
      <c r="M13" s="79">
        <f t="shared" si="3"/>
        <v>1</v>
      </c>
      <c r="N13" s="79">
        <f t="shared" si="3"/>
        <v>1</v>
      </c>
      <c r="O13" s="79">
        <f t="shared" si="3"/>
        <v>1</v>
      </c>
      <c r="P13" s="79">
        <f t="shared" si="3"/>
        <v>1</v>
      </c>
      <c r="Q13" s="79">
        <f t="shared" si="3"/>
        <v>1</v>
      </c>
      <c r="R13" s="79">
        <f t="shared" si="3"/>
        <v>1</v>
      </c>
      <c r="S13" s="79">
        <f t="shared" si="3"/>
        <v>1</v>
      </c>
      <c r="T13" s="79">
        <f t="shared" si="3"/>
        <v>1</v>
      </c>
      <c r="U13" s="79">
        <f t="shared" si="3"/>
        <v>1</v>
      </c>
      <c r="V13" s="79">
        <f t="shared" si="3"/>
        <v>1</v>
      </c>
      <c r="W13" s="79">
        <f t="shared" si="3"/>
        <v>1</v>
      </c>
      <c r="X13" s="79">
        <f t="shared" si="3"/>
        <v>1</v>
      </c>
      <c r="Y13" s="79">
        <f t="shared" si="3"/>
        <v>1</v>
      </c>
      <c r="Z13" s="79">
        <f t="shared" si="3"/>
        <v>1</v>
      </c>
      <c r="AA13" s="79">
        <f t="shared" si="3"/>
        <v>1</v>
      </c>
      <c r="AB13" s="79">
        <f t="shared" si="3"/>
        <v>1</v>
      </c>
      <c r="AC13" s="79">
        <f t="shared" si="3"/>
        <v>1</v>
      </c>
      <c r="AD13" s="79">
        <f t="shared" si="3"/>
        <v>1</v>
      </c>
      <c r="AE13" s="79">
        <f t="shared" si="3"/>
        <v>1</v>
      </c>
      <c r="AF13" s="79">
        <f t="shared" si="3"/>
        <v>1</v>
      </c>
      <c r="AG13" s="79">
        <f t="shared" si="3"/>
        <v>1</v>
      </c>
      <c r="AH13" s="79">
        <f t="shared" ref="AH13:AM14" si="4">40/40</f>
        <v>1</v>
      </c>
      <c r="AI13" s="79">
        <f t="shared" si="4"/>
        <v>1</v>
      </c>
      <c r="AJ13" s="79">
        <f t="shared" si="4"/>
        <v>1</v>
      </c>
      <c r="AK13" s="79">
        <f t="shared" si="4"/>
        <v>1</v>
      </c>
      <c r="AL13" s="79">
        <f t="shared" si="4"/>
        <v>1</v>
      </c>
      <c r="AM13" s="79">
        <f t="shared" si="4"/>
        <v>1</v>
      </c>
      <c r="AN13" s="79">
        <v>0</v>
      </c>
      <c r="AO13" s="79">
        <v>0</v>
      </c>
      <c r="AP13" s="79">
        <v>0</v>
      </c>
      <c r="AQ13" s="79">
        <v>0</v>
      </c>
      <c r="AR13" s="79">
        <v>0</v>
      </c>
      <c r="AS13" s="79">
        <v>0</v>
      </c>
      <c r="AT13" s="79">
        <v>0</v>
      </c>
      <c r="AU13" s="79">
        <f>(SUM(C13:AT13)*40)/(44*40)</f>
        <v>0.68181818181818177</v>
      </c>
    </row>
    <row r="14" spans="1:47" x14ac:dyDescent="0.35">
      <c r="A14" s="77" t="s">
        <v>103</v>
      </c>
      <c r="B14" s="77" t="s">
        <v>119</v>
      </c>
      <c r="C14" s="79">
        <v>0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f t="shared" si="3"/>
        <v>1</v>
      </c>
      <c r="K14" s="79">
        <f t="shared" si="3"/>
        <v>1</v>
      </c>
      <c r="L14" s="79">
        <f t="shared" si="3"/>
        <v>1</v>
      </c>
      <c r="M14" s="79">
        <f t="shared" si="3"/>
        <v>1</v>
      </c>
      <c r="N14" s="79">
        <f t="shared" si="3"/>
        <v>1</v>
      </c>
      <c r="O14" s="79">
        <f t="shared" si="3"/>
        <v>1</v>
      </c>
      <c r="P14" s="79">
        <f t="shared" si="3"/>
        <v>1</v>
      </c>
      <c r="Q14" s="79">
        <f t="shared" si="3"/>
        <v>1</v>
      </c>
      <c r="R14" s="79">
        <f t="shared" si="3"/>
        <v>1</v>
      </c>
      <c r="S14" s="79">
        <f t="shared" si="3"/>
        <v>1</v>
      </c>
      <c r="T14" s="79">
        <f t="shared" si="3"/>
        <v>1</v>
      </c>
      <c r="U14" s="79">
        <f t="shared" si="3"/>
        <v>1</v>
      </c>
      <c r="V14" s="79">
        <f t="shared" si="3"/>
        <v>1</v>
      </c>
      <c r="W14" s="79">
        <f t="shared" si="3"/>
        <v>1</v>
      </c>
      <c r="X14" s="79">
        <f t="shared" si="3"/>
        <v>1</v>
      </c>
      <c r="Y14" s="79">
        <f t="shared" si="3"/>
        <v>1</v>
      </c>
      <c r="Z14" s="79">
        <f t="shared" si="3"/>
        <v>1</v>
      </c>
      <c r="AA14" s="79">
        <f t="shared" si="3"/>
        <v>1</v>
      </c>
      <c r="AB14" s="79">
        <f t="shared" si="3"/>
        <v>1</v>
      </c>
      <c r="AC14" s="79">
        <f t="shared" si="3"/>
        <v>1</v>
      </c>
      <c r="AD14" s="79">
        <f t="shared" si="3"/>
        <v>1</v>
      </c>
      <c r="AE14" s="79">
        <f t="shared" si="3"/>
        <v>1</v>
      </c>
      <c r="AF14" s="79">
        <f t="shared" si="3"/>
        <v>1</v>
      </c>
      <c r="AG14" s="79">
        <f t="shared" si="3"/>
        <v>1</v>
      </c>
      <c r="AH14" s="79">
        <f t="shared" si="4"/>
        <v>1</v>
      </c>
      <c r="AI14" s="79">
        <f t="shared" si="4"/>
        <v>1</v>
      </c>
      <c r="AJ14" s="79">
        <f t="shared" si="4"/>
        <v>1</v>
      </c>
      <c r="AK14" s="79">
        <f t="shared" si="4"/>
        <v>1</v>
      </c>
      <c r="AL14" s="79">
        <f t="shared" si="4"/>
        <v>1</v>
      </c>
      <c r="AM14" s="79">
        <f t="shared" si="4"/>
        <v>1</v>
      </c>
      <c r="AN14" s="79">
        <v>0</v>
      </c>
      <c r="AO14" s="79">
        <v>0</v>
      </c>
      <c r="AP14" s="79">
        <v>0</v>
      </c>
      <c r="AQ14" s="79">
        <v>0</v>
      </c>
      <c r="AR14" s="79">
        <v>0</v>
      </c>
      <c r="AS14" s="79">
        <v>0</v>
      </c>
      <c r="AT14" s="79">
        <v>0</v>
      </c>
      <c r="AU14" s="79">
        <f>(SUM(C14:AT14)*40)/(44*40)</f>
        <v>0.68181818181818177</v>
      </c>
    </row>
    <row r="15" spans="1:47" x14ac:dyDescent="0.35">
      <c r="A15" s="78" t="s">
        <v>3</v>
      </c>
      <c r="B15" s="78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</row>
    <row r="16" spans="1:47" x14ac:dyDescent="0.35">
      <c r="A16" s="77" t="s">
        <v>104</v>
      </c>
      <c r="B16" s="77" t="s">
        <v>120</v>
      </c>
      <c r="C16" s="79">
        <v>0</v>
      </c>
      <c r="D16" s="79">
        <f>5/40</f>
        <v>0.125</v>
      </c>
      <c r="E16" s="79">
        <f t="shared" ref="E16:I16" si="5">5/40</f>
        <v>0.125</v>
      </c>
      <c r="F16" s="79">
        <f t="shared" si="5"/>
        <v>0.125</v>
      </c>
      <c r="G16" s="79">
        <f t="shared" si="5"/>
        <v>0.125</v>
      </c>
      <c r="H16" s="79">
        <f t="shared" si="5"/>
        <v>0.125</v>
      </c>
      <c r="I16" s="79">
        <f t="shared" si="5"/>
        <v>0.125</v>
      </c>
      <c r="J16" s="79">
        <f t="shared" ref="J16:P16" si="6">40/40</f>
        <v>1</v>
      </c>
      <c r="K16" s="79">
        <f t="shared" si="6"/>
        <v>1</v>
      </c>
      <c r="L16" s="79">
        <f t="shared" si="6"/>
        <v>1</v>
      </c>
      <c r="M16" s="79">
        <f t="shared" si="6"/>
        <v>1</v>
      </c>
      <c r="N16" s="79">
        <f t="shared" si="6"/>
        <v>1</v>
      </c>
      <c r="O16" s="79">
        <f t="shared" si="6"/>
        <v>1</v>
      </c>
      <c r="P16" s="79">
        <f t="shared" si="6"/>
        <v>1</v>
      </c>
      <c r="Q16" s="79">
        <f t="shared" ref="Q16:AG16" si="7">40/40</f>
        <v>1</v>
      </c>
      <c r="R16" s="79">
        <f t="shared" si="7"/>
        <v>1</v>
      </c>
      <c r="S16" s="79">
        <f t="shared" si="7"/>
        <v>1</v>
      </c>
      <c r="T16" s="79">
        <f t="shared" si="7"/>
        <v>1</v>
      </c>
      <c r="U16" s="79">
        <f t="shared" si="7"/>
        <v>1</v>
      </c>
      <c r="V16" s="79">
        <f t="shared" si="7"/>
        <v>1</v>
      </c>
      <c r="W16" s="79">
        <f t="shared" si="7"/>
        <v>1</v>
      </c>
      <c r="X16" s="79">
        <f t="shared" si="7"/>
        <v>1</v>
      </c>
      <c r="Y16" s="79">
        <f t="shared" si="7"/>
        <v>1</v>
      </c>
      <c r="Z16" s="79">
        <f t="shared" si="7"/>
        <v>1</v>
      </c>
      <c r="AA16" s="79">
        <f t="shared" si="7"/>
        <v>1</v>
      </c>
      <c r="AB16" s="79">
        <f t="shared" si="7"/>
        <v>1</v>
      </c>
      <c r="AC16" s="79">
        <f t="shared" si="7"/>
        <v>1</v>
      </c>
      <c r="AD16" s="79">
        <f t="shared" si="7"/>
        <v>1</v>
      </c>
      <c r="AE16" s="79">
        <f t="shared" si="7"/>
        <v>1</v>
      </c>
      <c r="AF16" s="79">
        <f t="shared" si="7"/>
        <v>1</v>
      </c>
      <c r="AG16" s="79">
        <f t="shared" si="7"/>
        <v>1</v>
      </c>
      <c r="AH16" s="79">
        <f t="shared" ref="AH16:AM16" si="8">35/40</f>
        <v>0.875</v>
      </c>
      <c r="AI16" s="79">
        <f t="shared" si="8"/>
        <v>0.875</v>
      </c>
      <c r="AJ16" s="79">
        <f t="shared" si="8"/>
        <v>0.875</v>
      </c>
      <c r="AK16" s="79">
        <f t="shared" si="8"/>
        <v>0.875</v>
      </c>
      <c r="AL16" s="79">
        <f t="shared" si="8"/>
        <v>0.875</v>
      </c>
      <c r="AM16" s="79">
        <f t="shared" si="8"/>
        <v>0.875</v>
      </c>
      <c r="AN16" s="79">
        <v>0</v>
      </c>
      <c r="AO16" s="79">
        <v>0</v>
      </c>
      <c r="AP16" s="79">
        <v>0</v>
      </c>
      <c r="AQ16" s="79">
        <v>0</v>
      </c>
      <c r="AR16" s="79">
        <v>0</v>
      </c>
      <c r="AS16" s="79">
        <v>0</v>
      </c>
      <c r="AT16" s="79">
        <v>0</v>
      </c>
      <c r="AU16" s="79">
        <f>(SUM(C16:AT16)*40)/(44*40)</f>
        <v>0.68181818181818177</v>
      </c>
    </row>
    <row r="17" spans="1:47" x14ac:dyDescent="0.35">
      <c r="A17" s="77" t="s">
        <v>105</v>
      </c>
      <c r="B17" s="77" t="s">
        <v>121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f>40/40</f>
        <v>1</v>
      </c>
      <c r="K17" s="79">
        <f t="shared" ref="K17:AM18" si="9">40/40</f>
        <v>1</v>
      </c>
      <c r="L17" s="79">
        <f t="shared" si="9"/>
        <v>1</v>
      </c>
      <c r="M17" s="79">
        <f t="shared" si="9"/>
        <v>1</v>
      </c>
      <c r="N17" s="79">
        <f t="shared" si="9"/>
        <v>1</v>
      </c>
      <c r="O17" s="79">
        <f t="shared" si="9"/>
        <v>1</v>
      </c>
      <c r="P17" s="79">
        <f t="shared" si="9"/>
        <v>1</v>
      </c>
      <c r="Q17" s="79">
        <f t="shared" si="9"/>
        <v>1</v>
      </c>
      <c r="R17" s="79">
        <f t="shared" si="9"/>
        <v>1</v>
      </c>
      <c r="S17" s="79">
        <f t="shared" si="9"/>
        <v>1</v>
      </c>
      <c r="T17" s="79">
        <f t="shared" si="9"/>
        <v>1</v>
      </c>
      <c r="U17" s="79">
        <f t="shared" si="9"/>
        <v>1</v>
      </c>
      <c r="V17" s="79">
        <f t="shared" si="9"/>
        <v>1</v>
      </c>
      <c r="W17" s="79">
        <f t="shared" si="9"/>
        <v>1</v>
      </c>
      <c r="X17" s="79">
        <f t="shared" si="9"/>
        <v>1</v>
      </c>
      <c r="Y17" s="79">
        <f t="shared" si="9"/>
        <v>1</v>
      </c>
      <c r="Z17" s="79">
        <f t="shared" si="9"/>
        <v>1</v>
      </c>
      <c r="AA17" s="79">
        <f t="shared" si="9"/>
        <v>1</v>
      </c>
      <c r="AB17" s="79">
        <f t="shared" si="9"/>
        <v>1</v>
      </c>
      <c r="AC17" s="79">
        <f t="shared" si="9"/>
        <v>1</v>
      </c>
      <c r="AD17" s="79">
        <f t="shared" si="9"/>
        <v>1</v>
      </c>
      <c r="AE17" s="79">
        <f t="shared" si="9"/>
        <v>1</v>
      </c>
      <c r="AF17" s="79">
        <f t="shared" si="9"/>
        <v>1</v>
      </c>
      <c r="AG17" s="79">
        <f t="shared" si="9"/>
        <v>1</v>
      </c>
      <c r="AH17" s="79">
        <f t="shared" si="9"/>
        <v>1</v>
      </c>
      <c r="AI17" s="79">
        <f t="shared" si="9"/>
        <v>1</v>
      </c>
      <c r="AJ17" s="79">
        <f t="shared" si="9"/>
        <v>1</v>
      </c>
      <c r="AK17" s="79">
        <f t="shared" si="9"/>
        <v>1</v>
      </c>
      <c r="AL17" s="79">
        <f t="shared" si="9"/>
        <v>1</v>
      </c>
      <c r="AM17" s="79">
        <f t="shared" si="9"/>
        <v>1</v>
      </c>
      <c r="AN17" s="79">
        <v>0</v>
      </c>
      <c r="AO17" s="79">
        <v>0</v>
      </c>
      <c r="AP17" s="79">
        <v>0</v>
      </c>
      <c r="AQ17" s="79">
        <v>0</v>
      </c>
      <c r="AR17" s="79">
        <v>0</v>
      </c>
      <c r="AS17" s="79">
        <v>0</v>
      </c>
      <c r="AT17" s="79">
        <v>0</v>
      </c>
      <c r="AU17" s="79">
        <f>(SUM(C17:AT17)*40)/(44*40)</f>
        <v>0.68181818181818177</v>
      </c>
    </row>
    <row r="18" spans="1:47" x14ac:dyDescent="0.35">
      <c r="A18" s="77" t="s">
        <v>106</v>
      </c>
      <c r="B18" s="77" t="s">
        <v>122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f t="shared" ref="J18" si="10">40/40</f>
        <v>1</v>
      </c>
      <c r="K18" s="79">
        <f t="shared" si="9"/>
        <v>1</v>
      </c>
      <c r="L18" s="79">
        <f t="shared" si="9"/>
        <v>1</v>
      </c>
      <c r="M18" s="79">
        <f t="shared" si="9"/>
        <v>1</v>
      </c>
      <c r="N18" s="79">
        <f t="shared" si="9"/>
        <v>1</v>
      </c>
      <c r="O18" s="79">
        <f t="shared" si="9"/>
        <v>1</v>
      </c>
      <c r="P18" s="79">
        <f t="shared" si="9"/>
        <v>1</v>
      </c>
      <c r="Q18" s="79">
        <f t="shared" si="9"/>
        <v>1</v>
      </c>
      <c r="R18" s="79">
        <f t="shared" si="9"/>
        <v>1</v>
      </c>
      <c r="S18" s="79">
        <f t="shared" si="9"/>
        <v>1</v>
      </c>
      <c r="T18" s="79">
        <f t="shared" si="9"/>
        <v>1</v>
      </c>
      <c r="U18" s="79">
        <f t="shared" si="9"/>
        <v>1</v>
      </c>
      <c r="V18" s="79">
        <f t="shared" si="9"/>
        <v>1</v>
      </c>
      <c r="W18" s="79">
        <f t="shared" si="9"/>
        <v>1</v>
      </c>
      <c r="X18" s="79">
        <f t="shared" si="9"/>
        <v>1</v>
      </c>
      <c r="Y18" s="79">
        <f t="shared" si="9"/>
        <v>1</v>
      </c>
      <c r="Z18" s="79">
        <f t="shared" si="9"/>
        <v>1</v>
      </c>
      <c r="AA18" s="79">
        <f t="shared" si="9"/>
        <v>1</v>
      </c>
      <c r="AB18" s="79">
        <f t="shared" si="9"/>
        <v>1</v>
      </c>
      <c r="AC18" s="79">
        <f t="shared" si="9"/>
        <v>1</v>
      </c>
      <c r="AD18" s="79">
        <f t="shared" si="9"/>
        <v>1</v>
      </c>
      <c r="AE18" s="79">
        <f t="shared" si="9"/>
        <v>1</v>
      </c>
      <c r="AF18" s="79">
        <f t="shared" si="9"/>
        <v>1</v>
      </c>
      <c r="AG18" s="79">
        <f t="shared" si="9"/>
        <v>1</v>
      </c>
      <c r="AH18" s="79">
        <f t="shared" si="9"/>
        <v>1</v>
      </c>
      <c r="AI18" s="79">
        <f t="shared" si="9"/>
        <v>1</v>
      </c>
      <c r="AJ18" s="79">
        <f t="shared" si="9"/>
        <v>1</v>
      </c>
      <c r="AK18" s="79">
        <f t="shared" si="9"/>
        <v>1</v>
      </c>
      <c r="AL18" s="79">
        <f t="shared" si="9"/>
        <v>1</v>
      </c>
      <c r="AM18" s="79">
        <f t="shared" si="9"/>
        <v>1</v>
      </c>
      <c r="AN18" s="79">
        <v>0</v>
      </c>
      <c r="AO18" s="79">
        <v>0</v>
      </c>
      <c r="AP18" s="79">
        <v>0</v>
      </c>
      <c r="AQ18" s="79">
        <v>0</v>
      </c>
      <c r="AR18" s="79">
        <v>0</v>
      </c>
      <c r="AS18" s="79">
        <v>0</v>
      </c>
      <c r="AT18" s="79">
        <v>0</v>
      </c>
      <c r="AU18" s="79">
        <f>(SUM(C18:AT18)*40)/(44*40)</f>
        <v>0.68181818181818177</v>
      </c>
    </row>
    <row r="19" spans="1:47" ht="15.75" customHeight="1" x14ac:dyDescent="0.35">
      <c r="A19" s="78" t="s">
        <v>129</v>
      </c>
      <c r="B19" s="78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</row>
    <row r="20" spans="1:47" x14ac:dyDescent="0.35">
      <c r="A20" s="77" t="s">
        <v>130</v>
      </c>
      <c r="B20" s="77" t="s">
        <v>123</v>
      </c>
      <c r="C20" s="79">
        <f>20/40</f>
        <v>0.5</v>
      </c>
      <c r="D20" s="79">
        <f>5/40</f>
        <v>0.125</v>
      </c>
      <c r="E20" s="79">
        <f>5/40</f>
        <v>0.125</v>
      </c>
      <c r="F20" s="79">
        <f>5/40</f>
        <v>0.125</v>
      </c>
      <c r="G20" s="79">
        <f>5/40</f>
        <v>0.125</v>
      </c>
      <c r="H20" s="79">
        <f>5/40</f>
        <v>0.125</v>
      </c>
      <c r="I20" s="79">
        <f>25/40</f>
        <v>0.625</v>
      </c>
      <c r="J20" s="79">
        <f>19/40</f>
        <v>0.47499999999999998</v>
      </c>
      <c r="K20" s="79">
        <f>20/40</f>
        <v>0.5</v>
      </c>
      <c r="L20" s="79">
        <f>20/40</f>
        <v>0.5</v>
      </c>
      <c r="M20" s="79">
        <f>20/40</f>
        <v>0.5</v>
      </c>
      <c r="N20" s="79">
        <f>20/40</f>
        <v>0.5</v>
      </c>
      <c r="O20" s="79">
        <f>35/40</f>
        <v>0.875</v>
      </c>
      <c r="P20" s="79">
        <f>19/40</f>
        <v>0.47499999999999998</v>
      </c>
      <c r="Q20" s="79">
        <f>20/40</f>
        <v>0.5</v>
      </c>
      <c r="R20" s="79">
        <f>20/40</f>
        <v>0.5</v>
      </c>
      <c r="S20" s="79">
        <f>20/40</f>
        <v>0.5</v>
      </c>
      <c r="T20" s="79">
        <f>20/40</f>
        <v>0.5</v>
      </c>
      <c r="U20" s="79">
        <f>35/40</f>
        <v>0.875</v>
      </c>
      <c r="V20" s="79">
        <f>39/40</f>
        <v>0.97499999999999998</v>
      </c>
      <c r="W20" s="79">
        <f>20/40</f>
        <v>0.5</v>
      </c>
      <c r="X20" s="79">
        <f>20/40</f>
        <v>0.5</v>
      </c>
      <c r="Y20" s="79">
        <f>20/40</f>
        <v>0.5</v>
      </c>
      <c r="Z20" s="79">
        <f>20/40</f>
        <v>0.5</v>
      </c>
      <c r="AA20" s="79">
        <f>35/40</f>
        <v>0.875</v>
      </c>
      <c r="AB20" s="79">
        <f>39/40</f>
        <v>0.97499999999999998</v>
      </c>
      <c r="AC20" s="79">
        <f>20/40</f>
        <v>0.5</v>
      </c>
      <c r="AD20" s="79">
        <f>20/40</f>
        <v>0.5</v>
      </c>
      <c r="AE20" s="79">
        <f>20/40</f>
        <v>0.5</v>
      </c>
      <c r="AF20" s="79">
        <f>20/40</f>
        <v>0.5</v>
      </c>
      <c r="AG20" s="79">
        <f t="shared" ref="AG20" si="11">15/40</f>
        <v>0.375</v>
      </c>
      <c r="AH20" s="79">
        <f>34/40</f>
        <v>0.85</v>
      </c>
      <c r="AI20" s="79">
        <f>15/40</f>
        <v>0.375</v>
      </c>
      <c r="AJ20" s="79">
        <f>15/40</f>
        <v>0.375</v>
      </c>
      <c r="AK20" s="79">
        <f>15/40</f>
        <v>0.375</v>
      </c>
      <c r="AL20" s="79">
        <f>15/40</f>
        <v>0.375</v>
      </c>
      <c r="AM20" s="79">
        <f>10/40</f>
        <v>0.25</v>
      </c>
      <c r="AN20" s="79">
        <f>20/40</f>
        <v>0.5</v>
      </c>
      <c r="AO20" s="79">
        <v>0</v>
      </c>
      <c r="AP20" s="79">
        <v>0</v>
      </c>
      <c r="AQ20" s="79">
        <v>0</v>
      </c>
      <c r="AR20" s="79">
        <v>0</v>
      </c>
      <c r="AS20" s="79">
        <v>0</v>
      </c>
      <c r="AT20" s="79">
        <f>20/40</f>
        <v>0.5</v>
      </c>
      <c r="AU20" s="79">
        <f>(SUM(C20:AT20)*40)/(44*40)</f>
        <v>0.4375</v>
      </c>
    </row>
    <row r="21" spans="1:47" x14ac:dyDescent="0.35">
      <c r="A21" s="77" t="s">
        <v>131</v>
      </c>
      <c r="B21" s="77" t="s">
        <v>132</v>
      </c>
      <c r="C21" s="79">
        <f>6.7/40</f>
        <v>0.16750000000000001</v>
      </c>
      <c r="D21" s="79">
        <f>1.7/40</f>
        <v>4.2499999999999996E-2</v>
      </c>
      <c r="E21" s="79">
        <f t="shared" ref="E21:H23" si="12">1.7/40</f>
        <v>4.2499999999999996E-2</v>
      </c>
      <c r="F21" s="79">
        <f t="shared" si="12"/>
        <v>4.2499999999999996E-2</v>
      </c>
      <c r="G21" s="79">
        <f t="shared" si="12"/>
        <v>4.2499999999999996E-2</v>
      </c>
      <c r="H21" s="79">
        <f t="shared" si="12"/>
        <v>4.2499999999999996E-2</v>
      </c>
      <c r="I21" s="79">
        <f>8.3/40</f>
        <v>0.20750000000000002</v>
      </c>
      <c r="J21" s="79">
        <f>6.3/40</f>
        <v>0.1575</v>
      </c>
      <c r="K21" s="79">
        <f>6.7/40</f>
        <v>0.16750000000000001</v>
      </c>
      <c r="L21" s="79">
        <f t="shared" ref="L21:N23" si="13">6.7/40</f>
        <v>0.16750000000000001</v>
      </c>
      <c r="M21" s="79">
        <f t="shared" si="13"/>
        <v>0.16750000000000001</v>
      </c>
      <c r="N21" s="79">
        <f t="shared" si="13"/>
        <v>0.16750000000000001</v>
      </c>
      <c r="O21" s="79">
        <f>12/40</f>
        <v>0.3</v>
      </c>
      <c r="P21" s="79">
        <f>13/40</f>
        <v>0.32500000000000001</v>
      </c>
      <c r="Q21" s="79">
        <f>6.7/40</f>
        <v>0.16750000000000001</v>
      </c>
      <c r="R21" s="79">
        <f t="shared" ref="R21:T23" si="14">6.7/40</f>
        <v>0.16750000000000001</v>
      </c>
      <c r="S21" s="79">
        <f t="shared" si="14"/>
        <v>0.16750000000000001</v>
      </c>
      <c r="T21" s="79">
        <f t="shared" si="14"/>
        <v>0.16750000000000001</v>
      </c>
      <c r="U21" s="79">
        <f>12/40</f>
        <v>0.3</v>
      </c>
      <c r="V21" s="79">
        <f>20/40</f>
        <v>0.5</v>
      </c>
      <c r="W21" s="79">
        <f>6.7/40</f>
        <v>0.16750000000000001</v>
      </c>
      <c r="X21" s="79">
        <f t="shared" ref="X21:Z23" si="15">6.7/40</f>
        <v>0.16750000000000001</v>
      </c>
      <c r="Y21" s="79">
        <f t="shared" si="15"/>
        <v>0.16750000000000001</v>
      </c>
      <c r="Z21" s="79">
        <f t="shared" si="15"/>
        <v>0.16750000000000001</v>
      </c>
      <c r="AA21" s="79">
        <f>12/40</f>
        <v>0.3</v>
      </c>
      <c r="AB21" s="79">
        <f>20/40</f>
        <v>0.5</v>
      </c>
      <c r="AC21" s="79">
        <f>6.7/40</f>
        <v>0.16750000000000001</v>
      </c>
      <c r="AD21" s="79">
        <f t="shared" ref="AD21:AF23" si="16">6.7/40</f>
        <v>0.16750000000000001</v>
      </c>
      <c r="AE21" s="79">
        <f t="shared" si="16"/>
        <v>0.16750000000000001</v>
      </c>
      <c r="AF21" s="79">
        <f t="shared" si="16"/>
        <v>0.16750000000000001</v>
      </c>
      <c r="AG21" s="79">
        <f>12/40</f>
        <v>0.3</v>
      </c>
      <c r="AH21" s="79">
        <f>18/40</f>
        <v>0.45</v>
      </c>
      <c r="AI21" s="79">
        <f>5/40</f>
        <v>0.125</v>
      </c>
      <c r="AJ21" s="79">
        <f t="shared" ref="AJ21:AL23" si="17">5/40</f>
        <v>0.125</v>
      </c>
      <c r="AK21" s="79">
        <f t="shared" si="17"/>
        <v>0.125</v>
      </c>
      <c r="AL21" s="79">
        <f t="shared" si="17"/>
        <v>0.125</v>
      </c>
      <c r="AM21" s="79">
        <f>3.3/40</f>
        <v>8.249999999999999E-2</v>
      </c>
      <c r="AN21" s="79">
        <f>13/40</f>
        <v>0.32500000000000001</v>
      </c>
      <c r="AO21" s="79">
        <v>0</v>
      </c>
      <c r="AP21" s="79">
        <v>0</v>
      </c>
      <c r="AQ21" s="79">
        <v>0</v>
      </c>
      <c r="AR21" s="79">
        <v>0</v>
      </c>
      <c r="AS21" s="79">
        <v>0</v>
      </c>
      <c r="AT21" s="79">
        <f>6.7/40</f>
        <v>0.16750000000000001</v>
      </c>
      <c r="AU21" s="79">
        <f>(SUM(C21:AT21)*40)/(44*40)</f>
        <v>0.1698863636363637</v>
      </c>
    </row>
    <row r="22" spans="1:47" x14ac:dyDescent="0.35">
      <c r="A22" s="77" t="s">
        <v>131</v>
      </c>
      <c r="B22" s="77" t="s">
        <v>133</v>
      </c>
      <c r="C22" s="79">
        <f>6.7/40</f>
        <v>0.16750000000000001</v>
      </c>
      <c r="D22" s="79">
        <f>1.7/40</f>
        <v>4.2499999999999996E-2</v>
      </c>
      <c r="E22" s="79">
        <f t="shared" si="12"/>
        <v>4.2499999999999996E-2</v>
      </c>
      <c r="F22" s="79">
        <f t="shared" si="12"/>
        <v>4.2499999999999996E-2</v>
      </c>
      <c r="G22" s="79">
        <f t="shared" si="12"/>
        <v>4.2499999999999996E-2</v>
      </c>
      <c r="H22" s="79">
        <f t="shared" si="12"/>
        <v>4.2499999999999996E-2</v>
      </c>
      <c r="I22" s="79">
        <f>8.3/40</f>
        <v>0.20750000000000002</v>
      </c>
      <c r="J22" s="79">
        <f>6.3/40</f>
        <v>0.1575</v>
      </c>
      <c r="K22" s="79">
        <f>6.7/40</f>
        <v>0.16750000000000001</v>
      </c>
      <c r="L22" s="79">
        <f t="shared" si="13"/>
        <v>0.16750000000000001</v>
      </c>
      <c r="M22" s="79">
        <f t="shared" si="13"/>
        <v>0.16750000000000001</v>
      </c>
      <c r="N22" s="79">
        <f t="shared" si="13"/>
        <v>0.16750000000000001</v>
      </c>
      <c r="O22" s="79">
        <f>12/40</f>
        <v>0.3</v>
      </c>
      <c r="P22" s="79">
        <f>13/40</f>
        <v>0.32500000000000001</v>
      </c>
      <c r="Q22" s="79">
        <f>6.7/40</f>
        <v>0.16750000000000001</v>
      </c>
      <c r="R22" s="79">
        <f t="shared" si="14"/>
        <v>0.16750000000000001</v>
      </c>
      <c r="S22" s="79">
        <f t="shared" si="14"/>
        <v>0.16750000000000001</v>
      </c>
      <c r="T22" s="79">
        <f t="shared" si="14"/>
        <v>0.16750000000000001</v>
      </c>
      <c r="U22" s="79">
        <f>12/40</f>
        <v>0.3</v>
      </c>
      <c r="V22" s="79">
        <f>20/40</f>
        <v>0.5</v>
      </c>
      <c r="W22" s="79">
        <f>6.7/40</f>
        <v>0.16750000000000001</v>
      </c>
      <c r="X22" s="79">
        <f t="shared" si="15"/>
        <v>0.16750000000000001</v>
      </c>
      <c r="Y22" s="79">
        <f t="shared" si="15"/>
        <v>0.16750000000000001</v>
      </c>
      <c r="Z22" s="79">
        <f t="shared" si="15"/>
        <v>0.16750000000000001</v>
      </c>
      <c r="AA22" s="79">
        <f>12/40</f>
        <v>0.3</v>
      </c>
      <c r="AB22" s="79">
        <f>20/40</f>
        <v>0.5</v>
      </c>
      <c r="AC22" s="79">
        <f>6.7/40</f>
        <v>0.16750000000000001</v>
      </c>
      <c r="AD22" s="79">
        <f t="shared" si="16"/>
        <v>0.16750000000000001</v>
      </c>
      <c r="AE22" s="79">
        <f t="shared" si="16"/>
        <v>0.16750000000000001</v>
      </c>
      <c r="AF22" s="79">
        <f t="shared" si="16"/>
        <v>0.16750000000000001</v>
      </c>
      <c r="AG22" s="79">
        <f>12/40</f>
        <v>0.3</v>
      </c>
      <c r="AH22" s="79">
        <f>18/40</f>
        <v>0.45</v>
      </c>
      <c r="AI22" s="79">
        <f>5/40</f>
        <v>0.125</v>
      </c>
      <c r="AJ22" s="79">
        <f t="shared" si="17"/>
        <v>0.125</v>
      </c>
      <c r="AK22" s="79">
        <f t="shared" si="17"/>
        <v>0.125</v>
      </c>
      <c r="AL22" s="79">
        <f t="shared" si="17"/>
        <v>0.125</v>
      </c>
      <c r="AM22" s="79">
        <f>3.3/40</f>
        <v>8.249999999999999E-2</v>
      </c>
      <c r="AN22" s="79">
        <f>13/40</f>
        <v>0.32500000000000001</v>
      </c>
      <c r="AO22" s="79">
        <v>0</v>
      </c>
      <c r="AP22" s="79">
        <v>0</v>
      </c>
      <c r="AQ22" s="79">
        <v>0</v>
      </c>
      <c r="AR22" s="79">
        <v>0</v>
      </c>
      <c r="AS22" s="79">
        <v>0</v>
      </c>
      <c r="AT22" s="79">
        <f>6.7/40</f>
        <v>0.16750000000000001</v>
      </c>
      <c r="AU22" s="79">
        <f>(SUM(C22:AT22)*40)/(44*40)</f>
        <v>0.1698863636363637</v>
      </c>
    </row>
    <row r="23" spans="1:47" x14ac:dyDescent="0.35">
      <c r="A23" s="77" t="s">
        <v>131</v>
      </c>
      <c r="B23" s="77" t="s">
        <v>134</v>
      </c>
      <c r="C23" s="79">
        <f>6.7/40</f>
        <v>0.16750000000000001</v>
      </c>
      <c r="D23" s="79">
        <f>1.7/40</f>
        <v>4.2499999999999996E-2</v>
      </c>
      <c r="E23" s="79">
        <f t="shared" si="12"/>
        <v>4.2499999999999996E-2</v>
      </c>
      <c r="F23" s="79">
        <f t="shared" si="12"/>
        <v>4.2499999999999996E-2</v>
      </c>
      <c r="G23" s="79">
        <f t="shared" si="12"/>
        <v>4.2499999999999996E-2</v>
      </c>
      <c r="H23" s="79">
        <f t="shared" si="12"/>
        <v>4.2499999999999996E-2</v>
      </c>
      <c r="I23" s="79">
        <f>8.3/40</f>
        <v>0.20750000000000002</v>
      </c>
      <c r="J23" s="79">
        <f>6.3/40</f>
        <v>0.1575</v>
      </c>
      <c r="K23" s="79">
        <f>6.7/40</f>
        <v>0.16750000000000001</v>
      </c>
      <c r="L23" s="79">
        <f t="shared" si="13"/>
        <v>0.16750000000000001</v>
      </c>
      <c r="M23" s="79">
        <f t="shared" si="13"/>
        <v>0.16750000000000001</v>
      </c>
      <c r="N23" s="79">
        <f t="shared" si="13"/>
        <v>0.16750000000000001</v>
      </c>
      <c r="O23" s="79">
        <f>12/40</f>
        <v>0.3</v>
      </c>
      <c r="P23" s="79">
        <f>13/40</f>
        <v>0.32500000000000001</v>
      </c>
      <c r="Q23" s="79">
        <f>6.7/40</f>
        <v>0.16750000000000001</v>
      </c>
      <c r="R23" s="79">
        <f t="shared" si="14"/>
        <v>0.16750000000000001</v>
      </c>
      <c r="S23" s="79">
        <f t="shared" si="14"/>
        <v>0.16750000000000001</v>
      </c>
      <c r="T23" s="79">
        <f t="shared" si="14"/>
        <v>0.16750000000000001</v>
      </c>
      <c r="U23" s="79">
        <f>12/40</f>
        <v>0.3</v>
      </c>
      <c r="V23" s="79">
        <f>20/40</f>
        <v>0.5</v>
      </c>
      <c r="W23" s="79">
        <f>6.7/40</f>
        <v>0.16750000000000001</v>
      </c>
      <c r="X23" s="79">
        <f t="shared" si="15"/>
        <v>0.16750000000000001</v>
      </c>
      <c r="Y23" s="79">
        <f t="shared" si="15"/>
        <v>0.16750000000000001</v>
      </c>
      <c r="Z23" s="79">
        <f t="shared" si="15"/>
        <v>0.16750000000000001</v>
      </c>
      <c r="AA23" s="79">
        <f>12/40</f>
        <v>0.3</v>
      </c>
      <c r="AB23" s="79">
        <f>20/40</f>
        <v>0.5</v>
      </c>
      <c r="AC23" s="79">
        <f>6.7/40</f>
        <v>0.16750000000000001</v>
      </c>
      <c r="AD23" s="79">
        <f t="shared" si="16"/>
        <v>0.16750000000000001</v>
      </c>
      <c r="AE23" s="79">
        <f t="shared" si="16"/>
        <v>0.16750000000000001</v>
      </c>
      <c r="AF23" s="79">
        <f t="shared" si="16"/>
        <v>0.16750000000000001</v>
      </c>
      <c r="AG23" s="79">
        <f>12/40</f>
        <v>0.3</v>
      </c>
      <c r="AH23" s="79">
        <f>18/40</f>
        <v>0.45</v>
      </c>
      <c r="AI23" s="79">
        <f>5/40</f>
        <v>0.125</v>
      </c>
      <c r="AJ23" s="79">
        <f t="shared" si="17"/>
        <v>0.125</v>
      </c>
      <c r="AK23" s="79">
        <f t="shared" si="17"/>
        <v>0.125</v>
      </c>
      <c r="AL23" s="79">
        <f t="shared" si="17"/>
        <v>0.125</v>
      </c>
      <c r="AM23" s="79">
        <f>3.3/40</f>
        <v>8.249999999999999E-2</v>
      </c>
      <c r="AN23" s="79">
        <f>13/40</f>
        <v>0.32500000000000001</v>
      </c>
      <c r="AO23" s="79">
        <v>0</v>
      </c>
      <c r="AP23" s="79">
        <v>0</v>
      </c>
      <c r="AQ23" s="79">
        <v>0</v>
      </c>
      <c r="AR23" s="79">
        <v>0</v>
      </c>
      <c r="AS23" s="79">
        <v>0</v>
      </c>
      <c r="AT23" s="79">
        <f>6.7/40</f>
        <v>0.16750000000000001</v>
      </c>
      <c r="AU23" s="79">
        <f>(SUM(C23:AT23)*40)/(44*40)</f>
        <v>0.1698863636363637</v>
      </c>
    </row>
    <row r="24" spans="1:47" x14ac:dyDescent="0.35">
      <c r="A24" s="78" t="s">
        <v>22</v>
      </c>
      <c r="B24" s="78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</row>
    <row r="25" spans="1:47" x14ac:dyDescent="0.35">
      <c r="A25" s="77" t="s">
        <v>109</v>
      </c>
      <c r="B25" s="77" t="s">
        <v>124</v>
      </c>
      <c r="C25" s="79">
        <v>0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f>40/40</f>
        <v>1</v>
      </c>
      <c r="Q25" s="79">
        <f t="shared" ref="Q25:AS25" si="18">40/40</f>
        <v>1</v>
      </c>
      <c r="R25" s="79">
        <f t="shared" si="18"/>
        <v>1</v>
      </c>
      <c r="S25" s="79">
        <f t="shared" si="18"/>
        <v>1</v>
      </c>
      <c r="T25" s="79">
        <f t="shared" si="18"/>
        <v>1</v>
      </c>
      <c r="U25" s="79">
        <f t="shared" si="18"/>
        <v>1</v>
      </c>
      <c r="V25" s="79">
        <f t="shared" si="18"/>
        <v>1</v>
      </c>
      <c r="W25" s="79">
        <f t="shared" si="18"/>
        <v>1</v>
      </c>
      <c r="X25" s="79">
        <f t="shared" si="18"/>
        <v>1</v>
      </c>
      <c r="Y25" s="79">
        <f t="shared" si="18"/>
        <v>1</v>
      </c>
      <c r="Z25" s="79">
        <f t="shared" si="18"/>
        <v>1</v>
      </c>
      <c r="AA25" s="79">
        <f t="shared" si="18"/>
        <v>1</v>
      </c>
      <c r="AB25" s="79">
        <f t="shared" si="18"/>
        <v>1</v>
      </c>
      <c r="AC25" s="79">
        <f t="shared" si="18"/>
        <v>1</v>
      </c>
      <c r="AD25" s="79">
        <f t="shared" si="18"/>
        <v>1</v>
      </c>
      <c r="AE25" s="79">
        <f t="shared" si="18"/>
        <v>1</v>
      </c>
      <c r="AF25" s="79">
        <f t="shared" si="18"/>
        <v>1</v>
      </c>
      <c r="AG25" s="79">
        <f t="shared" si="18"/>
        <v>1</v>
      </c>
      <c r="AH25" s="79">
        <f t="shared" si="18"/>
        <v>1</v>
      </c>
      <c r="AI25" s="79">
        <f t="shared" si="18"/>
        <v>1</v>
      </c>
      <c r="AJ25" s="79">
        <f t="shared" si="18"/>
        <v>1</v>
      </c>
      <c r="AK25" s="79">
        <f t="shared" si="18"/>
        <v>1</v>
      </c>
      <c r="AL25" s="79">
        <f t="shared" si="18"/>
        <v>1</v>
      </c>
      <c r="AM25" s="79">
        <f t="shared" si="18"/>
        <v>1</v>
      </c>
      <c r="AN25" s="79">
        <f t="shared" si="18"/>
        <v>1</v>
      </c>
      <c r="AO25" s="79">
        <f t="shared" si="18"/>
        <v>1</v>
      </c>
      <c r="AP25" s="79">
        <f t="shared" si="18"/>
        <v>1</v>
      </c>
      <c r="AQ25" s="79">
        <f t="shared" si="18"/>
        <v>1</v>
      </c>
      <c r="AR25" s="79">
        <f t="shared" si="18"/>
        <v>1</v>
      </c>
      <c r="AS25" s="79">
        <f t="shared" si="18"/>
        <v>1</v>
      </c>
      <c r="AT25" s="79">
        <v>0</v>
      </c>
      <c r="AU25" s="79">
        <f>(SUM(C25:AT25)*40)/(44*40)</f>
        <v>0.68181818181818177</v>
      </c>
    </row>
  </sheetData>
  <mergeCells count="2">
    <mergeCell ref="C3:AT3"/>
    <mergeCell ref="AU3:AU4"/>
  </mergeCells>
  <pageMargins left="0.7" right="0.7" top="0.75" bottom="0.75" header="0.3" footer="0.3"/>
  <pageSetup orientation="portrait" r:id="rId1"/>
  <ignoredErrors>
    <ignoredError sqref="AH2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30ABD068-BAE6-45F8-94E7-0F0F3D39B4E9}">
            <x14:iconSet iconSet="5Boxes" showValue="0">
              <x14:cfvo type="percent">
                <xm:f>0</xm:f>
              </x14:cfvo>
              <x14:cfvo type="num" gte="0">
                <xm:f>0</xm:f>
              </x14:cfvo>
              <x14:cfvo type="num" gte="0">
                <xm:f>0.25</xm:f>
              </x14:cfvo>
              <x14:cfvo type="num" gte="0">
                <xm:f>0.5</xm:f>
              </x14:cfvo>
              <x14:cfvo type="num" gte="0">
                <xm:f>0.75</xm:f>
              </x14:cfvo>
            </x14:iconSet>
          </x14:cfRule>
          <xm:sqref>C5:AT25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.75" x14ac:dyDescent="0.35"/>
  <cols>
    <col min="1" max="1" width="12.7109375" style="1" customWidth="1"/>
    <col min="2" max="3" width="10.7109375" style="1" customWidth="1"/>
    <col min="4" max="4" width="41.42578125" style="8" customWidth="1"/>
    <col min="5" max="5" width="33.7109375" style="8" customWidth="1"/>
    <col min="6" max="16384" width="9.140625" style="8"/>
  </cols>
  <sheetData>
    <row r="1" spans="1:5" x14ac:dyDescent="0.35">
      <c r="A1" s="56" t="s">
        <v>97</v>
      </c>
    </row>
    <row r="3" spans="1:5" x14ac:dyDescent="0.35">
      <c r="A3" s="68" t="s">
        <v>73</v>
      </c>
      <c r="B3" s="68" t="s">
        <v>71</v>
      </c>
      <c r="C3" s="68" t="s">
        <v>72</v>
      </c>
      <c r="D3" s="9" t="s">
        <v>74</v>
      </c>
      <c r="E3" s="9" t="s">
        <v>75</v>
      </c>
    </row>
    <row r="5" spans="1:5" x14ac:dyDescent="0.35">
      <c r="A5" s="67">
        <v>39630</v>
      </c>
      <c r="B5" s="66" t="s">
        <v>60</v>
      </c>
      <c r="C5" s="66" t="s">
        <v>60</v>
      </c>
      <c r="D5" s="8" t="s">
        <v>59</v>
      </c>
    </row>
    <row r="6" spans="1:5" x14ac:dyDescent="0.35">
      <c r="D6" s="8" t="s">
        <v>0</v>
      </c>
    </row>
    <row r="7" spans="1:5" x14ac:dyDescent="0.35">
      <c r="D7" s="8" t="s">
        <v>76</v>
      </c>
    </row>
    <row r="8" spans="1:5" x14ac:dyDescent="0.35">
      <c r="A8" s="67">
        <v>39753</v>
      </c>
      <c r="B8" s="66" t="s">
        <v>79</v>
      </c>
      <c r="C8" s="1" t="s">
        <v>96</v>
      </c>
      <c r="E8" s="8" t="s">
        <v>80</v>
      </c>
    </row>
    <row r="9" spans="1:5" x14ac:dyDescent="0.35">
      <c r="A9" s="67">
        <v>39904</v>
      </c>
      <c r="B9" s="1" t="s">
        <v>77</v>
      </c>
      <c r="C9" s="1" t="s">
        <v>96</v>
      </c>
      <c r="E9" s="8" t="s">
        <v>78</v>
      </c>
    </row>
    <row r="10" spans="1:5" x14ac:dyDescent="0.35">
      <c r="A10" s="67">
        <v>40269</v>
      </c>
      <c r="B10" s="66" t="s">
        <v>61</v>
      </c>
      <c r="C10" s="1" t="s">
        <v>96</v>
      </c>
      <c r="D10" s="8" t="s">
        <v>49</v>
      </c>
    </row>
    <row r="11" spans="1:5" x14ac:dyDescent="0.35">
      <c r="A11" s="67">
        <v>40483</v>
      </c>
      <c r="B11" s="66" t="s">
        <v>62</v>
      </c>
      <c r="C11" s="1" t="s">
        <v>96</v>
      </c>
      <c r="D11" s="8" t="s">
        <v>63</v>
      </c>
    </row>
    <row r="12" spans="1:5" x14ac:dyDescent="0.35">
      <c r="A12" s="67">
        <v>40725</v>
      </c>
      <c r="B12" s="66" t="s">
        <v>81</v>
      </c>
      <c r="C12" s="1" t="s">
        <v>96</v>
      </c>
      <c r="E12" s="8" t="s">
        <v>82</v>
      </c>
    </row>
    <row r="13" spans="1:5" x14ac:dyDescent="0.35">
      <c r="A13" s="67">
        <v>40787</v>
      </c>
      <c r="B13" s="66" t="s">
        <v>83</v>
      </c>
      <c r="C13" s="1" t="s">
        <v>96</v>
      </c>
      <c r="E13" s="8" t="s">
        <v>84</v>
      </c>
    </row>
    <row r="14" spans="1:5" x14ac:dyDescent="0.35">
      <c r="A14" s="67">
        <v>40878</v>
      </c>
      <c r="B14" s="66" t="s">
        <v>85</v>
      </c>
      <c r="C14" s="1" t="s">
        <v>96</v>
      </c>
      <c r="E14" s="8" t="s">
        <v>86</v>
      </c>
    </row>
    <row r="15" spans="1:5" x14ac:dyDescent="0.35">
      <c r="A15" s="67">
        <v>40969</v>
      </c>
      <c r="B15" s="66" t="s">
        <v>69</v>
      </c>
      <c r="C15" s="66" t="s">
        <v>61</v>
      </c>
      <c r="D15" s="8" t="s">
        <v>65</v>
      </c>
      <c r="E15" s="8" t="s">
        <v>86</v>
      </c>
    </row>
    <row r="16" spans="1:5" x14ac:dyDescent="0.35">
      <c r="C16" s="1" t="s">
        <v>96</v>
      </c>
      <c r="D16" s="8" t="s">
        <v>66</v>
      </c>
    </row>
    <row r="17" spans="1:5" x14ac:dyDescent="0.35">
      <c r="C17" s="1" t="s">
        <v>96</v>
      </c>
      <c r="D17" s="8" t="s">
        <v>67</v>
      </c>
    </row>
    <row r="18" spans="1:5" x14ac:dyDescent="0.35">
      <c r="C18" s="1" t="s">
        <v>96</v>
      </c>
      <c r="D18" s="8" t="s">
        <v>68</v>
      </c>
    </row>
    <row r="19" spans="1:5" x14ac:dyDescent="0.35">
      <c r="A19" s="67">
        <v>41061</v>
      </c>
      <c r="B19" s="66" t="s">
        <v>64</v>
      </c>
      <c r="C19" s="66" t="s">
        <v>70</v>
      </c>
      <c r="D19" s="8" t="s">
        <v>87</v>
      </c>
      <c r="E19" s="8" t="s">
        <v>88</v>
      </c>
    </row>
    <row r="20" spans="1:5" x14ac:dyDescent="0.35">
      <c r="A20" s="67">
        <v>41122</v>
      </c>
      <c r="B20" s="66" t="s">
        <v>89</v>
      </c>
      <c r="C20" s="1" t="s">
        <v>96</v>
      </c>
      <c r="E20" s="8" t="s">
        <v>78</v>
      </c>
    </row>
    <row r="21" spans="1:5" x14ac:dyDescent="0.35">
      <c r="A21" s="67">
        <v>41365</v>
      </c>
      <c r="B21" s="66" t="s">
        <v>90</v>
      </c>
      <c r="C21" s="66" t="s">
        <v>91</v>
      </c>
      <c r="E21" s="8" t="s">
        <v>82</v>
      </c>
    </row>
    <row r="22" spans="1:5" x14ac:dyDescent="0.35">
      <c r="A22" s="67">
        <v>41456</v>
      </c>
      <c r="B22" s="66" t="s">
        <v>92</v>
      </c>
      <c r="C22" s="66" t="s">
        <v>93</v>
      </c>
      <c r="E22" s="8" t="s">
        <v>78</v>
      </c>
    </row>
    <row r="23" spans="1:5" x14ac:dyDescent="0.35">
      <c r="A23" s="67">
        <v>41640</v>
      </c>
      <c r="B23" s="66" t="s">
        <v>94</v>
      </c>
      <c r="C23" s="1" t="s">
        <v>96</v>
      </c>
      <c r="E23" s="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98</vt:i4>
      </vt:variant>
    </vt:vector>
  </HeadingPairs>
  <TitlesOfParts>
    <vt:vector size="102" baseType="lpstr">
      <vt:lpstr>Project Baseline</vt:lpstr>
      <vt:lpstr>Per Module Labor</vt:lpstr>
      <vt:lpstr>Labor Commits</vt:lpstr>
      <vt:lpstr>Modules By Release</vt:lpstr>
      <vt:lpstr>ACT_BA</vt:lpstr>
      <vt:lpstr>ACT_BI</vt:lpstr>
      <vt:lpstr>ACT_DAYS</vt:lpstr>
      <vt:lpstr>ACT_DS</vt:lpstr>
      <vt:lpstr>ACT_FO</vt:lpstr>
      <vt:lpstr>ACT_SD</vt:lpstr>
      <vt:lpstr>ACT_SO</vt:lpstr>
      <vt:lpstr>BKL_BA</vt:lpstr>
      <vt:lpstr>BKL_BI</vt:lpstr>
      <vt:lpstr>BKL_DAYS</vt:lpstr>
      <vt:lpstr>BKL_DS</vt:lpstr>
      <vt:lpstr>BKL_FO</vt:lpstr>
      <vt:lpstr>BKL_SD</vt:lpstr>
      <vt:lpstr>BKL_SO</vt:lpstr>
      <vt:lpstr>DLV_BA</vt:lpstr>
      <vt:lpstr>DLV_BI</vt:lpstr>
      <vt:lpstr>DLV_DAYS</vt:lpstr>
      <vt:lpstr>DLV_DS</vt:lpstr>
      <vt:lpstr>DLV_FO</vt:lpstr>
      <vt:lpstr>DLV_SD</vt:lpstr>
      <vt:lpstr>DLV_SO</vt:lpstr>
      <vt:lpstr>DSH_BA</vt:lpstr>
      <vt:lpstr>DSH_BI</vt:lpstr>
      <vt:lpstr>DSH_DAYS</vt:lpstr>
      <vt:lpstr>DSH_DS</vt:lpstr>
      <vt:lpstr>DSH_FO</vt:lpstr>
      <vt:lpstr>DSH_SD</vt:lpstr>
      <vt:lpstr>DSH_SO</vt:lpstr>
      <vt:lpstr>ETL_BA</vt:lpstr>
      <vt:lpstr>ETL_BI</vt:lpstr>
      <vt:lpstr>ETL_DAYS</vt:lpstr>
      <vt:lpstr>ETL_DS</vt:lpstr>
      <vt:lpstr>ETL_FO</vt:lpstr>
      <vt:lpstr>ETL_SD</vt:lpstr>
      <vt:lpstr>ETL_SO</vt:lpstr>
      <vt:lpstr>FTR_BA</vt:lpstr>
      <vt:lpstr>FTR_BI</vt:lpstr>
      <vt:lpstr>FTR_DAYS</vt:lpstr>
      <vt:lpstr>FTR_DS</vt:lpstr>
      <vt:lpstr>FTR_FO</vt:lpstr>
      <vt:lpstr>FTR_SD</vt:lpstr>
      <vt:lpstr>FTR_SO</vt:lpstr>
      <vt:lpstr>GAP_BA</vt:lpstr>
      <vt:lpstr>GAP_BI</vt:lpstr>
      <vt:lpstr>GAP_DAYS</vt:lpstr>
      <vt:lpstr>GAP_DS</vt:lpstr>
      <vt:lpstr>GAP_FO</vt:lpstr>
      <vt:lpstr>GAP_SD</vt:lpstr>
      <vt:lpstr>GAP_SO</vt:lpstr>
      <vt:lpstr>MDL_BA</vt:lpstr>
      <vt:lpstr>MDL_BI</vt:lpstr>
      <vt:lpstr>MDL_DAYS</vt:lpstr>
      <vt:lpstr>MDL_DS</vt:lpstr>
      <vt:lpstr>MDL_FO</vt:lpstr>
      <vt:lpstr>MDL_SD</vt:lpstr>
      <vt:lpstr>MDL_SO</vt:lpstr>
      <vt:lpstr>PDV_BA</vt:lpstr>
      <vt:lpstr>PDV_BI</vt:lpstr>
      <vt:lpstr>PDV_DAYS</vt:lpstr>
      <vt:lpstr>PDV_DS</vt:lpstr>
      <vt:lpstr>PDV_FO</vt:lpstr>
      <vt:lpstr>PDV_SD</vt:lpstr>
      <vt:lpstr>PDV_SO</vt:lpstr>
      <vt:lpstr>RLI_BA</vt:lpstr>
      <vt:lpstr>RLI_BI</vt:lpstr>
      <vt:lpstr>RLI_DAYS</vt:lpstr>
      <vt:lpstr>RLI_DS</vt:lpstr>
      <vt:lpstr>RLI_FO</vt:lpstr>
      <vt:lpstr>RLI_SD</vt:lpstr>
      <vt:lpstr>RLI_SO</vt:lpstr>
      <vt:lpstr>RLO_BA</vt:lpstr>
      <vt:lpstr>RLO_BI</vt:lpstr>
      <vt:lpstr>RLO_DAYS</vt:lpstr>
      <vt:lpstr>RLO_DS</vt:lpstr>
      <vt:lpstr>RLO_FO</vt:lpstr>
      <vt:lpstr>RLO_SD</vt:lpstr>
      <vt:lpstr>RLO_SO</vt:lpstr>
      <vt:lpstr>RPT_BA</vt:lpstr>
      <vt:lpstr>RPT_BI</vt:lpstr>
      <vt:lpstr>RPT_DAYS</vt:lpstr>
      <vt:lpstr>RPT_DS</vt:lpstr>
      <vt:lpstr>RPT_FO</vt:lpstr>
      <vt:lpstr>RPT_SD</vt:lpstr>
      <vt:lpstr>RPT_SO</vt:lpstr>
      <vt:lpstr>SCN_BA</vt:lpstr>
      <vt:lpstr>SCN_BI</vt:lpstr>
      <vt:lpstr>SCN_DAYS</vt:lpstr>
      <vt:lpstr>SCN_DS</vt:lpstr>
      <vt:lpstr>SCN_FO</vt:lpstr>
      <vt:lpstr>SCN_SD</vt:lpstr>
      <vt:lpstr>SCN_SO</vt:lpstr>
      <vt:lpstr>SND_BA</vt:lpstr>
      <vt:lpstr>SND_BI</vt:lpstr>
      <vt:lpstr>SND_DAYS</vt:lpstr>
      <vt:lpstr>SND_DS</vt:lpstr>
      <vt:lpstr>SND_FO</vt:lpstr>
      <vt:lpstr>SND_SD</vt:lpstr>
      <vt:lpstr>SND_SO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Michael G - (mgsimpson)</dc:creator>
  <cp:lastModifiedBy>Simpson, Michael G - (mgsimpson)</cp:lastModifiedBy>
  <dcterms:created xsi:type="dcterms:W3CDTF">2014-02-24T19:43:08Z</dcterms:created>
  <dcterms:modified xsi:type="dcterms:W3CDTF">2014-06-06T22:14:42Z</dcterms:modified>
</cp:coreProperties>
</file>