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rnestas.ka\Desktop\Užsakymai\2024\Lapkritis\2408Z03932-8_ALU\Darbiniai\"/>
    </mc:Choice>
  </mc:AlternateContent>
  <xr:revisionPtr revIDLastSave="0" documentId="8_{F010290F-FCA7-43D9-BDFD-4F175CC80F0C}" xr6:coauthVersionLast="47" xr6:coauthVersionMax="47" xr10:uidLastSave="{00000000-0000-0000-0000-000000000000}"/>
  <bookViews>
    <workbookView xWindow="-108" yWindow="-108" windowWidth="29016" windowHeight="15696" xr2:uid="{00000000-000D-0000-FFFF-FFFF00000000}"/>
  </bookViews>
  <sheets>
    <sheet name="Kalkyl" sheetId="1" r:id="rId1"/>
    <sheet name="Litteralista" sheetId="2" r:id="rId2"/>
    <sheet name="NO" sheetId="3" r:id="rId3"/>
    <sheet name="SE" sheetId="4" r:id="rId4"/>
    <sheet name="DK" sheetId="5" r:id="rId5"/>
    <sheet name="Project discount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8" i="2" l="1"/>
  <c r="N8" i="2"/>
  <c r="O8" i="2" s="1"/>
  <c r="C47" i="5"/>
  <c r="C53" i="5" s="1"/>
  <c r="C51" i="5" s="1"/>
  <c r="C52" i="5" s="1"/>
  <c r="R31" i="3"/>
  <c r="R30" i="3"/>
  <c r="R29" i="3"/>
  <c r="C36" i="1"/>
  <c r="C29" i="3" s="1"/>
  <c r="J12" i="3" s="1"/>
  <c r="C34" i="1"/>
  <c r="C37" i="1" s="1"/>
  <c r="I11" i="1" s="1"/>
  <c r="D26" i="6"/>
  <c r="M33" i="6" s="1"/>
  <c r="M43" i="6" s="1"/>
  <c r="D25" i="6"/>
  <c r="D23" i="6"/>
  <c r="C23" i="3" s="1"/>
  <c r="D22" i="6"/>
  <c r="C22" i="4" s="1"/>
  <c r="D21" i="6"/>
  <c r="C21" i="3" s="1"/>
  <c r="D20" i="6"/>
  <c r="C20" i="3" s="1"/>
  <c r="D19" i="6"/>
  <c r="C19" i="4" s="1"/>
  <c r="D18" i="6"/>
  <c r="C18" i="4" s="1"/>
  <c r="D17" i="6"/>
  <c r="C16" i="5" s="1"/>
  <c r="D16" i="6"/>
  <c r="C15" i="5" s="1"/>
  <c r="D14" i="6"/>
  <c r="C14" i="4" s="1"/>
  <c r="D13" i="6"/>
  <c r="C12" i="5" s="1"/>
  <c r="D9" i="6"/>
  <c r="D8" i="6"/>
  <c r="D33" i="6" s="1"/>
  <c r="D43" i="6" s="1"/>
  <c r="G42" i="6" s="1"/>
  <c r="D7" i="6"/>
  <c r="D6" i="6"/>
  <c r="D4" i="6"/>
  <c r="K33" i="5"/>
  <c r="M33" i="5" s="1"/>
  <c r="N33" i="5" s="1"/>
  <c r="K32" i="5"/>
  <c r="M32" i="5" s="1"/>
  <c r="N32" i="5" s="1"/>
  <c r="K31" i="5"/>
  <c r="M31" i="5" s="1"/>
  <c r="N31" i="5" s="1"/>
  <c r="K30" i="5"/>
  <c r="M30" i="5" s="1"/>
  <c r="N30" i="5" s="1"/>
  <c r="K29" i="5"/>
  <c r="M29" i="5" s="1"/>
  <c r="N29" i="5" s="1"/>
  <c r="K28" i="5"/>
  <c r="M28" i="5" s="1"/>
  <c r="N28" i="5" s="1"/>
  <c r="K27" i="5"/>
  <c r="M27" i="5" s="1"/>
  <c r="N27" i="5" s="1"/>
  <c r="K26" i="5"/>
  <c r="M26" i="5" s="1"/>
  <c r="N26" i="5" s="1"/>
  <c r="K25" i="5"/>
  <c r="M25" i="5" s="1"/>
  <c r="N25" i="5" s="1"/>
  <c r="K24" i="5"/>
  <c r="M24" i="5" s="1"/>
  <c r="N24" i="5" s="1"/>
  <c r="C24" i="5"/>
  <c r="K23" i="5"/>
  <c r="M23" i="5" s="1"/>
  <c r="N23" i="5" s="1"/>
  <c r="K22" i="5"/>
  <c r="M22" i="5" s="1"/>
  <c r="N22" i="5" s="1"/>
  <c r="C22" i="5"/>
  <c r="B22" i="5"/>
  <c r="K21" i="5"/>
  <c r="M21" i="5" s="1"/>
  <c r="N21" i="5" s="1"/>
  <c r="B21" i="5"/>
  <c r="K20" i="5"/>
  <c r="M20" i="5" s="1"/>
  <c r="N20" i="5" s="1"/>
  <c r="B20" i="5"/>
  <c r="K19" i="5"/>
  <c r="M19" i="5" s="1"/>
  <c r="N19" i="5" s="1"/>
  <c r="B19" i="5"/>
  <c r="K18" i="5"/>
  <c r="M18" i="5" s="1"/>
  <c r="N18" i="5" s="1"/>
  <c r="C18" i="5"/>
  <c r="B18" i="5"/>
  <c r="K17" i="5"/>
  <c r="M17" i="5" s="1"/>
  <c r="N17" i="5" s="1"/>
  <c r="B17" i="5"/>
  <c r="K16" i="5"/>
  <c r="M16" i="5" s="1"/>
  <c r="N16" i="5" s="1"/>
  <c r="B16" i="5"/>
  <c r="K15" i="5"/>
  <c r="M15" i="5" s="1"/>
  <c r="N15" i="5" s="1"/>
  <c r="B15" i="5"/>
  <c r="K14" i="5"/>
  <c r="B14" i="5"/>
  <c r="K13" i="5"/>
  <c r="M13" i="5" s="1"/>
  <c r="N13" i="5" s="1"/>
  <c r="B13" i="5"/>
  <c r="K12" i="5"/>
  <c r="M12" i="5" s="1"/>
  <c r="N12" i="5" s="1"/>
  <c r="B12" i="5"/>
  <c r="K11" i="5"/>
  <c r="M11" i="5" s="1"/>
  <c r="N11" i="5" s="1"/>
  <c r="K10" i="5"/>
  <c r="M10" i="5" s="1"/>
  <c r="N10" i="5" s="1"/>
  <c r="K9" i="5"/>
  <c r="M9" i="5" s="1"/>
  <c r="N9" i="5" s="1"/>
  <c r="C9" i="5"/>
  <c r="B9" i="5"/>
  <c r="K8" i="5"/>
  <c r="M8" i="5" s="1"/>
  <c r="N8" i="5" s="1"/>
  <c r="C8" i="5"/>
  <c r="B8" i="5"/>
  <c r="K7" i="5"/>
  <c r="M7" i="5" s="1"/>
  <c r="N7" i="5" s="1"/>
  <c r="C7" i="5"/>
  <c r="B7" i="5"/>
  <c r="K6" i="5"/>
  <c r="M6" i="5" s="1"/>
  <c r="N6" i="5" s="1"/>
  <c r="K5" i="5"/>
  <c r="M5" i="5" s="1"/>
  <c r="N5" i="5" s="1"/>
  <c r="D2" i="5"/>
  <c r="B2" i="5"/>
  <c r="C28" i="4"/>
  <c r="C23" i="4"/>
  <c r="B23" i="4"/>
  <c r="B22" i="4"/>
  <c r="B21" i="4"/>
  <c r="B20" i="4"/>
  <c r="B19" i="4"/>
  <c r="B18" i="4"/>
  <c r="B17" i="4"/>
  <c r="B16" i="4"/>
  <c r="B15" i="4"/>
  <c r="B14" i="4"/>
  <c r="B13" i="4"/>
  <c r="C10" i="4"/>
  <c r="B10" i="4"/>
  <c r="C9" i="4"/>
  <c r="B9" i="4"/>
  <c r="C8" i="4"/>
  <c r="B8" i="4"/>
  <c r="D3" i="4"/>
  <c r="B3" i="4"/>
  <c r="S31" i="3"/>
  <c r="C28" i="3"/>
  <c r="C19" i="3"/>
  <c r="C10" i="3"/>
  <c r="B10" i="3"/>
  <c r="C9" i="3"/>
  <c r="B9" i="3"/>
  <c r="C8" i="3"/>
  <c r="B8" i="3"/>
  <c r="D3" i="3"/>
  <c r="B3" i="3"/>
  <c r="B23" i="3"/>
  <c r="B22" i="3"/>
  <c r="B21" i="3"/>
  <c r="B20" i="3"/>
  <c r="B19" i="3"/>
  <c r="B18" i="3"/>
  <c r="B17" i="3"/>
  <c r="B16" i="3"/>
  <c r="B15" i="3"/>
  <c r="B14" i="3"/>
  <c r="B13" i="3"/>
  <c r="R9" i="2"/>
  <c r="R11" i="2" s="1"/>
  <c r="L16" i="6"/>
  <c r="G16" i="6"/>
  <c r="L11" i="6"/>
  <c r="G11" i="6"/>
  <c r="L5" i="6"/>
  <c r="G5" i="6"/>
  <c r="F20" i="5"/>
  <c r="D15" i="6" s="1"/>
  <c r="M14" i="5"/>
  <c r="N14" i="5" s="1"/>
  <c r="F14" i="5"/>
  <c r="F21" i="4"/>
  <c r="F16" i="4"/>
  <c r="F10" i="4"/>
  <c r="K36" i="3"/>
  <c r="K35" i="3"/>
  <c r="R34" i="3"/>
  <c r="S34" i="3" s="1"/>
  <c r="K34" i="3"/>
  <c r="S25" i="3"/>
  <c r="T25" i="3" s="1"/>
  <c r="S24" i="3"/>
  <c r="T24" i="3" s="1"/>
  <c r="F21" i="3"/>
  <c r="F16" i="3"/>
  <c r="J10" i="3"/>
  <c r="F10" i="3"/>
  <c r="J9" i="3"/>
  <c r="J8" i="3"/>
  <c r="J7" i="3"/>
  <c r="J17" i="3" s="1"/>
  <c r="I14" i="1"/>
  <c r="I12" i="1"/>
  <c r="I13" i="1" s="1"/>
  <c r="B53" i="1"/>
  <c r="B52" i="1"/>
  <c r="B51" i="1"/>
  <c r="B50" i="1"/>
  <c r="B49" i="1"/>
  <c r="C35" i="1"/>
  <c r="Q8" i="2" l="1"/>
  <c r="I10" i="1"/>
  <c r="C49" i="1"/>
  <c r="C16" i="3"/>
  <c r="C16" i="4"/>
  <c r="C17" i="5"/>
  <c r="B35" i="5" s="1"/>
  <c r="C14" i="5"/>
  <c r="C15" i="4"/>
  <c r="C15" i="3"/>
  <c r="S29" i="3"/>
  <c r="C14" i="3"/>
  <c r="C22" i="3"/>
  <c r="C13" i="4"/>
  <c r="C30" i="4" s="1"/>
  <c r="B38" i="4" s="1"/>
  <c r="C18" i="3"/>
  <c r="G40" i="6"/>
  <c r="C19" i="5"/>
  <c r="H16" i="6"/>
  <c r="H17" i="6" s="1"/>
  <c r="C20" i="4"/>
  <c r="C21" i="5"/>
  <c r="C29" i="4"/>
  <c r="C25" i="5"/>
  <c r="C49" i="5" s="1"/>
  <c r="D51" i="5" s="1"/>
  <c r="D38" i="6"/>
  <c r="M38" i="6"/>
  <c r="D28" i="6"/>
  <c r="N9" i="2" s="1"/>
  <c r="O9" i="2" s="1"/>
  <c r="Q9" i="2" s="1"/>
  <c r="Q11" i="2" s="1"/>
  <c r="C21" i="4"/>
  <c r="C13" i="5"/>
  <c r="C20" i="5"/>
  <c r="D32" i="6"/>
  <c r="D42" i="6" s="1"/>
  <c r="S30" i="3"/>
  <c r="C13" i="3"/>
  <c r="C17" i="3"/>
  <c r="C42" i="4"/>
  <c r="J7" i="4" s="1"/>
  <c r="L7" i="4" s="1"/>
  <c r="C17" i="4"/>
  <c r="B41" i="5"/>
  <c r="C43" i="3"/>
  <c r="M32" i="3" s="1"/>
  <c r="J11" i="1"/>
  <c r="C30" i="3"/>
  <c r="B38" i="3" s="1"/>
  <c r="M32" i="6"/>
  <c r="M42" i="6" s="1"/>
  <c r="H19" i="6"/>
  <c r="H20" i="6" s="1"/>
  <c r="D30" i="6"/>
  <c r="M40" i="6"/>
  <c r="D27" i="6"/>
  <c r="D40" i="6"/>
  <c r="D30" i="4"/>
  <c r="J16" i="3"/>
  <c r="M16" i="3" s="1"/>
  <c r="J14" i="3"/>
  <c r="C42" i="3"/>
  <c r="C44" i="3" s="1"/>
  <c r="D44" i="3" s="1"/>
  <c r="E44" i="3" s="1"/>
  <c r="J12" i="1"/>
  <c r="C38" i="1"/>
  <c r="D37" i="1"/>
  <c r="C40" i="1"/>
  <c r="D30" i="3" l="1"/>
  <c r="C26" i="5"/>
  <c r="C50" i="5" s="1"/>
  <c r="C31" i="4"/>
  <c r="D31" i="4" s="1"/>
  <c r="C31" i="3"/>
  <c r="N32" i="3" s="1"/>
  <c r="C46" i="4"/>
  <c r="C33" i="4" s="1"/>
  <c r="B33" i="4" s="1"/>
  <c r="C27" i="5"/>
  <c r="C28" i="5" s="1"/>
  <c r="B33" i="5" s="1"/>
  <c r="O11" i="2"/>
  <c r="J13" i="3"/>
  <c r="K13" i="3" s="1"/>
  <c r="P40" i="6"/>
  <c r="F31" i="4"/>
  <c r="C43" i="4"/>
  <c r="C45" i="4"/>
  <c r="M30" i="6"/>
  <c r="J46" i="6"/>
  <c r="D37" i="6"/>
  <c r="D31" i="6"/>
  <c r="D34" i="6" s="1"/>
  <c r="C32" i="4"/>
  <c r="M15" i="3"/>
  <c r="M17" i="3" s="1"/>
  <c r="K14" i="3"/>
  <c r="J15" i="3"/>
  <c r="Q34" i="3"/>
  <c r="T34" i="3" s="1"/>
  <c r="U34" i="3" s="1"/>
  <c r="N37" i="3" s="1"/>
  <c r="T29" i="3"/>
  <c r="U29" i="3" s="1"/>
  <c r="V29" i="3" s="1"/>
  <c r="N34" i="3" s="1"/>
  <c r="T31" i="3"/>
  <c r="U31" i="3" s="1"/>
  <c r="V31" i="3" s="1"/>
  <c r="N36" i="3" s="1"/>
  <c r="T30" i="3"/>
  <c r="U30" i="3" s="1"/>
  <c r="V30" i="3" s="1"/>
  <c r="N35" i="3" s="1"/>
  <c r="C45" i="3"/>
  <c r="C46" i="3" s="1"/>
  <c r="C33" i="3"/>
  <c r="F31" i="3"/>
  <c r="B43" i="1"/>
  <c r="D38" i="1"/>
  <c r="C41" i="1"/>
  <c r="C42" i="1" s="1"/>
  <c r="D26" i="5" l="1"/>
  <c r="D50" i="5" s="1"/>
  <c r="D27" i="5"/>
  <c r="C49" i="4"/>
  <c r="C47" i="4" s="1"/>
  <c r="C34" i="4" s="1"/>
  <c r="J6" i="4"/>
  <c r="J11" i="4" s="1"/>
  <c r="B36" i="4"/>
  <c r="N38" i="3"/>
  <c r="M38" i="3" s="1"/>
  <c r="D28" i="5"/>
  <c r="M37" i="6"/>
  <c r="M31" i="6"/>
  <c r="D41" i="6"/>
  <c r="D44" i="6" s="1"/>
  <c r="G43" i="6" s="1"/>
  <c r="G41" i="6" s="1"/>
  <c r="C32" i="5"/>
  <c r="E31" i="5" s="1"/>
  <c r="E32" i="5" s="1"/>
  <c r="C34" i="3"/>
  <c r="F33" i="3" s="1"/>
  <c r="D45" i="3"/>
  <c r="E45" i="3" s="1"/>
  <c r="E46" i="3" s="1"/>
  <c r="C32" i="3" s="1"/>
  <c r="B34" i="4" l="1"/>
  <c r="C35" i="4"/>
  <c r="F32" i="4" s="1"/>
  <c r="F33" i="4" s="1"/>
  <c r="J10" i="4"/>
  <c r="J8" i="4" s="1"/>
  <c r="K8" i="4" s="1"/>
  <c r="M34" i="6"/>
  <c r="M41" i="6"/>
  <c r="M44" i="6" s="1"/>
  <c r="P41" i="6" s="1"/>
  <c r="P42" i="6" s="1"/>
  <c r="D32" i="3"/>
  <c r="D31" i="3"/>
  <c r="B36" i="3"/>
  <c r="C35" i="3"/>
  <c r="F34" i="3" s="1"/>
  <c r="F32" i="3" s="1"/>
  <c r="J9" i="4" l="1"/>
</calcChain>
</file>

<file path=xl/sharedStrings.xml><?xml version="1.0" encoding="utf-8"?>
<sst xmlns="http://schemas.openxmlformats.org/spreadsheetml/2006/main" count="460" uniqueCount="180">
  <si>
    <t>PI info</t>
  </si>
  <si>
    <t>PI: UAB price</t>
  </si>
  <si>
    <t>VVS / Order confirmation</t>
  </si>
  <si>
    <t>Total products:</t>
  </si>
  <si>
    <t>Total materials/LB work:</t>
  </si>
  <si>
    <t>UAB Sales price to ND:</t>
  </si>
  <si>
    <t>UAB Packing price:</t>
  </si>
  <si>
    <t>Transport:</t>
  </si>
  <si>
    <t>Currency rate:</t>
  </si>
  <si>
    <t>Mark-up:</t>
  </si>
  <si>
    <t>UAB Sales Markup:</t>
  </si>
  <si>
    <t>UAB Packing cost:</t>
  </si>
  <si>
    <t>Transport</t>
  </si>
  <si>
    <t>Total:</t>
  </si>
  <si>
    <t>E-Zonus margin:</t>
  </si>
  <si>
    <t>ALU profiles (powder coated)</t>
  </si>
  <si>
    <t>ALU surcharge</t>
  </si>
  <si>
    <t>Accessories</t>
  </si>
  <si>
    <t>Glass</t>
  </si>
  <si>
    <t>Labor Work</t>
  </si>
  <si>
    <t>Exchange 
rate</t>
  </si>
  <si>
    <t>NOK</t>
  </si>
  <si>
    <t>SEK</t>
  </si>
  <si>
    <t>GBP</t>
  </si>
  <si>
    <t>DKK</t>
  </si>
  <si>
    <t>Price/Product, EUR</t>
  </si>
  <si>
    <t>Total, EUR</t>
  </si>
  <si>
    <t>Direct Mtrl EUR</t>
  </si>
  <si>
    <t>Direct LW 
EUR</t>
  </si>
  <si>
    <t>Project:</t>
  </si>
  <si>
    <t>Project name:</t>
  </si>
  <si>
    <t>Cost Calculation</t>
  </si>
  <si>
    <t>PI: Net total factory cost</t>
  </si>
  <si>
    <t>Labor work</t>
  </si>
  <si>
    <t>Units</t>
  </si>
  <si>
    <t>PI: XE</t>
  </si>
  <si>
    <t>Manufacturing</t>
  </si>
  <si>
    <t>HBS Discount (Profiles)</t>
  </si>
  <si>
    <t>PI: XM</t>
  </si>
  <si>
    <t>Placing</t>
  </si>
  <si>
    <t>Spare profiles</t>
  </si>
  <si>
    <t>PI: XL</t>
  </si>
  <si>
    <t>Glazing</t>
  </si>
  <si>
    <t>Profiles Total:</t>
  </si>
  <si>
    <t>PI: XY</t>
  </si>
  <si>
    <t>Glass:</t>
  </si>
  <si>
    <t>VVS</t>
  </si>
  <si>
    <t>Order confirmation</t>
  </si>
  <si>
    <t>Total (Primary)</t>
  </si>
  <si>
    <t>Total (Incl. discount)</t>
  </si>
  <si>
    <t>Joint Glue 12220</t>
  </si>
  <si>
    <t>Profiles</t>
  </si>
  <si>
    <t>Accessory 2</t>
  </si>
  <si>
    <t>Gaskets</t>
  </si>
  <si>
    <t>Accessory 3</t>
  </si>
  <si>
    <t>Accessory 4</t>
  </si>
  <si>
    <t>Sum eks. Frakt</t>
  </si>
  <si>
    <t>Custom accessories</t>
  </si>
  <si>
    <t>Accessories Total:</t>
  </si>
  <si>
    <t>Frakt</t>
  </si>
  <si>
    <t>Discount for products</t>
  </si>
  <si>
    <t>* Discount value should be written with "-" (ex. -100 NOK)</t>
  </si>
  <si>
    <t>Sum å betale eks. mva.</t>
  </si>
  <si>
    <t>30k EUR &gt; Project</t>
  </si>
  <si>
    <t>Fillings</t>
  </si>
  <si>
    <t>30k EUR &lt; Project &gt; 50k EUR</t>
  </si>
  <si>
    <t>Addon mtrl</t>
  </si>
  <si>
    <t>Pallets for products</t>
  </si>
  <si>
    <t>50k EUR &lt; Project &gt; 100k EUR</t>
  </si>
  <si>
    <t>Glass boxes</t>
  </si>
  <si>
    <t>100k EUR &lt; Project</t>
  </si>
  <si>
    <t>Packing Total:</t>
  </si>
  <si>
    <t>Shipping Total:</t>
  </si>
  <si>
    <t>Pallets</t>
  </si>
  <si>
    <t>Cost</t>
  </si>
  <si>
    <t>Other</t>
  </si>
  <si>
    <t>If pallets height is above 2600mm +15%</t>
  </si>
  <si>
    <t>Width up to 1000mm</t>
  </si>
  <si>
    <t>Supplier price</t>
  </si>
  <si>
    <t>27% markup</t>
  </si>
  <si>
    <t>Contribution</t>
  </si>
  <si>
    <t>Packing costs can't be over 2% in VVS</t>
  </si>
  <si>
    <t>1000-1500mm</t>
  </si>
  <si>
    <t>Safety glass</t>
  </si>
  <si>
    <t>Shipping costs can't be over 11% in VVS</t>
  </si>
  <si>
    <t>1500-2500</t>
  </si>
  <si>
    <t>Std glass</t>
  </si>
  <si>
    <t>2500-3500</t>
  </si>
  <si>
    <t>Exp. Glass (180EUR/m2; &gt;300kg)</t>
  </si>
  <si>
    <t>VVS info</t>
  </si>
  <si>
    <t>UAB Offer/Confirmation</t>
  </si>
  <si>
    <t>3500-5000</t>
  </si>
  <si>
    <t>W&gt;5000</t>
  </si>
  <si>
    <t>Expected contribution</t>
  </si>
  <si>
    <t>Expect. Contribution Tot</t>
  </si>
  <si>
    <t>Contr.</t>
  </si>
  <si>
    <t>Difference</t>
  </si>
  <si>
    <t>Glass box (Average)</t>
  </si>
  <si>
    <t>STD Glass</t>
  </si>
  <si>
    <t>Products:</t>
  </si>
  <si>
    <t>Recommended discount</t>
  </si>
  <si>
    <t>Discount:</t>
  </si>
  <si>
    <t>Production efficiency:</t>
  </si>
  <si>
    <t>Delivery cost:</t>
  </si>
  <si>
    <t>Squire meters</t>
  </si>
  <si>
    <t>Tot. supplier price, NOK</t>
  </si>
  <si>
    <t>Accessories, Screens</t>
  </si>
  <si>
    <t>10% markup</t>
  </si>
  <si>
    <t>Exp. Glass</t>
  </si>
  <si>
    <t>E-Zonus mark-up:</t>
  </si>
  <si>
    <t>180EUR/m2; &gt;300kg</t>
  </si>
  <si>
    <t>Exp. Accessories</t>
  </si>
  <si>
    <t>Order value EUR:</t>
  </si>
  <si>
    <t>Original materials/LB work:</t>
  </si>
  <si>
    <t>Discount option</t>
  </si>
  <si>
    <t>Original Products Price:</t>
  </si>
  <si>
    <t>Original UAB Packing cost:</t>
  </si>
  <si>
    <t>Original UAB Transport cost:</t>
  </si>
  <si>
    <t>Pricelist (Discount 20%)</t>
  </si>
  <si>
    <t>Project price in the offer (SL):</t>
  </si>
  <si>
    <t>Materials/LB work:</t>
  </si>
  <si>
    <t>Invoice (ProductsTotal):</t>
  </si>
  <si>
    <t>Invoice (Packing)</t>
  </si>
  <si>
    <t>Invoice (Transport):</t>
  </si>
  <si>
    <t>Extra TR:</t>
  </si>
  <si>
    <t>Invoice Total:</t>
  </si>
  <si>
    <t>If pallets height is above 2600mm +10%</t>
  </si>
  <si>
    <t>Project discount (15%)</t>
  </si>
  <si>
    <t xml:space="preserve">LDM </t>
  </si>
  <si>
    <t>Fuel surcharge</t>
  </si>
  <si>
    <t>Mega surcharge</t>
  </si>
  <si>
    <t>Glass box</t>
  </si>
  <si>
    <t>UAB Packing cost (Actual):</t>
  </si>
  <si>
    <t>ND DK</t>
  </si>
  <si>
    <t>SL markup:</t>
  </si>
  <si>
    <t>Original DK Markup:</t>
  </si>
  <si>
    <t>Original Price:</t>
  </si>
  <si>
    <t>Norway</t>
  </si>
  <si>
    <t>Sweden</t>
  </si>
  <si>
    <t>STD Pricing</t>
  </si>
  <si>
    <t>VW Sales price to ND (25% Mark-up):</t>
  </si>
  <si>
    <t>VW Packing price to ND (2% Mark-up):</t>
  </si>
  <si>
    <t>Transport (11%):</t>
  </si>
  <si>
    <t>Project costs (after discount)</t>
  </si>
  <si>
    <t>Products LDM</t>
  </si>
  <si>
    <t>XX LDM</t>
  </si>
  <si>
    <t>Glass boxes LDM</t>
  </si>
  <si>
    <t>If pallets height is above 2600mm +30%</t>
  </si>
  <si>
    <t>Currency rate (NOK):</t>
  </si>
  <si>
    <t>Currency rate (SEK):</t>
  </si>
  <si>
    <t>Koef (SEK):</t>
  </si>
  <si>
    <t>Packing:</t>
  </si>
  <si>
    <t>Order excel value:</t>
  </si>
  <si>
    <t>PI price:</t>
  </si>
  <si>
    <t>Projectname:</t>
  </si>
  <si>
    <t>Article type</t>
  </si>
  <si>
    <t>Waste</t>
  </si>
  <si>
    <t>Discount</t>
  </si>
  <si>
    <t>Total</t>
  </si>
  <si>
    <t>Energitillägg (384.90 kg)</t>
  </si>
  <si>
    <t>Addon mtrl (36.49 kg)</t>
  </si>
  <si>
    <t>Price/unit</t>
  </si>
  <si>
    <t>Margin/discount</t>
  </si>
  <si>
    <t>Sum/article type</t>
  </si>
  <si>
    <t>Total sum</t>
  </si>
  <si>
    <t>2408Z03932-8_ALU</t>
  </si>
  <si>
    <t>POR243316 – J O Connor</t>
  </si>
  <si>
    <t>Optimized</t>
  </si>
  <si>
    <t>Phase</t>
  </si>
  <si>
    <t>Product</t>
  </si>
  <si>
    <t>Quantity</t>
  </si>
  <si>
    <t>Width</t>
  </si>
  <si>
    <t>Height</t>
  </si>
  <si>
    <t>Weight</t>
  </si>
  <si>
    <t>Weight without glass</t>
  </si>
  <si>
    <t>Direct Mtrl</t>
  </si>
  <si>
    <t>Direct LW</t>
  </si>
  <si>
    <t>Price/Product</t>
  </si>
  <si>
    <t>W20</t>
  </si>
  <si>
    <t>W19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</si>
</sst>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164" formatCode="#,##0\ &quot;€&quot;"/>
    <numFmt numFmtId="165" formatCode="#,##0\ [$NOK]"/>
    <numFmt numFmtId="166" formatCode="#,##0.00\ &quot;€&quot;"/>
    <numFmt numFmtId="167" formatCode="0.0%"/>
    <numFmt numFmtId="168" formatCode="#,##0.00\ [$€-1]"/>
    <numFmt numFmtId="169" formatCode="#,##0.00\ [$NOK]"/>
    <numFmt numFmtId="170" formatCode="#,##0.00&quot;€&quot;"/>
    <numFmt numFmtId="171" formatCode="#,##0.00\ [$SEK]"/>
    <numFmt numFmtId="172" formatCode="#,##0\ [$SEK]"/>
    <numFmt numFmtId="173" formatCode="0.0"/>
    <numFmt numFmtId="174" formatCode="#,##0\ [$DKK]"/>
    <numFmt numFmtId="175" formatCode="#,##0.00\ [$DKK]"/>
    <numFmt numFmtId="176" formatCode="#,##0\ [$€-1]"/>
    <numFmt numFmtId="177" formatCode="0.0000"/>
    <numFmt numFmtId="178" formatCode="0.000"/>
  </numFmts>
  <fonts count="21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6"/>
      <name val="Arial"/>
      <family val="2"/>
    </font>
    <font>
      <sz val="10"/>
      <name val="Arial"/>
    </font>
    <font>
      <sz val="10"/>
      <name val="Arial"/>
      <family val="2"/>
      <charset val="186"/>
    </font>
    <font>
      <b/>
      <sz val="10"/>
      <name val="Arial"/>
      <family val="2"/>
      <charset val="186"/>
    </font>
    <font>
      <b/>
      <i/>
      <sz val="10"/>
      <color rgb="FFFF0000"/>
      <name val="Arial"/>
      <family val="2"/>
      <charset val="186"/>
    </font>
    <font>
      <b/>
      <sz val="10"/>
      <color rgb="FFFF0000"/>
      <name val="Arial"/>
      <family val="2"/>
      <charset val="186"/>
    </font>
    <font>
      <i/>
      <sz val="10"/>
      <name val="Arial"/>
      <family val="2"/>
      <charset val="186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b/>
      <i/>
      <sz val="11"/>
      <color theme="0"/>
      <name val="Calibri"/>
      <family val="2"/>
    </font>
    <font>
      <b/>
      <sz val="20"/>
      <color rgb="FFFF0000"/>
      <name val="Arial"/>
      <family val="2"/>
      <charset val="186"/>
    </font>
    <font>
      <b/>
      <i/>
      <sz val="10"/>
      <name val="Arial"/>
      <family val="2"/>
      <charset val="186"/>
    </font>
    <font>
      <b/>
      <i/>
      <sz val="11"/>
      <color rgb="FF000000"/>
      <name val="Calibri"/>
      <family val="2"/>
    </font>
    <font>
      <b/>
      <sz val="12"/>
      <name val="Arial"/>
      <family val="2"/>
    </font>
    <font>
      <i/>
      <sz val="10"/>
      <name val="Arial"/>
      <family val="2"/>
    </font>
    <font>
      <b/>
      <sz val="11"/>
      <color rgb="FFFF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141D43"/>
        <bgColor indexed="64"/>
      </patternFill>
    </fill>
    <fill>
      <patternFill patternType="solid">
        <fgColor rgb="FF3E9AD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5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auto="1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indexed="64"/>
      </top>
      <bottom/>
      <diagonal/>
    </border>
    <border>
      <left style="thick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auto="1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/>
      <bottom style="medium">
        <color rgb="FF000000"/>
      </bottom>
      <diagonal/>
    </border>
    <border>
      <left style="medium">
        <color rgb="FF000000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ck">
        <color auto="1"/>
      </right>
      <top/>
      <bottom/>
      <diagonal/>
    </border>
  </borders>
  <cellStyleXfs count="6">
    <xf numFmtId="0" fontId="0" fillId="0" borderId="0"/>
    <xf numFmtId="9" fontId="5" fillId="0" borderId="0" applyFont="0" applyFill="0" applyBorder="0" applyAlignment="0" applyProtection="0"/>
    <xf numFmtId="0" fontId="6" fillId="0" borderId="0"/>
    <xf numFmtId="0" fontId="11" fillId="0" borderId="0"/>
    <xf numFmtId="0" fontId="11" fillId="0" borderId="0"/>
    <xf numFmtId="9" fontId="6" fillId="0" borderId="0" applyFont="0" applyFill="0" applyBorder="0" applyAlignment="0" applyProtection="0"/>
  </cellStyleXfs>
  <cellXfs count="358">
    <xf numFmtId="0" fontId="0" fillId="0" borderId="0" xfId="0"/>
    <xf numFmtId="49" fontId="2" fillId="0" borderId="1" xfId="0" applyNumberFormat="1" applyFont="1" applyBorder="1" applyAlignment="1">
      <alignment horizontal="left"/>
    </xf>
    <xf numFmtId="49" fontId="1" fillId="0" borderId="2" xfId="0" applyNumberFormat="1" applyFont="1" applyBorder="1"/>
    <xf numFmtId="49" fontId="1" fillId="0" borderId="3" xfId="0" applyNumberFormat="1" applyFont="1" applyBorder="1"/>
    <xf numFmtId="49" fontId="2" fillId="0" borderId="1" xfId="0" applyNumberFormat="1" applyFont="1" applyBorder="1"/>
    <xf numFmtId="49" fontId="1" fillId="0" borderId="1" xfId="0" applyNumberFormat="1" applyFont="1" applyBorder="1"/>
    <xf numFmtId="0" fontId="0" fillId="0" borderId="4" xfId="0" applyBorder="1"/>
    <xf numFmtId="0" fontId="0" fillId="0" borderId="5" xfId="0" applyNumberFormat="1" applyBorder="1"/>
    <xf numFmtId="49" fontId="4" fillId="0" borderId="0" xfId="0" applyNumberFormat="1" applyFont="1" applyBorder="1"/>
    <xf numFmtId="49" fontId="1" fillId="0" borderId="0" xfId="0" applyNumberFormat="1" applyFont="1" applyBorder="1"/>
    <xf numFmtId="49" fontId="2" fillId="0" borderId="2" xfId="0" applyNumberFormat="1" applyFont="1" applyBorder="1"/>
    <xf numFmtId="2" fontId="2" fillId="0" borderId="2" xfId="0" applyNumberFormat="1" applyFont="1" applyBorder="1"/>
    <xf numFmtId="2" fontId="2" fillId="0" borderId="3" xfId="0" applyNumberFormat="1" applyFont="1" applyBorder="1"/>
    <xf numFmtId="0" fontId="0" fillId="0" borderId="2" xfId="0" applyBorder="1"/>
    <xf numFmtId="0" fontId="1" fillId="0" borderId="0" xfId="0" applyFont="1"/>
    <xf numFmtId="0" fontId="0" fillId="0" borderId="3" xfId="0" applyBorder="1"/>
    <xf numFmtId="0" fontId="0" fillId="0" borderId="5" xfId="0" applyBorder="1"/>
    <xf numFmtId="0" fontId="2" fillId="0" borderId="2" xfId="0" applyFont="1" applyBorder="1"/>
    <xf numFmtId="2" fontId="0" fillId="0" borderId="5" xfId="0" applyNumberFormat="1" applyBorder="1"/>
    <xf numFmtId="0" fontId="0" fillId="0" borderId="6" xfId="0" applyBorder="1"/>
    <xf numFmtId="0" fontId="6" fillId="3" borderId="2" xfId="2" applyFill="1" applyBorder="1"/>
    <xf numFmtId="164" fontId="6" fillId="3" borderId="2" xfId="2" applyNumberFormat="1" applyFill="1" applyBorder="1"/>
    <xf numFmtId="165" fontId="6" fillId="3" borderId="2" xfId="2" applyNumberFormat="1" applyFill="1" applyBorder="1"/>
    <xf numFmtId="0" fontId="1" fillId="0" borderId="8" xfId="2" applyFont="1" applyBorder="1"/>
    <xf numFmtId="0" fontId="1" fillId="0" borderId="9" xfId="2" applyFont="1" applyBorder="1" applyAlignment="1">
      <alignment horizontal="right"/>
    </xf>
    <xf numFmtId="1" fontId="6" fillId="0" borderId="10" xfId="2" applyNumberFormat="1" applyBorder="1" applyAlignment="1">
      <alignment horizontal="center"/>
    </xf>
    <xf numFmtId="0" fontId="6" fillId="0" borderId="11" xfId="2" applyBorder="1" applyAlignment="1">
      <alignment horizontal="center"/>
    </xf>
    <xf numFmtId="3" fontId="1" fillId="0" borderId="9" xfId="2" applyNumberFormat="1" applyFont="1" applyBorder="1" applyAlignment="1">
      <alignment horizontal="right"/>
    </xf>
    <xf numFmtId="166" fontId="6" fillId="0" borderId="10" xfId="2" applyNumberFormat="1" applyBorder="1" applyAlignment="1">
      <alignment horizontal="right"/>
    </xf>
    <xf numFmtId="166" fontId="6" fillId="4" borderId="10" xfId="2" applyNumberFormat="1" applyFill="1" applyBorder="1" applyAlignment="1">
      <alignment horizontal="right"/>
    </xf>
    <xf numFmtId="164" fontId="6" fillId="0" borderId="10" xfId="2" applyNumberFormat="1" applyBorder="1" applyAlignment="1">
      <alignment horizontal="right"/>
    </xf>
    <xf numFmtId="164" fontId="6" fillId="0" borderId="12" xfId="2" applyNumberFormat="1" applyBorder="1" applyAlignment="1">
      <alignment horizontal="right"/>
    </xf>
    <xf numFmtId="0" fontId="1" fillId="0" borderId="13" xfId="2" applyFont="1" applyBorder="1" applyAlignment="1">
      <alignment horizontal="right"/>
    </xf>
    <xf numFmtId="164" fontId="6" fillId="0" borderId="14" xfId="2" applyNumberFormat="1" applyBorder="1" applyAlignment="1">
      <alignment horizontal="right"/>
    </xf>
    <xf numFmtId="164" fontId="6" fillId="0" borderId="15" xfId="2" applyNumberFormat="1" applyBorder="1" applyAlignment="1">
      <alignment horizontal="right"/>
    </xf>
    <xf numFmtId="0" fontId="0" fillId="0" borderId="0" xfId="0" applyAlignment="1">
      <alignment horizontal="right"/>
    </xf>
    <xf numFmtId="165" fontId="6" fillId="0" borderId="6" xfId="0" applyNumberFormat="1" applyFont="1" applyBorder="1" applyAlignment="1">
      <alignment horizontal="right"/>
    </xf>
    <xf numFmtId="0" fontId="6" fillId="0" borderId="0" xfId="0" applyFont="1" applyAlignment="1">
      <alignment horizontal="right"/>
    </xf>
    <xf numFmtId="0" fontId="7" fillId="0" borderId="6" xfId="0" applyFont="1" applyBorder="1"/>
    <xf numFmtId="165" fontId="7" fillId="0" borderId="0" xfId="0" applyNumberFormat="1" applyFont="1" applyAlignment="1">
      <alignment horizontal="right"/>
    </xf>
    <xf numFmtId="166" fontId="7" fillId="0" borderId="6" xfId="0" applyNumberFormat="1" applyFont="1" applyBorder="1" applyAlignment="1">
      <alignment horizontal="right"/>
    </xf>
    <xf numFmtId="165" fontId="0" fillId="0" borderId="0" xfId="0" applyNumberFormat="1" applyAlignment="1">
      <alignment horizontal="right"/>
    </xf>
    <xf numFmtId="49" fontId="2" fillId="0" borderId="16" xfId="0" applyNumberFormat="1" applyFont="1" applyBorder="1"/>
    <xf numFmtId="0" fontId="0" fillId="0" borderId="17" xfId="0" applyBorder="1"/>
    <xf numFmtId="2" fontId="0" fillId="0" borderId="18" xfId="0" applyNumberForma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6" xfId="0" applyBorder="1"/>
    <xf numFmtId="49" fontId="7" fillId="0" borderId="16" xfId="0" applyNumberFormat="1" applyFont="1" applyBorder="1"/>
    <xf numFmtId="0" fontId="7" fillId="0" borderId="17" xfId="0" applyFont="1" applyBorder="1"/>
    <xf numFmtId="166" fontId="7" fillId="0" borderId="18" xfId="0" applyNumberFormat="1" applyFont="1" applyBorder="1" applyAlignment="1">
      <alignment horizontal="center"/>
    </xf>
    <xf numFmtId="166" fontId="7" fillId="4" borderId="18" xfId="0" applyNumberFormat="1" applyFont="1" applyFill="1" applyBorder="1" applyAlignment="1">
      <alignment horizontal="center"/>
    </xf>
    <xf numFmtId="0" fontId="7" fillId="0" borderId="16" xfId="0" applyFont="1" applyBorder="1"/>
    <xf numFmtId="9" fontId="9" fillId="0" borderId="18" xfId="0" applyNumberFormat="1" applyFont="1" applyBorder="1" applyAlignment="1">
      <alignment horizontal="center"/>
    </xf>
    <xf numFmtId="165" fontId="0" fillId="0" borderId="0" xfId="0" applyNumberFormat="1"/>
    <xf numFmtId="166" fontId="7" fillId="0" borderId="0" xfId="0" applyNumberFormat="1" applyFont="1" applyAlignment="1">
      <alignment horizontal="center"/>
    </xf>
    <xf numFmtId="0" fontId="7" fillId="5" borderId="16" xfId="0" applyFont="1" applyFill="1" applyBorder="1"/>
    <xf numFmtId="167" fontId="9" fillId="5" borderId="18" xfId="0" applyNumberFormat="1" applyFont="1" applyFill="1" applyBorder="1" applyAlignment="1">
      <alignment horizontal="center"/>
    </xf>
    <xf numFmtId="166" fontId="7" fillId="5" borderId="18" xfId="0" applyNumberFormat="1" applyFont="1" applyFill="1" applyBorder="1" applyAlignment="1">
      <alignment horizontal="center"/>
    </xf>
    <xf numFmtId="0" fontId="10" fillId="4" borderId="19" xfId="0" applyFont="1" applyFill="1" applyBorder="1"/>
    <xf numFmtId="10" fontId="10" fillId="4" borderId="19" xfId="1" applyNumberFormat="1" applyFont="1" applyFill="1" applyBorder="1" applyAlignment="1">
      <alignment horizontal="center"/>
    </xf>
    <xf numFmtId="0" fontId="11" fillId="0" borderId="2" xfId="3" applyBorder="1"/>
    <xf numFmtId="165" fontId="0" fillId="0" borderId="2" xfId="0" applyNumberFormat="1" applyBorder="1"/>
    <xf numFmtId="0" fontId="0" fillId="0" borderId="0" xfId="0" applyBorder="1"/>
    <xf numFmtId="0" fontId="7" fillId="6" borderId="2" xfId="0" applyFont="1" applyFill="1" applyBorder="1" applyAlignment="1">
      <alignment horizontal="center"/>
    </xf>
    <xf numFmtId="2" fontId="7" fillId="6" borderId="2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vertical="center"/>
    </xf>
    <xf numFmtId="166" fontId="1" fillId="0" borderId="2" xfId="0" applyNumberFormat="1" applyFont="1" applyBorder="1" applyAlignment="1">
      <alignment horizontal="right"/>
    </xf>
    <xf numFmtId="166" fontId="7" fillId="0" borderId="2" xfId="0" applyNumberFormat="1" applyFont="1" applyBorder="1" applyAlignment="1">
      <alignment horizontal="right"/>
    </xf>
    <xf numFmtId="168" fontId="1" fillId="0" borderId="18" xfId="0" applyNumberFormat="1" applyFont="1" applyBorder="1" applyAlignment="1">
      <alignment horizontal="right"/>
    </xf>
    <xf numFmtId="49" fontId="4" fillId="0" borderId="0" xfId="0" applyNumberFormat="1" applyFont="1"/>
    <xf numFmtId="49" fontId="1" fillId="0" borderId="0" xfId="0" applyNumberFormat="1" applyFont="1"/>
    <xf numFmtId="0" fontId="0" fillId="3" borderId="2" xfId="0" applyFill="1" applyBorder="1"/>
    <xf numFmtId="165" fontId="0" fillId="3" borderId="2" xfId="0" applyNumberFormat="1" applyFill="1" applyBorder="1"/>
    <xf numFmtId="0" fontId="0" fillId="0" borderId="2" xfId="0" applyBorder="1" applyAlignment="1">
      <alignment horizontal="center"/>
    </xf>
    <xf numFmtId="165" fontId="0" fillId="0" borderId="20" xfId="0" applyNumberFormat="1" applyBorder="1"/>
    <xf numFmtId="0" fontId="0" fillId="3" borderId="20" xfId="0" applyFill="1" applyBorder="1" applyAlignment="1">
      <alignment vertical="center"/>
    </xf>
    <xf numFmtId="0" fontId="0" fillId="3" borderId="2" xfId="0" applyFill="1" applyBorder="1" applyAlignment="1">
      <alignment horizontal="center"/>
    </xf>
    <xf numFmtId="2" fontId="0" fillId="0" borderId="2" xfId="0" applyNumberFormat="1" applyBorder="1"/>
    <xf numFmtId="0" fontId="2" fillId="0" borderId="21" xfId="0" applyFont="1" applyBorder="1"/>
    <xf numFmtId="165" fontId="0" fillId="0" borderId="22" xfId="0" applyNumberFormat="1" applyBorder="1"/>
    <xf numFmtId="165" fontId="0" fillId="0" borderId="23" xfId="0" applyNumberFormat="1" applyBorder="1"/>
    <xf numFmtId="0" fontId="0" fillId="3" borderId="23" xfId="0" applyFill="1" applyBorder="1" applyAlignment="1">
      <alignment vertical="center"/>
    </xf>
    <xf numFmtId="0" fontId="2" fillId="0" borderId="9" xfId="0" applyFont="1" applyBorder="1"/>
    <xf numFmtId="165" fontId="0" fillId="0" borderId="10" xfId="0" applyNumberFormat="1" applyBorder="1"/>
    <xf numFmtId="0" fontId="1" fillId="3" borderId="13" xfId="0" applyFont="1" applyFill="1" applyBorder="1" applyAlignment="1">
      <alignment horizontal="right"/>
    </xf>
    <xf numFmtId="165" fontId="1" fillId="3" borderId="14" xfId="0" applyNumberFormat="1" applyFont="1" applyFill="1" applyBorder="1"/>
    <xf numFmtId="0" fontId="0" fillId="0" borderId="24" xfId="0" applyBorder="1"/>
    <xf numFmtId="0" fontId="0" fillId="3" borderId="25" xfId="0" applyFill="1" applyBorder="1" applyAlignment="1">
      <alignment vertical="center"/>
    </xf>
    <xf numFmtId="0" fontId="1" fillId="3" borderId="26" xfId="0" applyFont="1" applyFill="1" applyBorder="1" applyAlignment="1">
      <alignment horizontal="right"/>
    </xf>
    <xf numFmtId="165" fontId="1" fillId="3" borderId="27" xfId="0" applyNumberFormat="1" applyFont="1" applyFill="1" applyBorder="1"/>
    <xf numFmtId="0" fontId="1" fillId="0" borderId="28" xfId="0" applyFont="1" applyBorder="1"/>
    <xf numFmtId="0" fontId="7" fillId="0" borderId="0" xfId="0" applyFont="1"/>
    <xf numFmtId="0" fontId="2" fillId="0" borderId="21" xfId="0" applyFont="1" applyBorder="1" applyAlignment="1">
      <alignment horizontal="right"/>
    </xf>
    <xf numFmtId="165" fontId="2" fillId="0" borderId="22" xfId="0" applyNumberFormat="1" applyFont="1" applyBorder="1"/>
    <xf numFmtId="0" fontId="1" fillId="0" borderId="9" xfId="0" applyFont="1" applyBorder="1" applyAlignment="1">
      <alignment horizontal="right"/>
    </xf>
    <xf numFmtId="0" fontId="0" fillId="0" borderId="10" xfId="0" applyBorder="1" applyAlignment="1">
      <alignment horizontal="center"/>
    </xf>
    <xf numFmtId="0" fontId="0" fillId="0" borderId="4" xfId="0" applyBorder="1" applyAlignment="1">
      <alignment horizontal="center"/>
    </xf>
    <xf numFmtId="169" fontId="2" fillId="0" borderId="2" xfId="0" applyNumberFormat="1" applyFont="1" applyBorder="1" applyAlignment="1">
      <alignment horizontal="right"/>
    </xf>
    <xf numFmtId="169" fontId="9" fillId="0" borderId="2" xfId="0" applyNumberFormat="1" applyFont="1" applyBorder="1" applyAlignment="1">
      <alignment horizontal="right"/>
    </xf>
    <xf numFmtId="0" fontId="2" fillId="0" borderId="9" xfId="0" applyFont="1" applyBorder="1" applyAlignment="1">
      <alignment horizontal="right"/>
    </xf>
    <xf numFmtId="3" fontId="1" fillId="0" borderId="9" xfId="0" applyNumberFormat="1" applyFont="1" applyBorder="1" applyAlignment="1">
      <alignment horizontal="right"/>
    </xf>
    <xf numFmtId="165" fontId="0" fillId="0" borderId="10" xfId="0" applyNumberFormat="1" applyBorder="1" applyAlignment="1">
      <alignment horizontal="right"/>
    </xf>
    <xf numFmtId="165" fontId="0" fillId="4" borderId="10" xfId="0" applyNumberFormat="1" applyFill="1" applyBorder="1" applyAlignment="1">
      <alignment horizontal="right"/>
    </xf>
    <xf numFmtId="165" fontId="0" fillId="0" borderId="1" xfId="0" applyNumberFormat="1" applyBorder="1" applyAlignment="1">
      <alignment horizontal="right"/>
    </xf>
    <xf numFmtId="165" fontId="1" fillId="0" borderId="34" xfId="0" applyNumberFormat="1" applyFont="1" applyBorder="1"/>
    <xf numFmtId="165" fontId="0" fillId="0" borderId="12" xfId="0" applyNumberFormat="1" applyBorder="1"/>
    <xf numFmtId="0" fontId="6" fillId="0" borderId="2" xfId="2" applyBorder="1"/>
    <xf numFmtId="0" fontId="12" fillId="0" borderId="2" xfId="2" applyFont="1" applyBorder="1" applyAlignment="1">
      <alignment horizontal="center"/>
    </xf>
    <xf numFmtId="0" fontId="13" fillId="0" borderId="0" xfId="0" applyFont="1"/>
    <xf numFmtId="0" fontId="1" fillId="0" borderId="13" xfId="0" applyFont="1" applyBorder="1" applyAlignment="1">
      <alignment horizontal="right"/>
    </xf>
    <xf numFmtId="165" fontId="0" fillId="0" borderId="14" xfId="0" applyNumberFormat="1" applyBorder="1" applyAlignment="1">
      <alignment horizontal="right"/>
    </xf>
    <xf numFmtId="165" fontId="0" fillId="0" borderId="35" xfId="0" applyNumberFormat="1" applyBorder="1" applyAlignment="1">
      <alignment horizontal="right"/>
    </xf>
    <xf numFmtId="165" fontId="1" fillId="0" borderId="36" xfId="0" applyNumberFormat="1" applyFont="1" applyBorder="1"/>
    <xf numFmtId="165" fontId="0" fillId="0" borderId="15" xfId="0" applyNumberFormat="1" applyBorder="1"/>
    <xf numFmtId="167" fontId="6" fillId="0" borderId="2" xfId="2" applyNumberFormat="1" applyBorder="1" applyAlignment="1">
      <alignment horizontal="center"/>
    </xf>
    <xf numFmtId="164" fontId="2" fillId="0" borderId="22" xfId="0" applyNumberFormat="1" applyFont="1" applyBorder="1"/>
    <xf numFmtId="164" fontId="0" fillId="0" borderId="10" xfId="0" applyNumberFormat="1" applyBorder="1"/>
    <xf numFmtId="164" fontId="1" fillId="3" borderId="14" xfId="0" applyNumberFormat="1" applyFont="1" applyFill="1" applyBorder="1"/>
    <xf numFmtId="164" fontId="1" fillId="3" borderId="27" xfId="0" applyNumberFormat="1" applyFont="1" applyFill="1" applyBorder="1"/>
    <xf numFmtId="0" fontId="14" fillId="7" borderId="37" xfId="4" applyFont="1" applyFill="1" applyBorder="1" applyAlignment="1">
      <alignment horizontal="center" vertical="center"/>
    </xf>
    <xf numFmtId="0" fontId="14" fillId="7" borderId="38" xfId="4" applyFont="1" applyFill="1" applyBorder="1" applyAlignment="1">
      <alignment horizontal="center" vertical="center"/>
    </xf>
    <xf numFmtId="0" fontId="9" fillId="0" borderId="0" xfId="0" applyFont="1"/>
    <xf numFmtId="0" fontId="2" fillId="0" borderId="0" xfId="0" applyFont="1" applyAlignment="1">
      <alignment horizontal="right"/>
    </xf>
    <xf numFmtId="0" fontId="6" fillId="0" borderId="9" xfId="0" applyFont="1" applyBorder="1"/>
    <xf numFmtId="166" fontId="0" fillId="0" borderId="10" xfId="0" applyNumberFormat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12" fillId="0" borderId="2" xfId="0" applyFont="1" applyBorder="1"/>
    <xf numFmtId="170" fontId="0" fillId="0" borderId="2" xfId="0" applyNumberFormat="1" applyBorder="1" applyAlignment="1">
      <alignment horizontal="right"/>
    </xf>
    <xf numFmtId="170" fontId="0" fillId="0" borderId="2" xfId="0" applyNumberFormat="1" applyBorder="1"/>
    <xf numFmtId="49" fontId="2" fillId="0" borderId="0" xfId="0" applyNumberFormat="1" applyFont="1"/>
    <xf numFmtId="2" fontId="2" fillId="0" borderId="0" xfId="0" applyNumberFormat="1" applyFont="1"/>
    <xf numFmtId="0" fontId="6" fillId="0" borderId="13" xfId="0" applyFont="1" applyBorder="1"/>
    <xf numFmtId="166" fontId="0" fillId="0" borderId="14" xfId="0" applyNumberFormat="1" applyBorder="1" applyAlignment="1">
      <alignment horizontal="center"/>
    </xf>
    <xf numFmtId="0" fontId="1" fillId="0" borderId="2" xfId="2" applyFont="1" applyBorder="1"/>
    <xf numFmtId="0" fontId="1" fillId="0" borderId="2" xfId="0" applyFont="1" applyBorder="1" applyAlignment="1">
      <alignment horizontal="center"/>
    </xf>
    <xf numFmtId="0" fontId="2" fillId="0" borderId="2" xfId="2" applyFont="1" applyBorder="1"/>
    <xf numFmtId="165" fontId="6" fillId="0" borderId="2" xfId="2" applyNumberFormat="1" applyBorder="1" applyAlignment="1">
      <alignment horizontal="right"/>
    </xf>
    <xf numFmtId="165" fontId="2" fillId="0" borderId="2" xfId="0" applyNumberFormat="1" applyFont="1" applyBorder="1"/>
    <xf numFmtId="165" fontId="7" fillId="0" borderId="18" xfId="0" applyNumberFormat="1" applyFont="1" applyBorder="1" applyAlignment="1">
      <alignment horizontal="right"/>
    </xf>
    <xf numFmtId="169" fontId="7" fillId="4" borderId="16" xfId="0" applyNumberFormat="1" applyFont="1" applyFill="1" applyBorder="1" applyAlignment="1">
      <alignment horizontal="right"/>
    </xf>
    <xf numFmtId="169" fontId="0" fillId="0" borderId="6" xfId="0" applyNumberFormat="1" applyBorder="1"/>
    <xf numFmtId="169" fontId="7" fillId="0" borderId="16" xfId="0" applyNumberFormat="1" applyFont="1" applyBorder="1" applyAlignment="1">
      <alignment horizontal="right"/>
    </xf>
    <xf numFmtId="0" fontId="7" fillId="0" borderId="39" xfId="2" applyFont="1" applyBorder="1" applyAlignment="1">
      <alignment horizontal="right"/>
    </xf>
    <xf numFmtId="165" fontId="7" fillId="0" borderId="18" xfId="0" applyNumberFormat="1" applyFont="1" applyBorder="1"/>
    <xf numFmtId="167" fontId="9" fillId="3" borderId="18" xfId="0" applyNumberFormat="1" applyFont="1" applyFill="1" applyBorder="1" applyAlignment="1">
      <alignment horizontal="center"/>
    </xf>
    <xf numFmtId="169" fontId="7" fillId="0" borderId="37" xfId="0" applyNumberFormat="1" applyFont="1" applyBorder="1" applyAlignment="1">
      <alignment horizontal="right"/>
    </xf>
    <xf numFmtId="0" fontId="7" fillId="0" borderId="17" xfId="2" applyFont="1" applyBorder="1" applyAlignment="1">
      <alignment horizontal="right"/>
    </xf>
    <xf numFmtId="167" fontId="1" fillId="0" borderId="2" xfId="5" applyNumberFormat="1" applyFont="1" applyBorder="1" applyAlignment="1"/>
    <xf numFmtId="165" fontId="1" fillId="0" borderId="2" xfId="0" applyNumberFormat="1" applyFont="1" applyBorder="1" applyAlignment="1">
      <alignment horizontal="right"/>
    </xf>
    <xf numFmtId="0" fontId="1" fillId="0" borderId="2" xfId="0" applyFont="1" applyBorder="1"/>
    <xf numFmtId="165" fontId="7" fillId="5" borderId="18" xfId="0" applyNumberFormat="1" applyFont="1" applyFill="1" applyBorder="1" applyAlignment="1">
      <alignment horizontal="right"/>
    </xf>
    <xf numFmtId="2" fontId="0" fillId="0" borderId="2" xfId="0" applyNumberFormat="1" applyBorder="1" applyAlignment="1">
      <alignment horizontal="center"/>
    </xf>
    <xf numFmtId="167" fontId="1" fillId="0" borderId="2" xfId="5" applyNumberFormat="1" applyFont="1" applyBorder="1" applyAlignment="1">
      <alignment horizontal="right"/>
    </xf>
    <xf numFmtId="165" fontId="1" fillId="0" borderId="2" xfId="0" applyNumberFormat="1" applyFont="1" applyBorder="1"/>
    <xf numFmtId="165" fontId="0" fillId="0" borderId="2" xfId="0" applyNumberFormat="1" applyBorder="1" applyAlignment="1">
      <alignment horizontal="right"/>
    </xf>
    <xf numFmtId="10" fontId="10" fillId="4" borderId="19" xfId="5" applyNumberFormat="1" applyFont="1" applyFill="1" applyBorder="1" applyAlignment="1">
      <alignment horizontal="center"/>
    </xf>
    <xf numFmtId="0" fontId="10" fillId="4" borderId="2" xfId="0" applyFont="1" applyFill="1" applyBorder="1"/>
    <xf numFmtId="164" fontId="10" fillId="4" borderId="2" xfId="5" applyNumberFormat="1" applyFont="1" applyFill="1" applyBorder="1" applyAlignment="1">
      <alignment horizontal="center"/>
    </xf>
    <xf numFmtId="167" fontId="1" fillId="5" borderId="2" xfId="0" applyNumberFormat="1" applyFont="1" applyFill="1" applyBorder="1" applyAlignment="1">
      <alignment horizontal="right"/>
    </xf>
    <xf numFmtId="0" fontId="1" fillId="0" borderId="0" xfId="2" applyFont="1"/>
    <xf numFmtId="165" fontId="1" fillId="0" borderId="0" xfId="2" applyNumberFormat="1" applyFont="1"/>
    <xf numFmtId="165" fontId="1" fillId="0" borderId="0" xfId="2" applyNumberFormat="1" applyFont="1" applyAlignment="1">
      <alignment horizontal="right"/>
    </xf>
    <xf numFmtId="0" fontId="7" fillId="0" borderId="18" xfId="2" applyFont="1" applyBorder="1"/>
    <xf numFmtId="9" fontId="9" fillId="0" borderId="18" xfId="2" applyNumberFormat="1" applyFont="1" applyBorder="1" applyAlignment="1">
      <alignment horizontal="center"/>
    </xf>
    <xf numFmtId="0" fontId="1" fillId="0" borderId="0" xfId="2" applyFont="1" applyAlignment="1">
      <alignment horizontal="right"/>
    </xf>
    <xf numFmtId="10" fontId="1" fillId="0" borderId="0" xfId="5" applyNumberFormat="1" applyFont="1" applyAlignment="1">
      <alignment horizontal="right"/>
    </xf>
    <xf numFmtId="167" fontId="9" fillId="0" borderId="18" xfId="0" applyNumberFormat="1" applyFont="1" applyBorder="1" applyAlignment="1">
      <alignment horizontal="center"/>
    </xf>
    <xf numFmtId="0" fontId="6" fillId="0" borderId="6" xfId="2" applyBorder="1"/>
    <xf numFmtId="0" fontId="6" fillId="0" borderId="0" xfId="2"/>
    <xf numFmtId="0" fontId="15" fillId="0" borderId="0" xfId="0" applyFont="1"/>
    <xf numFmtId="0" fontId="7" fillId="0" borderId="2" xfId="2" applyFont="1" applyBorder="1"/>
    <xf numFmtId="172" fontId="7" fillId="0" borderId="2" xfId="2" applyNumberFormat="1" applyFont="1" applyBorder="1" applyAlignment="1">
      <alignment horizontal="right"/>
    </xf>
    <xf numFmtId="171" fontId="16" fillId="4" borderId="2" xfId="2" applyNumberFormat="1" applyFont="1" applyFill="1" applyBorder="1" applyAlignment="1">
      <alignment horizontal="right"/>
    </xf>
    <xf numFmtId="0" fontId="7" fillId="0" borderId="2" xfId="2" applyFont="1" applyBorder="1" applyAlignment="1">
      <alignment horizontal="right"/>
    </xf>
    <xf numFmtId="172" fontId="7" fillId="0" borderId="18" xfId="0" applyNumberFormat="1" applyFont="1" applyBorder="1" applyAlignment="1">
      <alignment horizontal="right"/>
    </xf>
    <xf numFmtId="171" fontId="7" fillId="4" borderId="16" xfId="0" applyNumberFormat="1" applyFont="1" applyFill="1" applyBorder="1" applyAlignment="1">
      <alignment horizontal="right"/>
    </xf>
    <xf numFmtId="171" fontId="7" fillId="0" borderId="37" xfId="0" applyNumberFormat="1" applyFont="1" applyBorder="1" applyAlignment="1">
      <alignment horizontal="right"/>
    </xf>
    <xf numFmtId="171" fontId="0" fillId="0" borderId="0" xfId="0" applyNumberFormat="1"/>
    <xf numFmtId="172" fontId="7" fillId="5" borderId="18" xfId="0" applyNumberFormat="1" applyFont="1" applyFill="1" applyBorder="1" applyAlignment="1">
      <alignment horizontal="right"/>
    </xf>
    <xf numFmtId="0" fontId="7" fillId="0" borderId="40" xfId="2" applyFont="1" applyBorder="1" applyAlignment="1">
      <alignment horizontal="right"/>
    </xf>
    <xf numFmtId="171" fontId="7" fillId="3" borderId="2" xfId="2" applyNumberFormat="1" applyFont="1" applyFill="1" applyBorder="1" applyAlignment="1">
      <alignment horizontal="right"/>
    </xf>
    <xf numFmtId="171" fontId="7" fillId="0" borderId="0" xfId="2" applyNumberFormat="1" applyFont="1"/>
    <xf numFmtId="171" fontId="16" fillId="3" borderId="2" xfId="2" applyNumberFormat="1" applyFont="1" applyFill="1" applyBorder="1" applyAlignment="1">
      <alignment horizontal="right"/>
    </xf>
    <xf numFmtId="171" fontId="16" fillId="0" borderId="0" xfId="2" applyNumberFormat="1" applyFont="1"/>
    <xf numFmtId="0" fontId="7" fillId="0" borderId="2" xfId="2" applyFont="1" applyBorder="1" applyAlignment="1">
      <alignment horizontal="center"/>
    </xf>
    <xf numFmtId="0" fontId="7" fillId="0" borderId="0" xfId="2" applyFont="1"/>
    <xf numFmtId="9" fontId="9" fillId="0" borderId="2" xfId="2" applyNumberFormat="1" applyFont="1" applyBorder="1" applyAlignment="1">
      <alignment horizontal="center"/>
    </xf>
    <xf numFmtId="171" fontId="7" fillId="0" borderId="2" xfId="2" applyNumberFormat="1" applyFont="1" applyBorder="1" applyAlignment="1">
      <alignment horizontal="center"/>
    </xf>
    <xf numFmtId="171" fontId="7" fillId="0" borderId="0" xfId="2" applyNumberFormat="1" applyFont="1" applyAlignment="1">
      <alignment horizontal="center"/>
    </xf>
    <xf numFmtId="0" fontId="7" fillId="0" borderId="0" xfId="2" applyFont="1" applyAlignment="1">
      <alignment horizontal="right"/>
    </xf>
    <xf numFmtId="172" fontId="7" fillId="0" borderId="0" xfId="2" applyNumberFormat="1" applyFont="1"/>
    <xf numFmtId="0" fontId="0" fillId="0" borderId="41" xfId="0" applyBorder="1"/>
    <xf numFmtId="0" fontId="7" fillId="0" borderId="42" xfId="0" applyFont="1" applyBorder="1"/>
    <xf numFmtId="0" fontId="0" fillId="0" borderId="43" xfId="0" applyBorder="1"/>
    <xf numFmtId="0" fontId="0" fillId="0" borderId="44" xfId="0" applyBorder="1"/>
    <xf numFmtId="0" fontId="0" fillId="0" borderId="30" xfId="0" applyBorder="1"/>
    <xf numFmtId="0" fontId="14" fillId="7" borderId="38" xfId="4" applyFont="1" applyFill="1" applyBorder="1" applyAlignment="1">
      <alignment vertical="center"/>
    </xf>
    <xf numFmtId="0" fontId="14" fillId="7" borderId="37" xfId="4" applyFont="1" applyFill="1" applyBorder="1" applyAlignment="1">
      <alignment vertical="center"/>
    </xf>
    <xf numFmtId="0" fontId="14" fillId="7" borderId="46" xfId="4" applyFont="1" applyFill="1" applyBorder="1" applyAlignment="1">
      <alignment horizontal="center" vertical="center"/>
    </xf>
    <xf numFmtId="9" fontId="14" fillId="7" borderId="46" xfId="4" applyNumberFormat="1" applyFont="1" applyFill="1" applyBorder="1" applyAlignment="1">
      <alignment horizontal="center" vertical="center"/>
    </xf>
    <xf numFmtId="173" fontId="14" fillId="8" borderId="45" xfId="4" applyNumberFormat="1" applyFont="1" applyFill="1" applyBorder="1" applyAlignment="1">
      <alignment horizontal="center" vertical="center"/>
    </xf>
    <xf numFmtId="164" fontId="14" fillId="8" borderId="37" xfId="4" applyNumberFormat="1" applyFont="1" applyFill="1" applyBorder="1" applyAlignment="1">
      <alignment horizontal="center" vertical="center"/>
    </xf>
    <xf numFmtId="174" fontId="17" fillId="0" borderId="47" xfId="4" applyNumberFormat="1" applyFont="1" applyBorder="1" applyAlignment="1">
      <alignment horizontal="center" vertical="center" wrapText="1"/>
    </xf>
    <xf numFmtId="174" fontId="17" fillId="0" borderId="18" xfId="4" applyNumberFormat="1" applyFont="1" applyBorder="1" applyAlignment="1">
      <alignment horizontal="center" vertical="center" wrapText="1"/>
    </xf>
    <xf numFmtId="174" fontId="0" fillId="0" borderId="10" xfId="0" applyNumberFormat="1" applyBorder="1" applyAlignment="1">
      <alignment horizontal="center"/>
    </xf>
    <xf numFmtId="164" fontId="14" fillId="8" borderId="18" xfId="4" applyNumberFormat="1" applyFont="1" applyFill="1" applyBorder="1" applyAlignment="1">
      <alignment horizontal="center" vertical="center"/>
    </xf>
    <xf numFmtId="174" fontId="0" fillId="0" borderId="14" xfId="0" applyNumberFormat="1" applyBorder="1" applyAlignment="1">
      <alignment horizontal="center"/>
    </xf>
    <xf numFmtId="0" fontId="6" fillId="0" borderId="26" xfId="0" applyFont="1" applyBorder="1"/>
    <xf numFmtId="174" fontId="0" fillId="0" borderId="27" xfId="0" applyNumberFormat="1" applyBorder="1" applyAlignment="1">
      <alignment horizontal="center"/>
    </xf>
    <xf numFmtId="173" fontId="14" fillId="8" borderId="48" xfId="4" applyNumberFormat="1" applyFont="1" applyFill="1" applyBorder="1" applyAlignment="1">
      <alignment horizontal="center" vertical="center"/>
    </xf>
    <xf numFmtId="173" fontId="14" fillId="8" borderId="49" xfId="4" applyNumberFormat="1" applyFont="1" applyFill="1" applyBorder="1" applyAlignment="1">
      <alignment horizontal="center" vertical="center"/>
    </xf>
    <xf numFmtId="164" fontId="14" fillId="8" borderId="47" xfId="4" applyNumberFormat="1" applyFont="1" applyFill="1" applyBorder="1" applyAlignment="1">
      <alignment horizontal="center" vertical="center"/>
    </xf>
    <xf numFmtId="0" fontId="6" fillId="0" borderId="0" xfId="0" applyFont="1"/>
    <xf numFmtId="164" fontId="6" fillId="0" borderId="0" xfId="0" applyNumberFormat="1" applyFont="1"/>
    <xf numFmtId="174" fontId="7" fillId="0" borderId="18" xfId="0" applyNumberFormat="1" applyFont="1" applyBorder="1" applyAlignment="1">
      <alignment horizontal="right"/>
    </xf>
    <xf numFmtId="175" fontId="7" fillId="4" borderId="18" xfId="0" applyNumberFormat="1" applyFont="1" applyFill="1" applyBorder="1" applyAlignment="1">
      <alignment horizontal="right"/>
    </xf>
    <xf numFmtId="174" fontId="7" fillId="4" borderId="18" xfId="0" applyNumberFormat="1" applyFont="1" applyFill="1" applyBorder="1" applyAlignment="1">
      <alignment horizontal="right"/>
    </xf>
    <xf numFmtId="167" fontId="9" fillId="0" borderId="17" xfId="0" applyNumberFormat="1" applyFont="1" applyBorder="1" applyAlignment="1">
      <alignment horizontal="center"/>
    </xf>
    <xf numFmtId="174" fontId="7" fillId="0" borderId="16" xfId="0" applyNumberFormat="1" applyFont="1" applyBorder="1" applyAlignment="1">
      <alignment horizontal="right"/>
    </xf>
    <xf numFmtId="0" fontId="7" fillId="0" borderId="0" xfId="0" applyFont="1" applyAlignment="1">
      <alignment horizontal="right"/>
    </xf>
    <xf numFmtId="9" fontId="7" fillId="0" borderId="41" xfId="0" applyNumberFormat="1" applyFont="1" applyBorder="1" applyAlignment="1">
      <alignment horizontal="right"/>
    </xf>
    <xf numFmtId="0" fontId="7" fillId="0" borderId="44" xfId="0" applyFont="1" applyBorder="1" applyAlignment="1">
      <alignment horizontal="center"/>
    </xf>
    <xf numFmtId="9" fontId="7" fillId="5" borderId="17" xfId="0" applyNumberFormat="1" applyFont="1" applyFill="1" applyBorder="1" applyAlignment="1">
      <alignment horizontal="center"/>
    </xf>
    <xf numFmtId="174" fontId="7" fillId="5" borderId="18" xfId="0" applyNumberFormat="1" applyFont="1" applyFill="1" applyBorder="1" applyAlignment="1">
      <alignment horizontal="right"/>
    </xf>
    <xf numFmtId="9" fontId="7" fillId="0" borderId="30" xfId="0" applyNumberFormat="1" applyFont="1" applyBorder="1" applyAlignment="1">
      <alignment horizontal="right"/>
    </xf>
    <xf numFmtId="174" fontId="7" fillId="0" borderId="31" xfId="0" applyNumberFormat="1" applyFont="1" applyBorder="1" applyAlignment="1">
      <alignment horizontal="right"/>
    </xf>
    <xf numFmtId="0" fontId="7" fillId="0" borderId="50" xfId="0" applyFont="1" applyBorder="1" applyAlignment="1">
      <alignment horizontal="right"/>
    </xf>
    <xf numFmtId="10" fontId="7" fillId="6" borderId="47" xfId="5" applyNumberFormat="1" applyFont="1" applyFill="1" applyBorder="1" applyAlignment="1">
      <alignment horizontal="center"/>
    </xf>
    <xf numFmtId="0" fontId="9" fillId="0" borderId="0" xfId="0" applyFont="1" applyAlignment="1">
      <alignment horizontal="right"/>
    </xf>
    <xf numFmtId="0" fontId="0" fillId="0" borderId="50" xfId="0" applyBorder="1"/>
    <xf numFmtId="0" fontId="0" fillId="0" borderId="51" xfId="0" applyBorder="1"/>
    <xf numFmtId="0" fontId="0" fillId="0" borderId="47" xfId="0" applyBorder="1"/>
    <xf numFmtId="0" fontId="7" fillId="0" borderId="16" xfId="2" applyFont="1" applyBorder="1"/>
    <xf numFmtId="174" fontId="7" fillId="0" borderId="18" xfId="0" applyNumberFormat="1" applyFont="1" applyBorder="1"/>
    <xf numFmtId="0" fontId="6" fillId="3" borderId="9" xfId="2" applyFill="1" applyBorder="1"/>
    <xf numFmtId="0" fontId="0" fillId="0" borderId="10" xfId="0" applyBorder="1"/>
    <xf numFmtId="0" fontId="7" fillId="0" borderId="9" xfId="0" applyFont="1" applyBorder="1" applyAlignment="1">
      <alignment horizontal="right"/>
    </xf>
    <xf numFmtId="165" fontId="2" fillId="0" borderId="2" xfId="0" applyNumberFormat="1" applyFont="1" applyBorder="1" applyAlignment="1">
      <alignment horizontal="right"/>
    </xf>
    <xf numFmtId="175" fontId="0" fillId="4" borderId="10" xfId="0" applyNumberFormat="1" applyFill="1" applyBorder="1" applyAlignment="1">
      <alignment horizontal="right"/>
    </xf>
    <xf numFmtId="165" fontId="2" fillId="0" borderId="52" xfId="0" applyNumberFormat="1" applyFont="1" applyBorder="1" applyAlignment="1">
      <alignment horizontal="right"/>
    </xf>
    <xf numFmtId="0" fontId="0" fillId="0" borderId="14" xfId="0" applyBorder="1"/>
    <xf numFmtId="176" fontId="2" fillId="0" borderId="22" xfId="0" applyNumberFormat="1" applyFont="1" applyBorder="1"/>
    <xf numFmtId="176" fontId="0" fillId="0" borderId="10" xfId="0" applyNumberFormat="1" applyBorder="1"/>
    <xf numFmtId="165" fontId="0" fillId="0" borderId="37" xfId="0" applyNumberFormat="1" applyBorder="1" applyAlignment="1">
      <alignment horizontal="right"/>
    </xf>
    <xf numFmtId="176" fontId="1" fillId="3" borderId="14" xfId="0" applyNumberFormat="1" applyFont="1" applyFill="1" applyBorder="1"/>
    <xf numFmtId="0" fontId="2" fillId="0" borderId="22" xfId="0" applyFont="1" applyBorder="1" applyAlignment="1">
      <alignment horizontal="right"/>
    </xf>
    <xf numFmtId="165" fontId="0" fillId="0" borderId="49" xfId="0" applyNumberFormat="1" applyBorder="1" applyAlignment="1">
      <alignment horizontal="right"/>
    </xf>
    <xf numFmtId="0" fontId="2" fillId="0" borderId="10" xfId="0" applyFont="1" applyBorder="1" applyAlignment="1">
      <alignment horizontal="right"/>
    </xf>
    <xf numFmtId="0" fontId="2" fillId="0" borderId="0" xfId="0" applyFont="1"/>
    <xf numFmtId="2" fontId="1" fillId="0" borderId="0" xfId="0" applyNumberFormat="1" applyFont="1" applyAlignment="1">
      <alignment horizontal="right"/>
    </xf>
    <xf numFmtId="177" fontId="1" fillId="0" borderId="0" xfId="0" applyNumberFormat="1" applyFont="1" applyAlignment="1">
      <alignment horizontal="right"/>
    </xf>
    <xf numFmtId="178" fontId="1" fillId="0" borderId="0" xfId="0" applyNumberFormat="1" applyFont="1" applyAlignment="1">
      <alignment horizontal="right"/>
    </xf>
    <xf numFmtId="172" fontId="1" fillId="0" borderId="2" xfId="0" applyNumberFormat="1" applyFont="1" applyBorder="1" applyAlignment="1">
      <alignment horizontal="right"/>
    </xf>
    <xf numFmtId="0" fontId="1" fillId="3" borderId="2" xfId="0" applyFont="1" applyFill="1" applyBorder="1"/>
    <xf numFmtId="9" fontId="13" fillId="3" borderId="2" xfId="0" applyNumberFormat="1" applyFont="1" applyFill="1" applyBorder="1" applyAlignment="1">
      <alignment horizontal="center"/>
    </xf>
    <xf numFmtId="165" fontId="1" fillId="3" borderId="2" xfId="0" applyNumberFormat="1" applyFont="1" applyFill="1" applyBorder="1" applyAlignment="1">
      <alignment horizontal="right"/>
    </xf>
    <xf numFmtId="9" fontId="13" fillId="0" borderId="0" xfId="0" applyNumberFormat="1" applyFont="1" applyAlignment="1">
      <alignment horizontal="center"/>
    </xf>
    <xf numFmtId="172" fontId="1" fillId="3" borderId="2" xfId="0" applyNumberFormat="1" applyFont="1" applyFill="1" applyBorder="1" applyAlignment="1">
      <alignment horizontal="right"/>
    </xf>
    <xf numFmtId="0" fontId="1" fillId="3" borderId="0" xfId="0" applyFont="1" applyFill="1"/>
    <xf numFmtId="9" fontId="13" fillId="3" borderId="0" xfId="0" applyNumberFormat="1" applyFont="1" applyFill="1" applyAlignment="1">
      <alignment horizontal="center"/>
    </xf>
    <xf numFmtId="169" fontId="1" fillId="0" borderId="2" xfId="0" applyNumberFormat="1" applyFont="1" applyBorder="1" applyAlignment="1">
      <alignment horizontal="right"/>
    </xf>
    <xf numFmtId="0" fontId="19" fillId="0" borderId="0" xfId="0" applyFont="1"/>
    <xf numFmtId="9" fontId="19" fillId="0" borderId="0" xfId="0" applyNumberFormat="1" applyFont="1" applyAlignment="1">
      <alignment horizontal="center"/>
    </xf>
    <xf numFmtId="0" fontId="1" fillId="0" borderId="2" xfId="0" applyFont="1" applyBorder="1" applyAlignment="1">
      <alignment horizontal="left"/>
    </xf>
    <xf numFmtId="165" fontId="1" fillId="10" borderId="2" xfId="0" applyNumberFormat="1" applyFont="1" applyFill="1" applyBorder="1"/>
    <xf numFmtId="172" fontId="1" fillId="10" borderId="2" xfId="0" applyNumberFormat="1" applyFont="1" applyFill="1" applyBorder="1" applyAlignment="1">
      <alignment horizontal="right"/>
    </xf>
    <xf numFmtId="0" fontId="20" fillId="10" borderId="2" xfId="0" applyFont="1" applyFill="1" applyBorder="1" applyAlignment="1">
      <alignment horizontal="center"/>
    </xf>
    <xf numFmtId="165" fontId="1" fillId="10" borderId="2" xfId="0" applyNumberFormat="1" applyFont="1" applyFill="1" applyBorder="1" applyAlignment="1">
      <alignment horizontal="right"/>
    </xf>
    <xf numFmtId="0" fontId="1" fillId="10" borderId="2" xfId="0" applyFont="1" applyFill="1" applyBorder="1"/>
    <xf numFmtId="169" fontId="13" fillId="0" borderId="2" xfId="0" applyNumberFormat="1" applyFont="1" applyBorder="1" applyAlignment="1">
      <alignment horizontal="right"/>
    </xf>
    <xf numFmtId="0" fontId="1" fillId="0" borderId="30" xfId="2" applyFont="1" applyFill="1" applyBorder="1" applyAlignment="1">
      <alignment horizontal="center"/>
    </xf>
    <xf numFmtId="0" fontId="1" fillId="0" borderId="31" xfId="2" applyFont="1" applyFill="1" applyBorder="1" applyAlignment="1">
      <alignment horizontal="center"/>
    </xf>
    <xf numFmtId="174" fontId="7" fillId="3" borderId="2" xfId="0" applyNumberFormat="1" applyFont="1" applyFill="1" applyBorder="1" applyAlignment="1">
      <alignment horizontal="right"/>
    </xf>
    <xf numFmtId="174" fontId="1" fillId="11" borderId="0" xfId="2" applyNumberFormat="1" applyFont="1" applyFill="1" applyBorder="1" applyAlignment="1">
      <alignment horizontal="center"/>
    </xf>
    <xf numFmtId="0" fontId="1" fillId="2" borderId="3" xfId="2" applyFont="1" applyFill="1" applyBorder="1" applyAlignment="1">
      <alignment horizontal="center"/>
    </xf>
    <xf numFmtId="0" fontId="1" fillId="2" borderId="1" xfId="2" applyFont="1" applyFill="1" applyBorder="1" applyAlignment="1">
      <alignment horizontal="center"/>
    </xf>
    <xf numFmtId="0" fontId="1" fillId="0" borderId="7" xfId="2" applyFont="1" applyBorder="1" applyAlignment="1">
      <alignment horizontal="center"/>
    </xf>
    <xf numFmtId="0" fontId="1" fillId="0" borderId="8" xfId="2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0" borderId="16" xfId="0" applyFont="1" applyBorder="1" applyAlignment="1">
      <alignment horizontal="left"/>
    </xf>
    <xf numFmtId="0" fontId="7" fillId="0" borderId="17" xfId="0" applyFont="1" applyBorder="1" applyAlignment="1">
      <alignment horizontal="left"/>
    </xf>
    <xf numFmtId="165" fontId="0" fillId="0" borderId="2" xfId="0" applyNumberFormat="1" applyBorder="1" applyAlignment="1">
      <alignment horizontal="center" vertical="center"/>
    </xf>
    <xf numFmtId="0" fontId="7" fillId="6" borderId="2" xfId="0" applyFont="1" applyFill="1" applyBorder="1" applyAlignment="1">
      <alignment horizontal="center" vertical="center" wrapText="1"/>
    </xf>
    <xf numFmtId="0" fontId="7" fillId="6" borderId="2" xfId="0" applyFont="1" applyFill="1" applyBorder="1" applyAlignment="1">
      <alignment horizontal="center" vertical="center"/>
    </xf>
    <xf numFmtId="0" fontId="7" fillId="0" borderId="16" xfId="2" applyFont="1" applyBorder="1" applyAlignment="1">
      <alignment horizontal="left"/>
    </xf>
    <xf numFmtId="0" fontId="7" fillId="0" borderId="17" xfId="2" applyFont="1" applyBorder="1" applyAlignment="1">
      <alignment horizontal="left"/>
    </xf>
    <xf numFmtId="0" fontId="7" fillId="2" borderId="0" xfId="0" applyFont="1" applyFill="1" applyAlignment="1">
      <alignment horizontal="center"/>
    </xf>
    <xf numFmtId="0" fontId="7" fillId="2" borderId="6" xfId="0" applyFont="1" applyFill="1" applyBorder="1" applyAlignment="1">
      <alignment horizontal="center"/>
    </xf>
    <xf numFmtId="0" fontId="7" fillId="0" borderId="16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1" fillId="5" borderId="2" xfId="0" applyFont="1" applyFill="1" applyBorder="1" applyAlignment="1">
      <alignment horizontal="right"/>
    </xf>
    <xf numFmtId="0" fontId="1" fillId="2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32" xfId="0" applyFont="1" applyBorder="1" applyAlignment="1">
      <alignment horizontal="center"/>
    </xf>
    <xf numFmtId="0" fontId="2" fillId="0" borderId="33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1" fillId="0" borderId="20" xfId="0" applyFont="1" applyBorder="1" applyAlignment="1">
      <alignment horizontal="left" vertical="center"/>
    </xf>
    <xf numFmtId="0" fontId="1" fillId="0" borderId="23" xfId="0" applyFont="1" applyBorder="1" applyAlignment="1">
      <alignment horizontal="left" vertical="center"/>
    </xf>
    <xf numFmtId="0" fontId="1" fillId="0" borderId="19" xfId="0" applyFont="1" applyBorder="1" applyAlignment="1">
      <alignment horizontal="left" vertical="center"/>
    </xf>
    <xf numFmtId="0" fontId="16" fillId="3" borderId="2" xfId="2" applyFont="1" applyFill="1" applyBorder="1" applyAlignment="1">
      <alignment horizontal="center"/>
    </xf>
    <xf numFmtId="0" fontId="7" fillId="0" borderId="3" xfId="2" applyFont="1" applyBorder="1" applyAlignment="1">
      <alignment horizontal="center"/>
    </xf>
    <xf numFmtId="0" fontId="7" fillId="0" borderId="5" xfId="2" applyFont="1" applyBorder="1" applyAlignment="1">
      <alignment horizontal="center"/>
    </xf>
    <xf numFmtId="0" fontId="1" fillId="2" borderId="2" xfId="2" applyFont="1" applyFill="1" applyBorder="1" applyAlignment="1">
      <alignment horizontal="center" vertical="center"/>
    </xf>
    <xf numFmtId="171" fontId="16" fillId="3" borderId="2" xfId="2" applyNumberFormat="1" applyFont="1" applyFill="1" applyBorder="1" applyAlignment="1">
      <alignment horizontal="center"/>
    </xf>
    <xf numFmtId="172" fontId="16" fillId="0" borderId="3" xfId="2" applyNumberFormat="1" applyFont="1" applyBorder="1" applyAlignment="1">
      <alignment horizontal="center"/>
    </xf>
    <xf numFmtId="172" fontId="16" fillId="0" borderId="5" xfId="2" applyNumberFormat="1" applyFont="1" applyBorder="1" applyAlignment="1">
      <alignment horizontal="center"/>
    </xf>
    <xf numFmtId="171" fontId="16" fillId="4" borderId="3" xfId="2" applyNumberFormat="1" applyFont="1" applyFill="1" applyBorder="1" applyAlignment="1">
      <alignment horizontal="center"/>
    </xf>
    <xf numFmtId="171" fontId="16" fillId="4" borderId="5" xfId="2" applyNumberFormat="1" applyFont="1" applyFill="1" applyBorder="1" applyAlignment="1">
      <alignment horizontal="center"/>
    </xf>
    <xf numFmtId="0" fontId="1" fillId="0" borderId="9" xfId="2" applyFont="1" applyBorder="1" applyAlignment="1">
      <alignment horizontal="center"/>
    </xf>
    <xf numFmtId="0" fontId="1" fillId="0" borderId="2" xfId="2" applyFont="1" applyBorder="1" applyAlignment="1">
      <alignment horizontal="center"/>
    </xf>
    <xf numFmtId="0" fontId="1" fillId="0" borderId="10" xfId="2" applyFont="1" applyBorder="1" applyAlignment="1">
      <alignment horizontal="center"/>
    </xf>
    <xf numFmtId="0" fontId="14" fillId="7" borderId="38" xfId="4" applyFont="1" applyFill="1" applyBorder="1" applyAlignment="1">
      <alignment horizontal="center" vertical="center"/>
    </xf>
    <xf numFmtId="0" fontId="14" fillId="7" borderId="45" xfId="4" applyFont="1" applyFill="1" applyBorder="1" applyAlignment="1">
      <alignment horizontal="center" vertical="center"/>
    </xf>
    <xf numFmtId="0" fontId="1" fillId="2" borderId="41" xfId="2" applyFont="1" applyFill="1" applyBorder="1" applyAlignment="1">
      <alignment horizontal="center"/>
    </xf>
    <xf numFmtId="0" fontId="1" fillId="2" borderId="43" xfId="2" applyFont="1" applyFill="1" applyBorder="1" applyAlignment="1">
      <alignment horizontal="center"/>
    </xf>
    <xf numFmtId="0" fontId="1" fillId="2" borderId="44" xfId="2" applyFont="1" applyFill="1" applyBorder="1" applyAlignment="1">
      <alignment horizontal="center"/>
    </xf>
    <xf numFmtId="0" fontId="1" fillId="10" borderId="3" xfId="0" applyFont="1" applyFill="1" applyBorder="1" applyAlignment="1">
      <alignment horizontal="left"/>
    </xf>
    <xf numFmtId="0" fontId="1" fillId="10" borderId="5" xfId="0" applyFont="1" applyFill="1" applyBorder="1" applyAlignment="1">
      <alignment horizontal="left"/>
    </xf>
    <xf numFmtId="0" fontId="1" fillId="10" borderId="16" xfId="2" applyFont="1" applyFill="1" applyBorder="1" applyAlignment="1">
      <alignment horizontal="right"/>
    </xf>
    <xf numFmtId="0" fontId="1" fillId="10" borderId="42" xfId="2" applyFont="1" applyFill="1" applyBorder="1" applyAlignment="1">
      <alignment horizontal="right"/>
    </xf>
    <xf numFmtId="164" fontId="7" fillId="10" borderId="42" xfId="0" applyNumberFormat="1" applyFont="1" applyFill="1" applyBorder="1" applyAlignment="1">
      <alignment horizontal="left"/>
    </xf>
    <xf numFmtId="164" fontId="7" fillId="10" borderId="17" xfId="0" applyNumberFormat="1" applyFont="1" applyFill="1" applyBorder="1" applyAlignment="1">
      <alignment horizontal="left"/>
    </xf>
    <xf numFmtId="0" fontId="1" fillId="10" borderId="2" xfId="0" applyFont="1" applyFill="1" applyBorder="1" applyAlignment="1">
      <alignment horizontal="left"/>
    </xf>
    <xf numFmtId="0" fontId="1" fillId="10" borderId="3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1" fillId="10" borderId="5" xfId="0" applyFont="1" applyFill="1" applyBorder="1" applyAlignment="1">
      <alignment horizontal="center"/>
    </xf>
    <xf numFmtId="0" fontId="1" fillId="10" borderId="2" xfId="0" applyFont="1" applyFill="1" applyBorder="1" applyAlignment="1">
      <alignment horizontal="center"/>
    </xf>
    <xf numFmtId="0" fontId="1" fillId="10" borderId="0" xfId="0" applyFont="1" applyFill="1" applyAlignment="1">
      <alignment horizontal="center"/>
    </xf>
    <xf numFmtId="0" fontId="1" fillId="0" borderId="2" xfId="0" applyFont="1" applyBorder="1" applyAlignment="1">
      <alignment horizontal="left"/>
    </xf>
    <xf numFmtId="49" fontId="2" fillId="0" borderId="3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49" fontId="1" fillId="0" borderId="0" xfId="0" applyNumberFormat="1" applyFont="1" applyAlignment="1">
      <alignment horizontal="center"/>
    </xf>
    <xf numFmtId="49" fontId="1" fillId="0" borderId="2" xfId="0" applyNumberFormat="1" applyFont="1" applyBorder="1" applyAlignment="1">
      <alignment horizontal="left"/>
    </xf>
    <xf numFmtId="0" fontId="1" fillId="0" borderId="3" xfId="0" applyFont="1" applyBorder="1" applyAlignment="1">
      <alignment horizontal="right"/>
    </xf>
    <xf numFmtId="0" fontId="1" fillId="0" borderId="5" xfId="0" applyFont="1" applyBorder="1" applyAlignment="1">
      <alignment horizontal="right"/>
    </xf>
    <xf numFmtId="0" fontId="1" fillId="0" borderId="3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8" fillId="9" borderId="0" xfId="0" applyFont="1" applyFill="1" applyAlignment="1">
      <alignment horizontal="center"/>
    </xf>
    <xf numFmtId="0" fontId="18" fillId="9" borderId="53" xfId="0" applyFont="1" applyFill="1" applyBorder="1" applyAlignment="1">
      <alignment horizontal="center"/>
    </xf>
  </cellXfs>
  <cellStyles count="6">
    <cellStyle name="Normal" xfId="0" builtinId="0"/>
    <cellStyle name="Normal 2" xfId="2" xr:uid="{85CAB230-9C32-4410-9496-F306881BFD7A}"/>
    <cellStyle name="Normal 7" xfId="4" xr:uid="{5D2568FE-6EDA-4105-A56B-8AB98FAD278C}"/>
    <cellStyle name="Normal 8" xfId="3" xr:uid="{85C2FFB3-6B94-4EEA-88D4-897728441929}"/>
    <cellStyle name="Percent" xfId="1" builtinId="5"/>
    <cellStyle name="Percent 3" xfId="5" xr:uid="{E760293D-D6AA-47BE-9DF8-A78191E6277A}"/>
  </cellStyles>
  <dxfs count="8">
    <dxf>
      <fill>
        <patternFill>
          <bgColor theme="9" tint="0.59996337778862885"/>
        </patternFill>
      </fill>
      <border>
        <bottom style="thin">
          <color auto="1"/>
        </bottom>
        <vertical/>
        <horizontal/>
      </border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  <border>
        <bottom style="thin">
          <color auto="1"/>
        </bottom>
        <vertical/>
        <horizontal/>
      </border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4"/>
  <sheetViews>
    <sheetView tabSelected="1" topLeftCell="A7" zoomScaleNormal="100" workbookViewId="0">
      <selection activeCell="C40" sqref="C40"/>
    </sheetView>
  </sheetViews>
  <sheetFormatPr defaultRowHeight="13.2" x14ac:dyDescent="0.25"/>
  <cols>
    <col min="1" max="1" width="28.5546875" customWidth="1"/>
    <col min="2" max="2" width="32.88671875" customWidth="1"/>
    <col min="3" max="3" width="19" customWidth="1"/>
    <col min="4" max="4" width="14.44140625" customWidth="1"/>
    <col min="5" max="5" width="27.44140625" customWidth="1"/>
    <col min="6" max="7" width="14.6640625" customWidth="1"/>
    <col min="8" max="8" width="25.6640625" customWidth="1"/>
    <col min="9" max="10" width="16.6640625" customWidth="1"/>
  </cols>
  <sheetData>
    <row r="1" spans="1:10" x14ac:dyDescent="0.25">
      <c r="A1" s="6"/>
      <c r="B1" s="6"/>
      <c r="C1" s="6"/>
      <c r="D1" s="6"/>
      <c r="E1" s="6"/>
      <c r="G1" s="19"/>
    </row>
    <row r="2" spans="1:10" x14ac:dyDescent="0.25">
      <c r="A2" s="3" t="s">
        <v>29</v>
      </c>
      <c r="B2" s="4" t="s">
        <v>165</v>
      </c>
      <c r="C2" s="5" t="s">
        <v>154</v>
      </c>
      <c r="D2" s="1" t="s">
        <v>166</v>
      </c>
      <c r="E2" s="7"/>
      <c r="G2" s="19"/>
    </row>
    <row r="3" spans="1:10" x14ac:dyDescent="0.25">
      <c r="G3" s="19"/>
    </row>
    <row r="4" spans="1:10" ht="20.399999999999999" x14ac:dyDescent="0.35">
      <c r="A4" s="8" t="s">
        <v>167</v>
      </c>
      <c r="B4" s="9"/>
      <c r="C4" s="9"/>
      <c r="D4" s="9"/>
      <c r="E4" s="9"/>
      <c r="G4" s="19"/>
    </row>
    <row r="5" spans="1:10" x14ac:dyDescent="0.25">
      <c r="A5" s="9"/>
      <c r="B5" s="9"/>
      <c r="C5" s="9"/>
      <c r="D5" s="9"/>
      <c r="E5" s="9"/>
      <c r="G5" s="19"/>
    </row>
    <row r="6" spans="1:10" x14ac:dyDescent="0.25">
      <c r="A6" s="9" t="s">
        <v>155</v>
      </c>
      <c r="B6" s="9" t="s">
        <v>74</v>
      </c>
      <c r="C6" s="9" t="s">
        <v>156</v>
      </c>
      <c r="D6" s="9" t="s">
        <v>157</v>
      </c>
      <c r="E6" s="9" t="s">
        <v>158</v>
      </c>
      <c r="G6" s="19"/>
    </row>
    <row r="7" spans="1:10" x14ac:dyDescent="0.25">
      <c r="A7" s="10" t="s">
        <v>51</v>
      </c>
      <c r="B7" s="11">
        <v>7749.14</v>
      </c>
      <c r="C7" s="11">
        <v>3058.04</v>
      </c>
      <c r="D7" s="11">
        <v>-5707.88</v>
      </c>
      <c r="E7" s="11">
        <v>5099.3</v>
      </c>
      <c r="G7" s="19"/>
      <c r="H7" s="278" t="s">
        <v>0</v>
      </c>
      <c r="I7" s="279"/>
      <c r="J7" s="279"/>
    </row>
    <row r="8" spans="1:10" ht="13.8" thickBot="1" x14ac:dyDescent="0.3">
      <c r="A8" s="10" t="s">
        <v>53</v>
      </c>
      <c r="B8" s="11">
        <v>379.06</v>
      </c>
      <c r="C8" s="11">
        <v>0</v>
      </c>
      <c r="D8" s="11">
        <v>-33.43</v>
      </c>
      <c r="E8" s="11">
        <v>345.63</v>
      </c>
      <c r="G8" s="19"/>
      <c r="H8" s="20" t="s">
        <v>1</v>
      </c>
      <c r="I8" s="21">
        <v>0</v>
      </c>
      <c r="J8" s="22"/>
    </row>
    <row r="9" spans="1:10" x14ac:dyDescent="0.25">
      <c r="A9" s="10" t="s">
        <v>17</v>
      </c>
      <c r="B9" s="11">
        <v>551.5</v>
      </c>
      <c r="C9" s="11">
        <v>0</v>
      </c>
      <c r="D9" s="11">
        <v>-55.15</v>
      </c>
      <c r="E9" s="11">
        <v>496.35</v>
      </c>
      <c r="G9" s="19"/>
      <c r="H9" s="280" t="s">
        <v>2</v>
      </c>
      <c r="I9" s="281"/>
      <c r="J9" s="23"/>
    </row>
    <row r="10" spans="1:10" x14ac:dyDescent="0.25">
      <c r="A10" s="10" t="s">
        <v>57</v>
      </c>
      <c r="B10" s="11">
        <v>22.23</v>
      </c>
      <c r="C10" s="11">
        <v>0</v>
      </c>
      <c r="D10" s="11">
        <v>0</v>
      </c>
      <c r="E10" s="11">
        <v>22.23</v>
      </c>
      <c r="G10" s="19"/>
      <c r="H10" s="24" t="s">
        <v>3</v>
      </c>
      <c r="I10" s="25">
        <f>C36</f>
        <v>2</v>
      </c>
      <c r="J10" s="26"/>
    </row>
    <row r="11" spans="1:10" x14ac:dyDescent="0.25">
      <c r="A11" s="10" t="s">
        <v>18</v>
      </c>
      <c r="B11" s="11">
        <v>12489.32</v>
      </c>
      <c r="C11" s="11">
        <v>0</v>
      </c>
      <c r="D11" s="11">
        <v>0</v>
      </c>
      <c r="E11" s="11">
        <v>12489.32</v>
      </c>
      <c r="G11" s="19"/>
      <c r="H11" s="27" t="s">
        <v>4</v>
      </c>
      <c r="I11" s="28">
        <f>C37</f>
        <v>1929.6915254237288</v>
      </c>
      <c r="J11" s="29">
        <f>ROUND(I11/I10,2)</f>
        <v>964.85</v>
      </c>
    </row>
    <row r="12" spans="1:10" x14ac:dyDescent="0.25">
      <c r="A12" s="10" t="s">
        <v>159</v>
      </c>
      <c r="B12" s="11">
        <v>0</v>
      </c>
      <c r="C12" s="11">
        <v>0</v>
      </c>
      <c r="D12" s="11">
        <v>0</v>
      </c>
      <c r="E12" s="11">
        <v>0</v>
      </c>
      <c r="G12" s="19"/>
      <c r="H12" s="24" t="s">
        <v>5</v>
      </c>
      <c r="I12" s="30">
        <f>ROUND((I8-I14)/1.29*1.27,0)</f>
        <v>0</v>
      </c>
      <c r="J12" s="29">
        <f>ROUND(I12/I10,2)</f>
        <v>0</v>
      </c>
    </row>
    <row r="13" spans="1:10" x14ac:dyDescent="0.25">
      <c r="A13" s="10" t="s">
        <v>64</v>
      </c>
      <c r="B13" s="11">
        <v>0</v>
      </c>
      <c r="C13" s="11">
        <v>0</v>
      </c>
      <c r="D13" s="11">
        <v>0</v>
      </c>
      <c r="E13" s="11">
        <v>0</v>
      </c>
      <c r="G13" s="19"/>
      <c r="H13" s="24" t="s">
        <v>6</v>
      </c>
      <c r="I13" s="30">
        <f>I8-I12-I14</f>
        <v>0</v>
      </c>
      <c r="J13" s="31"/>
    </row>
    <row r="14" spans="1:10" ht="13.8" thickBot="1" x14ac:dyDescent="0.3">
      <c r="A14" s="10" t="s">
        <v>160</v>
      </c>
      <c r="B14" s="11">
        <v>1123.6600000000001</v>
      </c>
      <c r="C14" s="11">
        <v>458</v>
      </c>
      <c r="D14" s="11">
        <v>0</v>
      </c>
      <c r="E14" s="11">
        <v>1581.67</v>
      </c>
      <c r="G14" s="19"/>
      <c r="H14" s="32" t="s">
        <v>7</v>
      </c>
      <c r="I14" s="33">
        <f>ROUND(I8-I8/1.14,0)</f>
        <v>0</v>
      </c>
      <c r="J14" s="34"/>
    </row>
    <row r="15" spans="1:10" x14ac:dyDescent="0.25">
      <c r="A15" s="9"/>
      <c r="B15" s="9"/>
      <c r="C15" s="9"/>
      <c r="D15" s="9"/>
      <c r="E15" s="9"/>
      <c r="G15" s="19"/>
    </row>
    <row r="16" spans="1:10" x14ac:dyDescent="0.25">
      <c r="A16" s="9" t="s">
        <v>33</v>
      </c>
      <c r="B16" s="9" t="s">
        <v>34</v>
      </c>
      <c r="C16" s="9" t="s">
        <v>161</v>
      </c>
      <c r="D16" s="9"/>
      <c r="E16" s="9" t="s">
        <v>158</v>
      </c>
      <c r="G16" s="19"/>
    </row>
    <row r="17" spans="1:7" x14ac:dyDescent="0.25">
      <c r="A17" s="10" t="s">
        <v>36</v>
      </c>
      <c r="B17" s="11">
        <v>1.98</v>
      </c>
      <c r="C17" s="12">
        <v>231</v>
      </c>
      <c r="D17" s="11"/>
      <c r="E17" s="11">
        <v>458.36</v>
      </c>
      <c r="G17" s="19"/>
    </row>
    <row r="18" spans="1:7" x14ac:dyDescent="0.25">
      <c r="A18" s="10" t="s">
        <v>39</v>
      </c>
      <c r="B18" s="11">
        <v>0</v>
      </c>
      <c r="C18" s="12">
        <v>0</v>
      </c>
      <c r="D18" s="11"/>
      <c r="E18" s="11">
        <v>0</v>
      </c>
      <c r="G18" s="19"/>
    </row>
    <row r="19" spans="1:7" x14ac:dyDescent="0.25">
      <c r="A19" s="10" t="s">
        <v>42</v>
      </c>
      <c r="B19" s="11">
        <v>2.5</v>
      </c>
      <c r="C19" s="12">
        <v>231</v>
      </c>
      <c r="D19" s="11"/>
      <c r="E19" s="11">
        <v>577.5</v>
      </c>
      <c r="G19" s="19"/>
    </row>
    <row r="20" spans="1:7" x14ac:dyDescent="0.25">
      <c r="A20" s="9"/>
      <c r="B20" s="9"/>
      <c r="C20" s="9"/>
      <c r="D20" s="9"/>
      <c r="E20" s="9"/>
      <c r="G20" s="19"/>
    </row>
    <row r="21" spans="1:7" x14ac:dyDescent="0.25">
      <c r="A21" s="9"/>
      <c r="B21" s="9" t="s">
        <v>158</v>
      </c>
      <c r="C21" s="9" t="s">
        <v>162</v>
      </c>
      <c r="D21" s="9"/>
      <c r="E21" s="9" t="s">
        <v>163</v>
      </c>
      <c r="G21" s="19"/>
    </row>
    <row r="22" spans="1:7" x14ac:dyDescent="0.25">
      <c r="A22" s="10" t="s">
        <v>51</v>
      </c>
      <c r="B22" s="11">
        <v>5099.3</v>
      </c>
      <c r="C22" s="12">
        <v>1478.8</v>
      </c>
      <c r="D22" s="11"/>
      <c r="E22" s="11">
        <v>6578.1</v>
      </c>
      <c r="G22" s="19"/>
    </row>
    <row r="23" spans="1:7" x14ac:dyDescent="0.25">
      <c r="A23" s="10" t="s">
        <v>53</v>
      </c>
      <c r="B23" s="11">
        <v>345.63</v>
      </c>
      <c r="C23" s="12">
        <v>100.23</v>
      </c>
      <c r="D23" s="11"/>
      <c r="E23" s="11">
        <v>445.86</v>
      </c>
      <c r="G23" s="19"/>
    </row>
    <row r="24" spans="1:7" x14ac:dyDescent="0.25">
      <c r="A24" s="10" t="s">
        <v>17</v>
      </c>
      <c r="B24" s="11">
        <v>498.49</v>
      </c>
      <c r="C24" s="12">
        <v>144.56</v>
      </c>
      <c r="D24" s="11"/>
      <c r="E24" s="11">
        <v>643.04999999999995</v>
      </c>
      <c r="G24" s="19"/>
    </row>
    <row r="25" spans="1:7" x14ac:dyDescent="0.25">
      <c r="A25" s="10" t="s">
        <v>57</v>
      </c>
      <c r="B25" s="11">
        <v>20.09</v>
      </c>
      <c r="C25" s="12">
        <v>5.83</v>
      </c>
      <c r="D25" s="11"/>
      <c r="E25" s="11">
        <v>25.92</v>
      </c>
      <c r="G25" s="19"/>
    </row>
    <row r="26" spans="1:7" x14ac:dyDescent="0.25">
      <c r="A26" s="10" t="s">
        <v>18</v>
      </c>
      <c r="B26" s="11">
        <v>12489.32</v>
      </c>
      <c r="C26" s="12">
        <v>3621.9</v>
      </c>
      <c r="D26" s="11"/>
      <c r="E26" s="11">
        <v>16111.23</v>
      </c>
      <c r="G26" s="19"/>
    </row>
    <row r="27" spans="1:7" x14ac:dyDescent="0.25">
      <c r="A27" s="10" t="s">
        <v>64</v>
      </c>
      <c r="B27" s="11">
        <v>0</v>
      </c>
      <c r="C27" s="12">
        <v>0</v>
      </c>
      <c r="D27" s="11"/>
      <c r="E27" s="11">
        <v>0</v>
      </c>
      <c r="G27" s="19"/>
    </row>
    <row r="28" spans="1:7" x14ac:dyDescent="0.25">
      <c r="A28" s="10" t="s">
        <v>66</v>
      </c>
      <c r="B28" s="11">
        <v>1581.67</v>
      </c>
      <c r="C28" s="12">
        <v>458.68</v>
      </c>
      <c r="D28" s="11"/>
      <c r="E28" s="11">
        <v>2040.35</v>
      </c>
      <c r="G28" s="19"/>
    </row>
    <row r="29" spans="1:7" x14ac:dyDescent="0.25">
      <c r="A29" s="10" t="s">
        <v>36</v>
      </c>
      <c r="B29" s="11">
        <v>458.36</v>
      </c>
      <c r="C29" s="12">
        <v>132.93</v>
      </c>
      <c r="D29" s="11"/>
      <c r="E29" s="11">
        <v>591.29</v>
      </c>
      <c r="G29" s="19"/>
    </row>
    <row r="30" spans="1:7" x14ac:dyDescent="0.25">
      <c r="A30" s="10" t="s">
        <v>39</v>
      </c>
      <c r="B30" s="11">
        <v>0</v>
      </c>
      <c r="C30" s="12">
        <v>0</v>
      </c>
      <c r="D30" s="11"/>
      <c r="E30" s="11">
        <v>0</v>
      </c>
      <c r="G30" s="19"/>
    </row>
    <row r="31" spans="1:7" x14ac:dyDescent="0.25">
      <c r="A31" s="10" t="s">
        <v>42</v>
      </c>
      <c r="B31" s="11">
        <v>577.5</v>
      </c>
      <c r="C31" s="12">
        <v>167.48</v>
      </c>
      <c r="D31" s="11"/>
      <c r="E31" s="11">
        <v>744.98</v>
      </c>
      <c r="G31" s="19"/>
    </row>
    <row r="32" spans="1:7" x14ac:dyDescent="0.25">
      <c r="A32" s="10" t="s">
        <v>75</v>
      </c>
      <c r="B32" s="11">
        <v>1700</v>
      </c>
      <c r="C32" s="12">
        <v>493</v>
      </c>
      <c r="D32" s="11"/>
      <c r="E32" s="11">
        <v>2193</v>
      </c>
      <c r="G32" s="19"/>
    </row>
    <row r="33" spans="1:7" ht="13.8" thickBot="1" x14ac:dyDescent="0.3">
      <c r="G33" s="19"/>
    </row>
    <row r="34" spans="1:7" ht="13.8" thickBot="1" x14ac:dyDescent="0.3">
      <c r="A34" s="42" t="s">
        <v>8</v>
      </c>
      <c r="B34" s="43"/>
      <c r="C34" s="44">
        <f>Litteralista!H3</f>
        <v>11.8</v>
      </c>
      <c r="E34" s="282"/>
      <c r="F34" s="282"/>
      <c r="G34" s="19"/>
    </row>
    <row r="35" spans="1:7" ht="13.8" thickBot="1" x14ac:dyDescent="0.3">
      <c r="A35" s="42" t="s">
        <v>9</v>
      </c>
      <c r="B35" s="43"/>
      <c r="C35" s="45">
        <f>ROUND(SUM(E22:E32)/SUM(B22:B32),3)</f>
        <v>1.29</v>
      </c>
      <c r="D35" s="46"/>
      <c r="F35" s="35"/>
      <c r="G35" s="36"/>
    </row>
    <row r="36" spans="1:7" ht="13.8" thickBot="1" x14ac:dyDescent="0.3">
      <c r="A36" s="47" t="s">
        <v>3</v>
      </c>
      <c r="B36" s="43"/>
      <c r="C36" s="45">
        <f>SUM(Litteralista!C7:C11)</f>
        <v>2</v>
      </c>
      <c r="D36" s="46"/>
      <c r="F36" s="37"/>
      <c r="G36" s="38"/>
    </row>
    <row r="37" spans="1:7" ht="13.8" thickBot="1" x14ac:dyDescent="0.3">
      <c r="A37" s="48" t="s">
        <v>4</v>
      </c>
      <c r="B37" s="49"/>
      <c r="C37" s="50">
        <f>(B22+B23+B24+B25+B26+B27+B28+B29+B30+B31+B32)/C34</f>
        <v>1929.6915254237288</v>
      </c>
      <c r="D37" s="51">
        <f>ROUND(C37/C36,2)</f>
        <v>964.85</v>
      </c>
      <c r="E37" s="39"/>
      <c r="F37" s="39"/>
      <c r="G37" s="40"/>
    </row>
    <row r="38" spans="1:7" ht="13.8" thickBot="1" x14ac:dyDescent="0.3">
      <c r="A38" s="52" t="s">
        <v>10</v>
      </c>
      <c r="B38" s="53">
        <v>0.27</v>
      </c>
      <c r="C38" s="50">
        <f>ROUND(C37*(1+B38),2)</f>
        <v>2450.71</v>
      </c>
      <c r="D38" s="51">
        <f>ROUND(C38/C36,2)</f>
        <v>1225.3599999999999</v>
      </c>
      <c r="E38" s="39"/>
      <c r="F38" s="39"/>
      <c r="G38" s="40"/>
    </row>
    <row r="39" spans="1:7" ht="13.8" thickBot="1" x14ac:dyDescent="0.3">
      <c r="E39" s="54"/>
      <c r="G39" s="40"/>
    </row>
    <row r="40" spans="1:7" ht="13.8" thickBot="1" x14ac:dyDescent="0.3">
      <c r="A40" s="52" t="s">
        <v>11</v>
      </c>
      <c r="B40" s="53">
        <v>0.02</v>
      </c>
      <c r="C40" s="50">
        <f>ROUND(C37*B40,2)</f>
        <v>38.590000000000003</v>
      </c>
      <c r="D40" s="55"/>
      <c r="E40" s="39"/>
      <c r="F40" s="37"/>
      <c r="G40" s="40"/>
    </row>
    <row r="41" spans="1:7" ht="13.8" thickBot="1" x14ac:dyDescent="0.3">
      <c r="A41" s="56" t="s">
        <v>12</v>
      </c>
      <c r="B41" s="57">
        <v>0.125</v>
      </c>
      <c r="C41" s="58">
        <f>ROUND((C38+C40)*B41,2)</f>
        <v>311.16000000000003</v>
      </c>
      <c r="D41" s="55"/>
      <c r="E41" s="39"/>
      <c r="F41" s="37"/>
      <c r="G41" s="40"/>
    </row>
    <row r="42" spans="1:7" ht="13.8" thickBot="1" x14ac:dyDescent="0.3">
      <c r="A42" s="283" t="s">
        <v>13</v>
      </c>
      <c r="B42" s="284"/>
      <c r="C42" s="50">
        <f>ROUND(C38+C40+C41,2)</f>
        <v>2800.46</v>
      </c>
      <c r="D42" s="55"/>
      <c r="E42" s="39"/>
      <c r="F42" s="37"/>
      <c r="G42" s="40"/>
    </row>
    <row r="43" spans="1:7" x14ac:dyDescent="0.25">
      <c r="A43" s="59" t="s">
        <v>14</v>
      </c>
      <c r="B43" s="60">
        <f>ROUND((C38-C37)/C38,4)</f>
        <v>0.21260000000000001</v>
      </c>
      <c r="C43" s="14"/>
      <c r="D43" s="14"/>
      <c r="E43" s="14"/>
      <c r="F43" s="41"/>
      <c r="G43" s="19"/>
    </row>
    <row r="44" spans="1:7" x14ac:dyDescent="0.25">
      <c r="A44" s="9"/>
      <c r="B44" s="9" t="s">
        <v>158</v>
      </c>
      <c r="C44" s="9"/>
      <c r="D44" s="9"/>
      <c r="E44" s="9"/>
      <c r="F44" s="35"/>
      <c r="G44" s="36"/>
    </row>
    <row r="45" spans="1:7" x14ac:dyDescent="0.25">
      <c r="A45" s="2" t="s">
        <v>164</v>
      </c>
      <c r="B45" s="11">
        <v>29373.77</v>
      </c>
      <c r="C45" s="9"/>
      <c r="D45" s="9"/>
      <c r="E45" s="9"/>
      <c r="F45" s="37"/>
      <c r="G45" s="38"/>
    </row>
    <row r="46" spans="1:7" x14ac:dyDescent="0.25">
      <c r="F46" s="39"/>
      <c r="G46" s="40"/>
    </row>
    <row r="47" spans="1:7" x14ac:dyDescent="0.25">
      <c r="F47" s="39"/>
      <c r="G47" s="40"/>
    </row>
    <row r="48" spans="1:7" x14ac:dyDescent="0.25">
      <c r="G48" s="40"/>
    </row>
    <row r="49" spans="1:8" ht="14.4" x14ac:dyDescent="0.3">
      <c r="A49" s="61" t="s">
        <v>15</v>
      </c>
      <c r="B49" s="62">
        <f>ROUND(B22+B32,0)</f>
        <v>6799</v>
      </c>
      <c r="C49" s="285">
        <f>SUM(B49:B53)</f>
        <v>22770</v>
      </c>
      <c r="G49" s="19"/>
    </row>
    <row r="50" spans="1:8" ht="14.4" x14ac:dyDescent="0.3">
      <c r="A50" s="61" t="s">
        <v>16</v>
      </c>
      <c r="B50" s="62">
        <f>ROUND(B28,0)</f>
        <v>1582</v>
      </c>
      <c r="C50" s="285"/>
      <c r="G50" s="19"/>
    </row>
    <row r="51" spans="1:8" ht="14.4" x14ac:dyDescent="0.3">
      <c r="A51" s="61" t="s">
        <v>17</v>
      </c>
      <c r="B51" s="62">
        <f>ROUND(B23+B24+B25+B27,0)</f>
        <v>864</v>
      </c>
      <c r="C51" s="285"/>
      <c r="G51" s="19"/>
    </row>
    <row r="52" spans="1:8" ht="14.4" x14ac:dyDescent="0.3">
      <c r="A52" s="61" t="s">
        <v>18</v>
      </c>
      <c r="B52" s="62">
        <f>ROUND(B26,0)</f>
        <v>12489</v>
      </c>
      <c r="C52" s="285"/>
      <c r="G52" s="19"/>
    </row>
    <row r="53" spans="1:8" ht="14.4" x14ac:dyDescent="0.3">
      <c r="A53" s="61" t="s">
        <v>19</v>
      </c>
      <c r="B53" s="62">
        <f>ROUND(B29+B30+B31,0)</f>
        <v>1036</v>
      </c>
      <c r="C53" s="285"/>
      <c r="G53" s="19"/>
    </row>
    <row r="54" spans="1:8" x14ac:dyDescent="0.25">
      <c r="G54" s="19"/>
    </row>
    <row r="55" spans="1:8" x14ac:dyDescent="0.25">
      <c r="A55" s="63"/>
      <c r="B55" s="63"/>
      <c r="C55" s="63"/>
      <c r="D55" s="63"/>
      <c r="E55" s="63"/>
      <c r="F55" s="63"/>
      <c r="G55" s="63"/>
      <c r="H55" s="63"/>
    </row>
    <row r="56" spans="1:8" x14ac:dyDescent="0.25">
      <c r="A56" s="63"/>
      <c r="B56" s="63"/>
      <c r="C56" s="63"/>
      <c r="D56" s="63"/>
      <c r="E56" s="63"/>
      <c r="F56" s="63"/>
      <c r="G56" s="63"/>
      <c r="H56" s="63"/>
    </row>
    <row r="57" spans="1:8" x14ac:dyDescent="0.25">
      <c r="A57" s="63"/>
      <c r="B57" s="63"/>
      <c r="C57" s="63"/>
      <c r="D57" s="63"/>
      <c r="E57" s="63"/>
      <c r="F57" s="63"/>
      <c r="G57" s="63"/>
      <c r="H57" s="63"/>
    </row>
    <row r="58" spans="1:8" x14ac:dyDescent="0.25">
      <c r="A58" s="63"/>
      <c r="B58" s="63"/>
      <c r="C58" s="63"/>
      <c r="D58" s="63"/>
      <c r="E58" s="63"/>
      <c r="F58" s="63"/>
      <c r="G58" s="63"/>
      <c r="H58" s="63"/>
    </row>
    <row r="59" spans="1:8" x14ac:dyDescent="0.25">
      <c r="A59" s="63"/>
      <c r="B59" s="63"/>
      <c r="C59" s="63"/>
      <c r="D59" s="63"/>
      <c r="E59" s="63"/>
      <c r="F59" s="63"/>
      <c r="G59" s="63"/>
      <c r="H59" s="63"/>
    </row>
    <row r="60" spans="1:8" x14ac:dyDescent="0.25">
      <c r="A60" s="63"/>
      <c r="B60" s="63"/>
      <c r="C60" s="63"/>
      <c r="D60" s="63"/>
      <c r="E60" s="63"/>
      <c r="F60" s="63"/>
      <c r="G60" s="63"/>
      <c r="H60" s="63"/>
    </row>
    <row r="61" spans="1:8" x14ac:dyDescent="0.25">
      <c r="A61" s="63"/>
      <c r="B61" s="63"/>
      <c r="C61" s="63"/>
      <c r="D61" s="63"/>
      <c r="E61" s="63"/>
      <c r="F61" s="63"/>
      <c r="G61" s="63"/>
      <c r="H61" s="63"/>
    </row>
    <row r="62" spans="1:8" x14ac:dyDescent="0.25">
      <c r="A62" s="63"/>
      <c r="B62" s="63"/>
      <c r="C62" s="63"/>
      <c r="D62" s="63"/>
      <c r="E62" s="63"/>
      <c r="F62" s="63"/>
      <c r="G62" s="63"/>
      <c r="H62" s="63"/>
    </row>
    <row r="63" spans="1:8" x14ac:dyDescent="0.25">
      <c r="A63" s="63"/>
      <c r="B63" s="63"/>
      <c r="C63" s="63"/>
      <c r="D63" s="63"/>
      <c r="E63" s="63"/>
      <c r="F63" s="63"/>
      <c r="G63" s="63"/>
      <c r="H63" s="63"/>
    </row>
    <row r="64" spans="1:8" x14ac:dyDescent="0.25">
      <c r="A64" s="63"/>
      <c r="B64" s="63"/>
      <c r="C64" s="63"/>
      <c r="D64" s="63"/>
      <c r="E64" s="63"/>
      <c r="F64" s="63"/>
      <c r="G64" s="63"/>
      <c r="H64" s="63"/>
    </row>
  </sheetData>
  <mergeCells count="5">
    <mergeCell ref="H7:J7"/>
    <mergeCell ref="H9:I9"/>
    <mergeCell ref="E34:F34"/>
    <mergeCell ref="A42:B42"/>
    <mergeCell ref="C49:C53"/>
  </mergeCells>
  <phoneticPr fontId="3" type="noConversion"/>
  <pageMargins left="0.74803149606299213" right="0.74803149606299213" top="0.98425196850393704" bottom="0.98425196850393704" header="0.51181102362204722" footer="0.39370078740157483"/>
  <pageSetup paperSize="9" orientation="portrait" r:id="rId1"/>
  <headerFooter alignWithMargins="0">
    <oddHeader>&amp;L&amp;G&amp;R&amp;18Calculation total&amp;C&amp;18Venta Windows UAB</oddHeader>
    <oddFooter>&amp;L&amp;D &amp;T&amp;C&amp;7The user of the printed information is responsible for the verification of the preparation.
User: ERNESTAS.KALASINSKAS
&amp;10Page &amp;P of &amp;N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R13"/>
  <sheetViews>
    <sheetView zoomScaleNormal="100" workbookViewId="0">
      <selection activeCell="A8" sqref="A8:XFD8"/>
    </sheetView>
  </sheetViews>
  <sheetFormatPr defaultRowHeight="13.2" x14ac:dyDescent="0.25"/>
  <cols>
    <col min="1" max="1" width="16.44140625" customWidth="1"/>
    <col min="2" max="3" width="32.88671875" customWidth="1"/>
    <col min="4" max="4" width="14.109375" customWidth="1"/>
    <col min="5" max="5" width="9.109375" customWidth="1"/>
    <col min="7" max="7" width="10.6640625" customWidth="1"/>
    <col min="8" max="11" width="13.6640625" customWidth="1"/>
    <col min="12" max="12" width="5.6640625" customWidth="1"/>
    <col min="13" max="13" width="10.44140625" bestFit="1" customWidth="1"/>
    <col min="14" max="15" width="14" customWidth="1"/>
    <col min="16" max="16" width="2.109375" customWidth="1"/>
    <col min="17" max="18" width="14" customWidth="1"/>
  </cols>
  <sheetData>
    <row r="2" spans="1:18" x14ac:dyDescent="0.25">
      <c r="A2" s="3" t="s">
        <v>29</v>
      </c>
      <c r="B2" s="4" t="s">
        <v>165</v>
      </c>
      <c r="C2" s="5" t="s">
        <v>154</v>
      </c>
      <c r="D2" s="1" t="s">
        <v>166</v>
      </c>
      <c r="E2" s="7"/>
      <c r="G2" s="286" t="s">
        <v>20</v>
      </c>
      <c r="H2" s="64" t="s">
        <v>21</v>
      </c>
      <c r="I2" s="64" t="s">
        <v>22</v>
      </c>
      <c r="J2" s="64" t="s">
        <v>23</v>
      </c>
      <c r="K2" s="64" t="s">
        <v>24</v>
      </c>
    </row>
    <row r="3" spans="1:18" x14ac:dyDescent="0.25">
      <c r="G3" s="287"/>
      <c r="H3" s="65">
        <v>11.8</v>
      </c>
      <c r="I3" s="65">
        <v>11.5</v>
      </c>
      <c r="J3" s="65">
        <v>0.87</v>
      </c>
      <c r="K3" s="65">
        <v>7.45</v>
      </c>
    </row>
    <row r="4" spans="1:18" ht="20.399999999999999" x14ac:dyDescent="0.35">
      <c r="A4" s="8" t="s">
        <v>167</v>
      </c>
      <c r="B4" s="9"/>
      <c r="C4" s="9"/>
      <c r="D4" s="9"/>
      <c r="E4" s="9"/>
    </row>
    <row r="7" spans="1:18" ht="26.4" x14ac:dyDescent="0.25">
      <c r="A7" s="14" t="s">
        <v>168</v>
      </c>
      <c r="B7" s="14" t="s">
        <v>169</v>
      </c>
      <c r="C7" s="14" t="s">
        <v>170</v>
      </c>
      <c r="D7" s="66" t="s">
        <v>171</v>
      </c>
      <c r="E7" s="66" t="s">
        <v>172</v>
      </c>
      <c r="F7" s="66" t="s">
        <v>173</v>
      </c>
      <c r="G7" s="66" t="s">
        <v>174</v>
      </c>
      <c r="H7" s="66" t="s">
        <v>175</v>
      </c>
      <c r="I7" s="66" t="s">
        <v>176</v>
      </c>
      <c r="J7" s="66" t="s">
        <v>177</v>
      </c>
      <c r="K7" s="66" t="s">
        <v>158</v>
      </c>
      <c r="L7" s="67"/>
      <c r="M7" s="67"/>
      <c r="N7" s="68" t="s">
        <v>25</v>
      </c>
      <c r="O7" s="69" t="s">
        <v>26</v>
      </c>
      <c r="Q7" s="68" t="s">
        <v>27</v>
      </c>
      <c r="R7" s="68" t="s">
        <v>28</v>
      </c>
    </row>
    <row r="8" spans="1:18" x14ac:dyDescent="0.25">
      <c r="A8" s="13" t="s">
        <v>165</v>
      </c>
      <c r="B8" s="13" t="s">
        <v>179</v>
      </c>
      <c r="C8" s="13">
        <v>1</v>
      </c>
      <c r="D8" s="13">
        <v>1135</v>
      </c>
      <c r="E8" s="13">
        <v>2520</v>
      </c>
      <c r="F8" s="15">
        <v>90.26</v>
      </c>
      <c r="G8" s="13">
        <v>15.12</v>
      </c>
      <c r="H8" s="13">
        <v>4826.42</v>
      </c>
      <c r="I8" s="16">
        <v>337.18</v>
      </c>
      <c r="J8" s="13">
        <v>7503.96</v>
      </c>
      <c r="K8" s="13">
        <v>7503.96</v>
      </c>
      <c r="N8" s="70">
        <f>ROUND((J8)/'Project discount'!$D$25/'Project discount'!$D$28,2)</f>
        <v>492.97</v>
      </c>
      <c r="O8" s="70">
        <f>N8*C8</f>
        <v>492.97</v>
      </c>
      <c r="Q8" s="71">
        <f>O8-R8</f>
        <v>464.40000000000003</v>
      </c>
      <c r="R8" s="71">
        <f>ROUND(I8/$H$3,2)</f>
        <v>28.57</v>
      </c>
    </row>
    <row r="9" spans="1:18" x14ac:dyDescent="0.25">
      <c r="A9" s="13" t="s">
        <v>165</v>
      </c>
      <c r="B9" s="13" t="s">
        <v>178</v>
      </c>
      <c r="C9" s="13">
        <v>1</v>
      </c>
      <c r="D9" s="13">
        <v>3300</v>
      </c>
      <c r="E9" s="13">
        <v>2520</v>
      </c>
      <c r="F9" s="15">
        <v>333.77</v>
      </c>
      <c r="G9" s="13">
        <v>24.01</v>
      </c>
      <c r="H9" s="13">
        <v>15208.08</v>
      </c>
      <c r="I9" s="16">
        <v>698.68</v>
      </c>
      <c r="J9" s="13">
        <v>21869.8</v>
      </c>
      <c r="K9" s="13">
        <v>21869.8</v>
      </c>
      <c r="N9" s="70">
        <f>ROUND((J9)/'Project discount'!$D$25/'Project discount'!$D$28,2)</f>
        <v>1436.72</v>
      </c>
      <c r="O9" s="70">
        <f>N9*C9</f>
        <v>1436.72</v>
      </c>
      <c r="Q9" s="71">
        <f>O9-R9</f>
        <v>1377.51</v>
      </c>
      <c r="R9" s="71">
        <f>ROUND(I9/$H$3,2)</f>
        <v>59.21</v>
      </c>
    </row>
    <row r="10" spans="1:18" ht="13.8" thickBot="1" x14ac:dyDescent="0.3">
      <c r="A10" s="13"/>
      <c r="B10" s="17"/>
      <c r="C10" s="16"/>
      <c r="D10" s="13"/>
      <c r="E10" s="13"/>
      <c r="F10" s="13"/>
      <c r="G10" s="13"/>
      <c r="H10" s="13"/>
      <c r="I10" s="13"/>
      <c r="J10" s="13"/>
      <c r="K10" s="18"/>
    </row>
    <row r="11" spans="1:18" ht="13.8" thickBot="1" x14ac:dyDescent="0.3">
      <c r="A11" s="9"/>
      <c r="B11" s="9"/>
      <c r="C11" s="9"/>
      <c r="D11" s="9"/>
      <c r="E11" s="9"/>
      <c r="M11" s="14" t="s">
        <v>26</v>
      </c>
      <c r="O11" s="72">
        <f>SUM(O7:O10)</f>
        <v>1929.69</v>
      </c>
      <c r="Q11" s="72">
        <f>SUM(Q7:Q10)</f>
        <v>1841.91</v>
      </c>
      <c r="R11" s="72">
        <f>SUM(R7:R10)</f>
        <v>87.78</v>
      </c>
    </row>
    <row r="12" spans="1:18" x14ac:dyDescent="0.25">
      <c r="A12" s="9"/>
      <c r="B12" s="9" t="s">
        <v>158</v>
      </c>
      <c r="C12" s="9"/>
      <c r="D12" s="9"/>
      <c r="E12" s="9"/>
    </row>
    <row r="13" spans="1:18" x14ac:dyDescent="0.25">
      <c r="A13" s="2" t="s">
        <v>164</v>
      </c>
      <c r="B13" s="11">
        <v>29373.77</v>
      </c>
      <c r="C13" s="9"/>
      <c r="D13" s="9"/>
      <c r="E13" s="9"/>
    </row>
  </sheetData>
  <mergeCells count="1">
    <mergeCell ref="G2:G3"/>
  </mergeCells>
  <pageMargins left="0.70866141732283472" right="0.70866141732283472" top="0.74803149606299213" bottom="1.0236220472440944" header="0.31496062992125984" footer="0.31496062992125984"/>
  <pageSetup paperSize="9" orientation="landscape" verticalDpi="4" r:id="rId1"/>
  <headerFooter>
    <oddHeader>&amp;L&amp;G&amp;R&amp;18Calculation total&amp;C&amp;18Venta Windows UAB</oddHeader>
    <oddFooter>&amp;L&amp;D &amp;T&amp;C&amp;7The user of the printed information is responsible for the verification of the preparation.
User: ERNESTAS.KALASINSKAS&amp;10
Page &amp;P of &amp;N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C9FAF4-A097-49B9-A30F-0DE293437519}">
  <dimension ref="A1:V49"/>
  <sheetViews>
    <sheetView workbookViewId="0">
      <selection activeCell="E38" sqref="E38"/>
    </sheetView>
  </sheetViews>
  <sheetFormatPr defaultRowHeight="13.2" x14ac:dyDescent="0.25"/>
  <cols>
    <col min="1" max="1" width="28.6640625" customWidth="1"/>
    <col min="2" max="2" width="32.6640625" customWidth="1"/>
    <col min="3" max="3" width="19.33203125" customWidth="1"/>
    <col min="4" max="4" width="15.109375" customWidth="1"/>
    <col min="5" max="6" width="26.6640625" customWidth="1"/>
    <col min="8" max="8" width="3" customWidth="1"/>
    <col min="9" max="9" width="23.5546875" bestFit="1" customWidth="1"/>
    <col min="10" max="10" width="18.6640625" bestFit="1" customWidth="1"/>
    <col min="11" max="11" width="15.33203125" customWidth="1"/>
    <col min="12" max="12" width="22.6640625" bestFit="1" customWidth="1"/>
    <col min="13" max="13" width="13" customWidth="1"/>
    <col min="14" max="14" width="14.109375" customWidth="1"/>
    <col min="16" max="16" width="0" hidden="1" customWidth="1"/>
    <col min="17" max="17" width="29.44140625" hidden="1" customWidth="1"/>
    <col min="18" max="18" width="21.109375" hidden="1" customWidth="1"/>
    <col min="19" max="19" width="23.33203125" hidden="1" customWidth="1"/>
    <col min="20" max="20" width="13.88671875" hidden="1" customWidth="1"/>
    <col min="21" max="21" width="13" hidden="1" customWidth="1"/>
    <col min="22" max="22" width="14.44140625" hidden="1" customWidth="1"/>
    <col min="23" max="23" width="0" hidden="1" customWidth="1"/>
  </cols>
  <sheetData>
    <row r="1" spans="1:18" x14ac:dyDescent="0.25">
      <c r="H1" s="19"/>
    </row>
    <row r="2" spans="1:18" x14ac:dyDescent="0.25">
      <c r="A2" s="6"/>
      <c r="B2" s="6"/>
      <c r="C2" s="6"/>
      <c r="D2" s="6"/>
      <c r="H2" s="19"/>
    </row>
    <row r="3" spans="1:18" x14ac:dyDescent="0.25">
      <c r="A3" s="3" t="s">
        <v>29</v>
      </c>
      <c r="B3" s="4" t="str">
        <f>Kalkyl!B2</f>
        <v>2408Z03932-8_ALU</v>
      </c>
      <c r="C3" s="5" t="s">
        <v>30</v>
      </c>
      <c r="D3" s="1" t="str">
        <f>Kalkyl!D2</f>
        <v>POR243316 – J O Connor</v>
      </c>
      <c r="H3" s="19"/>
    </row>
    <row r="4" spans="1:18" ht="12.75" customHeight="1" x14ac:dyDescent="0.25">
      <c r="H4" s="19"/>
    </row>
    <row r="5" spans="1:18" ht="20.399999999999999" x14ac:dyDescent="0.35">
      <c r="A5" s="73" t="s">
        <v>31</v>
      </c>
      <c r="B5" s="74"/>
      <c r="C5" s="74"/>
      <c r="D5" s="74"/>
      <c r="H5" s="19"/>
      <c r="I5" s="298" t="s">
        <v>0</v>
      </c>
      <c r="J5" s="299"/>
      <c r="K5" s="299"/>
      <c r="L5" s="299"/>
      <c r="M5" s="300"/>
    </row>
    <row r="6" spans="1:18" ht="13.5" customHeight="1" x14ac:dyDescent="0.25">
      <c r="A6" s="74"/>
      <c r="B6" s="74"/>
      <c r="H6" s="19"/>
      <c r="I6" s="75" t="s">
        <v>32</v>
      </c>
      <c r="J6" s="76">
        <v>0</v>
      </c>
      <c r="K6" s="76"/>
      <c r="L6" s="77"/>
      <c r="M6" s="77"/>
    </row>
    <row r="7" spans="1:18" ht="13.8" thickBot="1" x14ac:dyDescent="0.3">
      <c r="A7" s="74" t="s">
        <v>33</v>
      </c>
      <c r="B7" s="74" t="s">
        <v>34</v>
      </c>
      <c r="H7" s="19"/>
      <c r="I7" s="13" t="s">
        <v>35</v>
      </c>
      <c r="J7" s="62">
        <f>27*M7</f>
        <v>0</v>
      </c>
      <c r="K7" s="78"/>
      <c r="L7" s="79" t="s">
        <v>34</v>
      </c>
      <c r="M7" s="80">
        <v>0</v>
      </c>
    </row>
    <row r="8" spans="1:18" ht="13.5" customHeight="1" x14ac:dyDescent="0.25">
      <c r="A8" s="10" t="s">
        <v>36</v>
      </c>
      <c r="B8" s="11">
        <f>Kalkyl!B17</f>
        <v>1.98</v>
      </c>
      <c r="C8" s="81">
        <f>Kalkyl!E17</f>
        <v>458.36</v>
      </c>
      <c r="E8" s="82" t="s">
        <v>37</v>
      </c>
      <c r="F8" s="83">
        <v>0</v>
      </c>
      <c r="H8" s="19"/>
      <c r="I8" s="13" t="s">
        <v>38</v>
      </c>
      <c r="J8" s="62">
        <f>9*M8</f>
        <v>0</v>
      </c>
      <c r="K8" s="84"/>
      <c r="L8" s="85"/>
      <c r="M8" s="80">
        <v>0</v>
      </c>
    </row>
    <row r="9" spans="1:18" ht="13.5" customHeight="1" x14ac:dyDescent="0.25">
      <c r="A9" s="10" t="s">
        <v>39</v>
      </c>
      <c r="B9" s="11">
        <f>Kalkyl!B18</f>
        <v>0</v>
      </c>
      <c r="C9" s="81">
        <f>Kalkyl!E18</f>
        <v>0</v>
      </c>
      <c r="E9" s="86" t="s">
        <v>40</v>
      </c>
      <c r="F9" s="87">
        <v>0</v>
      </c>
      <c r="H9" s="19"/>
      <c r="I9" s="13" t="s">
        <v>41</v>
      </c>
      <c r="J9" s="78">
        <f>0.8*M9</f>
        <v>0</v>
      </c>
      <c r="K9" s="84"/>
      <c r="L9" s="85"/>
      <c r="M9" s="80">
        <v>0</v>
      </c>
    </row>
    <row r="10" spans="1:18" ht="13.8" thickBot="1" x14ac:dyDescent="0.3">
      <c r="A10" s="10" t="s">
        <v>42</v>
      </c>
      <c r="B10" s="11">
        <f>Kalkyl!B19</f>
        <v>2.5</v>
      </c>
      <c r="C10" s="81">
        <f>Kalkyl!E19</f>
        <v>577.5</v>
      </c>
      <c r="E10" s="88" t="s">
        <v>43</v>
      </c>
      <c r="F10" s="89">
        <f>F8+F9</f>
        <v>0</v>
      </c>
      <c r="H10" s="19"/>
      <c r="I10" s="90" t="s">
        <v>44</v>
      </c>
      <c r="J10" s="78">
        <f>4.5*M10</f>
        <v>0</v>
      </c>
      <c r="K10" s="84"/>
      <c r="L10" s="91"/>
      <c r="M10" s="80">
        <v>0</v>
      </c>
    </row>
    <row r="11" spans="1:18" ht="13.8" thickBot="1" x14ac:dyDescent="0.3">
      <c r="A11" s="74"/>
      <c r="B11" s="74"/>
      <c r="E11" s="92" t="s">
        <v>45</v>
      </c>
      <c r="F11" s="93">
        <v>0</v>
      </c>
      <c r="H11" s="19"/>
      <c r="I11" s="301" t="s">
        <v>46</v>
      </c>
      <c r="J11" s="302"/>
      <c r="K11" s="94"/>
      <c r="L11" s="301" t="s">
        <v>47</v>
      </c>
      <c r="M11" s="302"/>
    </row>
    <row r="12" spans="1:18" ht="13.5" customHeight="1" x14ac:dyDescent="0.25">
      <c r="A12" s="74"/>
      <c r="B12" s="74" t="s">
        <v>48</v>
      </c>
      <c r="C12" s="95" t="s">
        <v>49</v>
      </c>
      <c r="E12" s="96" t="s">
        <v>50</v>
      </c>
      <c r="F12" s="97">
        <v>0</v>
      </c>
      <c r="H12" s="19"/>
      <c r="I12" s="98" t="s">
        <v>3</v>
      </c>
      <c r="J12" s="99">
        <f>C29</f>
        <v>2</v>
      </c>
      <c r="K12" s="100"/>
      <c r="L12" s="303"/>
      <c r="M12" s="304"/>
    </row>
    <row r="13" spans="1:18" ht="13.5" customHeight="1" x14ac:dyDescent="0.25">
      <c r="A13" s="10" t="s">
        <v>51</v>
      </c>
      <c r="B13" s="101">
        <f>Kalkyl!B22</f>
        <v>5099.3</v>
      </c>
      <c r="C13" s="102">
        <f>'Project discount'!D13</f>
        <v>5099.3</v>
      </c>
      <c r="E13" s="103" t="s">
        <v>52</v>
      </c>
      <c r="F13" s="87">
        <v>0</v>
      </c>
      <c r="H13" s="19"/>
      <c r="I13" s="104" t="s">
        <v>4</v>
      </c>
      <c r="J13" s="105">
        <f>C30</f>
        <v>22770</v>
      </c>
      <c r="K13" s="106">
        <f>ROUND(J13/J12,2)</f>
        <v>11385</v>
      </c>
      <c r="L13" s="305"/>
      <c r="M13" s="306"/>
    </row>
    <row r="14" spans="1:18" ht="13.5" customHeight="1" x14ac:dyDescent="0.25">
      <c r="A14" s="10" t="s">
        <v>53</v>
      </c>
      <c r="B14" s="101">
        <f>Kalkyl!B23</f>
        <v>345.63</v>
      </c>
      <c r="C14" s="101">
        <f>'Project discount'!D14</f>
        <v>345.63</v>
      </c>
      <c r="E14" s="103" t="s">
        <v>54</v>
      </c>
      <c r="F14" s="87">
        <v>0</v>
      </c>
      <c r="H14" s="19"/>
      <c r="I14" s="98" t="s">
        <v>5</v>
      </c>
      <c r="J14" s="105">
        <f>ROUND((J17-J16)/1.29*1.27,0)</f>
        <v>0</v>
      </c>
      <c r="K14" s="106">
        <f>ROUND(J14/J12,2)</f>
        <v>0</v>
      </c>
      <c r="L14" s="307"/>
      <c r="M14" s="308"/>
    </row>
    <row r="15" spans="1:18" ht="13.5" customHeight="1" x14ac:dyDescent="0.25">
      <c r="A15" s="10" t="s">
        <v>17</v>
      </c>
      <c r="B15" s="101">
        <f>Kalkyl!B24</f>
        <v>498.49</v>
      </c>
      <c r="C15" s="102">
        <f>'Project discount'!D15</f>
        <v>498.49</v>
      </c>
      <c r="E15" s="103" t="s">
        <v>55</v>
      </c>
      <c r="F15" s="87">
        <v>0</v>
      </c>
      <c r="H15" s="19"/>
      <c r="I15" s="98" t="s">
        <v>6</v>
      </c>
      <c r="J15" s="105">
        <f>J17-J16-J14</f>
        <v>0</v>
      </c>
      <c r="K15" s="107"/>
      <c r="L15" s="108" t="s">
        <v>56</v>
      </c>
      <c r="M15" s="109">
        <f>J14+J15</f>
        <v>0</v>
      </c>
    </row>
    <row r="16" spans="1:18" ht="15" thickBot="1" x14ac:dyDescent="0.35">
      <c r="A16" s="10" t="s">
        <v>57</v>
      </c>
      <c r="B16" s="101">
        <f>Kalkyl!B25</f>
        <v>20.09</v>
      </c>
      <c r="C16" s="101">
        <f>'Project discount'!D16</f>
        <v>20.09</v>
      </c>
      <c r="E16" s="88" t="s">
        <v>58</v>
      </c>
      <c r="F16" s="89">
        <f>F12+F13+F14+F15</f>
        <v>0</v>
      </c>
      <c r="H16" s="19"/>
      <c r="I16" s="98" t="s">
        <v>7</v>
      </c>
      <c r="J16" s="105">
        <f>ROUND(J17-J17/1.125,0)</f>
        <v>0</v>
      </c>
      <c r="K16" s="107"/>
      <c r="L16" s="108" t="s">
        <v>59</v>
      </c>
      <c r="M16" s="109">
        <f>J16</f>
        <v>0</v>
      </c>
      <c r="Q16" s="110"/>
      <c r="R16" s="111" t="s">
        <v>60</v>
      </c>
    </row>
    <row r="17" spans="1:22" ht="13.8" thickBot="1" x14ac:dyDescent="0.3">
      <c r="A17" s="10" t="s">
        <v>18</v>
      </c>
      <c r="B17" s="101">
        <f>Kalkyl!B26</f>
        <v>12489.32</v>
      </c>
      <c r="C17" s="102">
        <f>'Project discount'!D17</f>
        <v>12489.32</v>
      </c>
      <c r="E17" s="112" t="s">
        <v>61</v>
      </c>
      <c r="H17" s="19"/>
      <c r="I17" s="113" t="s">
        <v>13</v>
      </c>
      <c r="J17" s="114">
        <f>ROUND((J6-J7-J8-J9-J10)/1.12,0)</f>
        <v>0</v>
      </c>
      <c r="K17" s="115"/>
      <c r="L17" s="116" t="s">
        <v>62</v>
      </c>
      <c r="M17" s="117">
        <f>M15+M16</f>
        <v>0</v>
      </c>
      <c r="Q17" s="110" t="s">
        <v>63</v>
      </c>
      <c r="R17" s="118">
        <v>0</v>
      </c>
    </row>
    <row r="18" spans="1:22" ht="13.8" thickBot="1" x14ac:dyDescent="0.3">
      <c r="A18" s="10" t="s">
        <v>64</v>
      </c>
      <c r="B18" s="101">
        <f>Kalkyl!B27</f>
        <v>0</v>
      </c>
      <c r="C18" s="101">
        <f>'Project discount'!D18</f>
        <v>0</v>
      </c>
      <c r="H18" s="19"/>
      <c r="Q18" s="110" t="s">
        <v>65</v>
      </c>
      <c r="R18" s="118">
        <v>1.4999999999999999E-2</v>
      </c>
    </row>
    <row r="19" spans="1:22" ht="13.5" customHeight="1" x14ac:dyDescent="0.25">
      <c r="A19" s="10" t="s">
        <v>66</v>
      </c>
      <c r="B19" s="101">
        <f>Kalkyl!B28</f>
        <v>1581.67</v>
      </c>
      <c r="C19" s="101">
        <f>'Project discount'!D19</f>
        <v>1581.67</v>
      </c>
      <c r="E19" s="82" t="s">
        <v>67</v>
      </c>
      <c r="F19" s="119">
        <v>0</v>
      </c>
      <c r="H19" s="19"/>
      <c r="Q19" s="110" t="s">
        <v>68</v>
      </c>
      <c r="R19" s="118">
        <v>2.5000000000000001E-2</v>
      </c>
    </row>
    <row r="20" spans="1:22" ht="13.5" customHeight="1" x14ac:dyDescent="0.25">
      <c r="A20" s="10" t="s">
        <v>36</v>
      </c>
      <c r="B20" s="101">
        <f>Kalkyl!B29</f>
        <v>458.36</v>
      </c>
      <c r="C20" s="101">
        <f>'Project discount'!D20</f>
        <v>458.36</v>
      </c>
      <c r="E20" s="86" t="s">
        <v>69</v>
      </c>
      <c r="F20" s="120">
        <v>0</v>
      </c>
      <c r="H20" s="19"/>
      <c r="Q20" s="110" t="s">
        <v>70</v>
      </c>
      <c r="R20" s="118">
        <v>0.04</v>
      </c>
    </row>
    <row r="21" spans="1:22" ht="13.8" thickBot="1" x14ac:dyDescent="0.3">
      <c r="A21" s="10" t="s">
        <v>39</v>
      </c>
      <c r="B21" s="101">
        <f>Kalkyl!B30</f>
        <v>0</v>
      </c>
      <c r="C21" s="101">
        <f>'Project discount'!D21</f>
        <v>0</v>
      </c>
      <c r="E21" s="88" t="s">
        <v>71</v>
      </c>
      <c r="F21" s="121">
        <f>SUM(F19:F20)</f>
        <v>0</v>
      </c>
      <c r="H21" s="19"/>
    </row>
    <row r="22" spans="1:22" ht="15" thickBot="1" x14ac:dyDescent="0.35">
      <c r="A22" s="10" t="s">
        <v>42</v>
      </c>
      <c r="B22" s="101">
        <f>Kalkyl!B31</f>
        <v>577.5</v>
      </c>
      <c r="C22" s="101">
        <f>'Project discount'!D22</f>
        <v>577.5</v>
      </c>
      <c r="E22" s="92" t="s">
        <v>72</v>
      </c>
      <c r="F22" s="122">
        <v>0</v>
      </c>
      <c r="H22" s="19"/>
      <c r="I22" s="123" t="s">
        <v>73</v>
      </c>
      <c r="J22" s="124" t="s">
        <v>74</v>
      </c>
      <c r="Q22" s="294" t="s">
        <v>18</v>
      </c>
      <c r="R22" s="295"/>
      <c r="S22" s="295"/>
      <c r="T22" s="296"/>
    </row>
    <row r="23" spans="1:22" ht="14.4" x14ac:dyDescent="0.3">
      <c r="A23" s="10" t="s">
        <v>75</v>
      </c>
      <c r="B23" s="101">
        <f>Kalkyl!B32</f>
        <v>1700</v>
      </c>
      <c r="C23" s="101">
        <f>'Project discount'!D23</f>
        <v>1700</v>
      </c>
      <c r="E23" s="125" t="s">
        <v>76</v>
      </c>
      <c r="F23" s="126"/>
      <c r="H23" s="19"/>
      <c r="I23" s="127" t="s">
        <v>77</v>
      </c>
      <c r="J23" s="128">
        <v>31</v>
      </c>
      <c r="Q23" s="13"/>
      <c r="R23" s="129" t="s">
        <v>78</v>
      </c>
      <c r="S23" s="129" t="s">
        <v>79</v>
      </c>
      <c r="T23" s="129" t="s">
        <v>80</v>
      </c>
    </row>
    <row r="24" spans="1:22" ht="14.4" x14ac:dyDescent="0.3">
      <c r="E24" s="125" t="s">
        <v>81</v>
      </c>
      <c r="H24" s="19"/>
      <c r="I24" s="127" t="s">
        <v>82</v>
      </c>
      <c r="J24" s="128">
        <v>44</v>
      </c>
      <c r="Q24" s="130" t="s">
        <v>83</v>
      </c>
      <c r="R24" s="131">
        <v>62.32</v>
      </c>
      <c r="S24" s="131">
        <f>R24*(1+B43)</f>
        <v>79.1464</v>
      </c>
      <c r="T24" s="132">
        <f>S24-R24</f>
        <v>16.8264</v>
      </c>
    </row>
    <row r="25" spans="1:22" ht="14.4" x14ac:dyDescent="0.3">
      <c r="E25" s="125" t="s">
        <v>84</v>
      </c>
      <c r="H25" s="19"/>
      <c r="I25" s="127" t="s">
        <v>85</v>
      </c>
      <c r="J25" s="128">
        <v>60</v>
      </c>
      <c r="Q25" s="130" t="s">
        <v>86</v>
      </c>
      <c r="R25" s="131">
        <v>31.64</v>
      </c>
      <c r="S25" s="131">
        <f>R25*(1+B43)</f>
        <v>40.1828</v>
      </c>
      <c r="T25" s="132">
        <f>S25-R25</f>
        <v>8.5427999999999997</v>
      </c>
    </row>
    <row r="26" spans="1:22" ht="14.4" x14ac:dyDescent="0.3">
      <c r="E26" s="125"/>
      <c r="H26" s="19"/>
      <c r="I26" s="127" t="s">
        <v>87</v>
      </c>
      <c r="J26" s="128">
        <v>72</v>
      </c>
      <c r="Q26" s="130" t="s">
        <v>88</v>
      </c>
      <c r="R26" s="131"/>
      <c r="S26" s="131"/>
      <c r="T26" s="132">
        <v>40</v>
      </c>
    </row>
    <row r="27" spans="1:22" ht="13.8" thickBot="1" x14ac:dyDescent="0.3">
      <c r="A27" s="133"/>
      <c r="B27" s="134"/>
      <c r="C27" s="290" t="s">
        <v>89</v>
      </c>
      <c r="D27" s="290"/>
      <c r="E27" s="291" t="s">
        <v>90</v>
      </c>
      <c r="F27" s="290"/>
      <c r="H27" s="19"/>
      <c r="I27" s="127" t="s">
        <v>91</v>
      </c>
      <c r="J27" s="128">
        <v>94</v>
      </c>
    </row>
    <row r="28" spans="1:22" ht="13.8" thickBot="1" x14ac:dyDescent="0.3">
      <c r="A28" s="42" t="s">
        <v>8</v>
      </c>
      <c r="B28" s="43"/>
      <c r="C28" s="44">
        <f>Litteralista!H3</f>
        <v>11.8</v>
      </c>
      <c r="E28" s="19"/>
      <c r="H28" s="19"/>
      <c r="I28" s="135" t="s">
        <v>92</v>
      </c>
      <c r="J28" s="136">
        <v>120</v>
      </c>
      <c r="Q28" s="137" t="s">
        <v>18</v>
      </c>
      <c r="R28" s="137" t="s">
        <v>93</v>
      </c>
      <c r="S28" s="137" t="s">
        <v>94</v>
      </c>
      <c r="T28" s="138" t="s">
        <v>18</v>
      </c>
      <c r="U28" s="138" t="s">
        <v>95</v>
      </c>
      <c r="V28" s="137" t="s">
        <v>96</v>
      </c>
    </row>
    <row r="29" spans="1:22" ht="13.8" thickBot="1" x14ac:dyDescent="0.3">
      <c r="A29" s="47" t="s">
        <v>3</v>
      </c>
      <c r="B29" s="43"/>
      <c r="C29" s="45">
        <f>Kalkyl!C36</f>
        <v>2</v>
      </c>
      <c r="E29" s="19"/>
      <c r="H29" s="19"/>
      <c r="I29" s="135" t="s">
        <v>97</v>
      </c>
      <c r="J29" s="136">
        <v>150</v>
      </c>
      <c r="Q29" s="139" t="s">
        <v>98</v>
      </c>
      <c r="R29" s="140">
        <f>T25*Litteralista!H3</f>
        <v>100.80504000000001</v>
      </c>
      <c r="S29" s="140">
        <f>R29*K34</f>
        <v>0</v>
      </c>
      <c r="T29" s="141">
        <f>L34*(1+B43)*(1-M32)</f>
        <v>0</v>
      </c>
      <c r="U29" s="62">
        <f>T29-L34</f>
        <v>0</v>
      </c>
      <c r="V29" s="62">
        <f>U29-S29</f>
        <v>0</v>
      </c>
    </row>
    <row r="30" spans="1:22" ht="13.8" thickBot="1" x14ac:dyDescent="0.3">
      <c r="A30" s="48" t="s">
        <v>4</v>
      </c>
      <c r="B30" s="49"/>
      <c r="C30" s="142">
        <f>ROUND((SUM(C13:C23)),0)</f>
        <v>22770</v>
      </c>
      <c r="D30" s="143">
        <f>C30/C29</f>
        <v>11385</v>
      </c>
      <c r="E30" s="144"/>
      <c r="H30" s="19"/>
      <c r="I30" s="309"/>
      <c r="J30" s="309"/>
      <c r="K30" s="309"/>
      <c r="L30" s="309"/>
      <c r="M30" s="309"/>
      <c r="N30" s="309"/>
      <c r="Q30" s="139" t="s">
        <v>83</v>
      </c>
      <c r="R30" s="140">
        <f>T24*Litteralista!H3</f>
        <v>198.55152000000001</v>
      </c>
      <c r="S30" s="140">
        <f>R30*K35</f>
        <v>0</v>
      </c>
      <c r="T30" s="62">
        <f>L35*(1+B43)*(1-M32)</f>
        <v>0</v>
      </c>
      <c r="U30" s="62">
        <f>T30-L35</f>
        <v>0</v>
      </c>
      <c r="V30" s="62">
        <f>U30-S30</f>
        <v>0</v>
      </c>
    </row>
    <row r="31" spans="1:22" ht="13.8" thickBot="1" x14ac:dyDescent="0.3">
      <c r="A31" s="52" t="s">
        <v>10</v>
      </c>
      <c r="B31" s="53">
        <v>0.27</v>
      </c>
      <c r="C31" s="142">
        <f>ROUND(C30*(1+B31),0)</f>
        <v>28918</v>
      </c>
      <c r="D31" s="145">
        <f>IF(C32&gt;=0,C31/C29,"")</f>
        <v>14459</v>
      </c>
      <c r="E31" s="146" t="s">
        <v>99</v>
      </c>
      <c r="F31" s="147">
        <f>C43+C44</f>
        <v>29373</v>
      </c>
      <c r="H31" s="19"/>
      <c r="I31" s="310" t="s">
        <v>100</v>
      </c>
      <c r="J31" s="310"/>
      <c r="K31" s="310"/>
      <c r="L31" s="310"/>
      <c r="M31" s="310"/>
      <c r="N31" s="310"/>
      <c r="Q31" s="139" t="s">
        <v>88</v>
      </c>
      <c r="R31" s="140">
        <f>T26*Litteralista!H3</f>
        <v>472</v>
      </c>
      <c r="S31" s="140">
        <f>R31*K36</f>
        <v>0</v>
      </c>
      <c r="T31" s="62">
        <f>L36*(1+B43)*(1-M32)</f>
        <v>0</v>
      </c>
      <c r="U31" s="62">
        <f>T31-L36</f>
        <v>0</v>
      </c>
      <c r="V31" s="62">
        <f>U31-S31</f>
        <v>0</v>
      </c>
    </row>
    <row r="32" spans="1:22" ht="13.8" thickBot="1" x14ac:dyDescent="0.3">
      <c r="A32" s="52" t="s">
        <v>101</v>
      </c>
      <c r="B32" s="148">
        <v>0</v>
      </c>
      <c r="C32" s="142">
        <f>IF(E46=0,ROUND(C31*B32,0),ROUND(C31*B32-E46,0))</f>
        <v>0</v>
      </c>
      <c r="D32" s="149" t="str">
        <f>IF(C32&lt;0,ROUND((C31-C32)/C29,2),"")</f>
        <v/>
      </c>
      <c r="E32" s="150" t="s">
        <v>101</v>
      </c>
      <c r="F32" s="142">
        <f>F34-F31-F33</f>
        <v>0</v>
      </c>
      <c r="H32" s="19"/>
      <c r="I32" s="311" t="s">
        <v>102</v>
      </c>
      <c r="J32" s="312"/>
      <c r="K32" s="312"/>
      <c r="L32" s="313"/>
      <c r="M32" s="151">
        <f>IF(C43&lt;=299999,R17,IF(C43&lt;=499999,R18,IF(C43&lt;=999999,R19,R20)))</f>
        <v>0</v>
      </c>
      <c r="N32" s="152">
        <f>ROUND(C31*M32,0)</f>
        <v>0</v>
      </c>
    </row>
    <row r="33" spans="1:21" ht="13.8" thickBot="1" x14ac:dyDescent="0.3">
      <c r="A33" s="52" t="s">
        <v>11</v>
      </c>
      <c r="B33" s="53">
        <v>0.02</v>
      </c>
      <c r="C33" s="142">
        <f>IF(F21=0,C44,IF(F21*C28&gt;C44,C44,ROUND(F21*C28,0)))</f>
        <v>455</v>
      </c>
      <c r="E33" s="146" t="s">
        <v>103</v>
      </c>
      <c r="F33" s="142">
        <f>C34</f>
        <v>3672</v>
      </c>
      <c r="H33" s="19"/>
      <c r="I33" s="153"/>
      <c r="J33" s="153"/>
      <c r="K33" s="138" t="s">
        <v>104</v>
      </c>
      <c r="L33" s="138" t="s">
        <v>105</v>
      </c>
      <c r="M33" s="151"/>
      <c r="N33" s="151"/>
      <c r="Q33" s="137" t="s">
        <v>106</v>
      </c>
      <c r="R33" s="138" t="s">
        <v>107</v>
      </c>
      <c r="S33" s="138" t="s">
        <v>94</v>
      </c>
      <c r="T33" s="138" t="s">
        <v>95</v>
      </c>
      <c r="U33" s="137" t="s">
        <v>96</v>
      </c>
    </row>
    <row r="34" spans="1:21" ht="13.8" thickBot="1" x14ac:dyDescent="0.3">
      <c r="A34" s="56" t="s">
        <v>12</v>
      </c>
      <c r="B34" s="57">
        <v>0.125</v>
      </c>
      <c r="C34" s="154">
        <f>IF(F22=0,C45,IF(F22*C28&gt;C45,C45,ROUND(F22*C28,0)))</f>
        <v>3672</v>
      </c>
      <c r="E34" s="146" t="s">
        <v>13</v>
      </c>
      <c r="F34" s="142">
        <f>C35</f>
        <v>33045</v>
      </c>
      <c r="H34" s="19"/>
      <c r="I34" s="314" t="s">
        <v>108</v>
      </c>
      <c r="J34" s="153" t="s">
        <v>98</v>
      </c>
      <c r="K34" s="155">
        <f>IF(L34&gt;0,"Kur kvadratai?!",0)</f>
        <v>0</v>
      </c>
      <c r="L34" s="62">
        <v>0</v>
      </c>
      <c r="M34" s="156"/>
      <c r="N34" s="157">
        <f>IF(V29&lt;=0,0,V29)</f>
        <v>0</v>
      </c>
      <c r="Q34" s="140">
        <f>L37*(1+B43)*(1-M32)</f>
        <v>0</v>
      </c>
      <c r="R34" s="158">
        <f>L37*1.1</f>
        <v>0</v>
      </c>
      <c r="S34" s="158">
        <f>R34-L37</f>
        <v>0</v>
      </c>
      <c r="T34" s="158">
        <f>Q34-L37</f>
        <v>0</v>
      </c>
      <c r="U34" s="158">
        <f>T34-S34</f>
        <v>0</v>
      </c>
    </row>
    <row r="35" spans="1:21" ht="13.8" thickBot="1" x14ac:dyDescent="0.3">
      <c r="A35" s="283" t="s">
        <v>13</v>
      </c>
      <c r="B35" s="284"/>
      <c r="C35" s="142">
        <f>ROUND(C31-C32+C33+C34,0)</f>
        <v>33045</v>
      </c>
      <c r="E35" s="19"/>
      <c r="H35" s="19"/>
      <c r="I35" s="315"/>
      <c r="J35" s="153" t="s">
        <v>83</v>
      </c>
      <c r="K35" s="155">
        <f>IF(L35&gt;0,"Kur kvadratai?!",0)</f>
        <v>0</v>
      </c>
      <c r="L35" s="62">
        <v>0</v>
      </c>
      <c r="M35" s="156"/>
      <c r="N35" s="157">
        <f>IF(V30&lt;=0,0,V30)</f>
        <v>0</v>
      </c>
    </row>
    <row r="36" spans="1:21" ht="13.5" customHeight="1" x14ac:dyDescent="0.25">
      <c r="A36" s="59" t="s">
        <v>109</v>
      </c>
      <c r="B36" s="159">
        <f>ROUND((C31-C32)/(C30)-1,4)</f>
        <v>0.27</v>
      </c>
      <c r="E36" s="19"/>
      <c r="H36" s="19"/>
      <c r="I36" s="316"/>
      <c r="J36" s="153" t="s">
        <v>110</v>
      </c>
      <c r="K36" s="155">
        <f>IF(L36&gt;0,"Kur kvadratai?!",0)</f>
        <v>0</v>
      </c>
      <c r="L36" s="62">
        <v>0</v>
      </c>
      <c r="M36" s="156"/>
      <c r="N36" s="157">
        <f>IF(V31&lt;=0,0,V31)</f>
        <v>0</v>
      </c>
    </row>
    <row r="37" spans="1:21" ht="13.5" customHeight="1" x14ac:dyDescent="0.25">
      <c r="E37" s="19"/>
      <c r="H37" s="19"/>
      <c r="I37" s="153" t="s">
        <v>111</v>
      </c>
      <c r="J37" s="13"/>
      <c r="K37" s="13"/>
      <c r="L37" s="62">
        <v>0</v>
      </c>
      <c r="M37" s="13"/>
      <c r="N37" s="157">
        <f>U34</f>
        <v>0</v>
      </c>
    </row>
    <row r="38" spans="1:21" ht="13.5" customHeight="1" x14ac:dyDescent="0.25">
      <c r="A38" s="160" t="s">
        <v>112</v>
      </c>
      <c r="B38" s="161">
        <f>ROUND(C30/C28*(1+B43),0)</f>
        <v>2451</v>
      </c>
      <c r="E38" s="19"/>
      <c r="H38" s="19"/>
      <c r="I38" s="297" t="s">
        <v>13</v>
      </c>
      <c r="J38" s="297"/>
      <c r="K38" s="297"/>
      <c r="L38" s="297"/>
      <c r="M38" s="162">
        <f>N38/C31</f>
        <v>0</v>
      </c>
      <c r="N38" s="152">
        <f>SUM(N32:N37)</f>
        <v>0</v>
      </c>
    </row>
    <row r="39" spans="1:21" ht="13.5" customHeight="1" x14ac:dyDescent="0.25">
      <c r="H39" s="19"/>
    </row>
    <row r="40" spans="1:21" ht="13.5" customHeight="1" x14ac:dyDescent="0.25">
      <c r="H40" s="19"/>
      <c r="Q40" s="163"/>
      <c r="R40" s="164"/>
    </row>
    <row r="41" spans="1:21" ht="13.5" customHeight="1" x14ac:dyDescent="0.25">
      <c r="H41" s="19"/>
      <c r="Q41" s="163"/>
      <c r="R41" s="165"/>
    </row>
    <row r="42" spans="1:21" ht="13.8" hidden="1" thickBot="1" x14ac:dyDescent="0.3">
      <c r="A42" s="288" t="s">
        <v>113</v>
      </c>
      <c r="B42" s="289"/>
      <c r="C42" s="147">
        <f>ROUND(SUM(B13:B23),0)</f>
        <v>22770</v>
      </c>
      <c r="D42" s="292" t="s">
        <v>114</v>
      </c>
      <c r="E42" s="293"/>
      <c r="H42" s="19"/>
      <c r="Q42" s="163"/>
      <c r="R42" s="165"/>
    </row>
    <row r="43" spans="1:21" ht="13.8" hidden="1" thickBot="1" x14ac:dyDescent="0.3">
      <c r="A43" s="166" t="s">
        <v>115</v>
      </c>
      <c r="B43" s="167">
        <v>0.27</v>
      </c>
      <c r="C43" s="147">
        <f>ROUND(SUM(B13:B23)*(1+B43),0)</f>
        <v>28918</v>
      </c>
      <c r="D43" s="147"/>
      <c r="E43" s="147"/>
      <c r="H43" s="19"/>
      <c r="Q43" s="168"/>
      <c r="R43" s="165"/>
    </row>
    <row r="44" spans="1:21" ht="13.8" hidden="1" thickBot="1" x14ac:dyDescent="0.3">
      <c r="A44" s="166" t="s">
        <v>116</v>
      </c>
      <c r="B44" s="53">
        <v>0.02</v>
      </c>
      <c r="C44" s="147">
        <f>ROUND(C42*B44,0)</f>
        <v>455</v>
      </c>
      <c r="D44" s="147">
        <f>(ROUND(F21*C28,2))-C44</f>
        <v>-455</v>
      </c>
      <c r="E44" s="147">
        <f>IF(D44&lt;0,0,D44)</f>
        <v>0</v>
      </c>
      <c r="H44" s="19"/>
      <c r="Q44" s="168"/>
      <c r="R44" s="169"/>
    </row>
    <row r="45" spans="1:21" ht="13.8" hidden="1" thickBot="1" x14ac:dyDescent="0.3">
      <c r="A45" s="166" t="s">
        <v>117</v>
      </c>
      <c r="B45" s="170">
        <v>0.125</v>
      </c>
      <c r="C45" s="147">
        <f>ROUND((C43+C44)*B45,0)</f>
        <v>3672</v>
      </c>
      <c r="D45" s="147">
        <f>(ROUND(F22*C28,2))-C45</f>
        <v>-3672</v>
      </c>
      <c r="E45" s="147">
        <f>IF(D45&lt;0,0,D45)</f>
        <v>0</v>
      </c>
      <c r="H45" s="19"/>
    </row>
    <row r="46" spans="1:21" ht="13.8" hidden="1" thickBot="1" x14ac:dyDescent="0.3">
      <c r="A46" s="288" t="s">
        <v>13</v>
      </c>
      <c r="B46" s="289"/>
      <c r="C46" s="147">
        <f>SUM(C43:C45)</f>
        <v>33045</v>
      </c>
      <c r="E46" s="147">
        <f>SUM(E44:E45)</f>
        <v>0</v>
      </c>
      <c r="H46" s="19"/>
    </row>
    <row r="47" spans="1:21" ht="13.5" customHeight="1" x14ac:dyDescent="0.25">
      <c r="H47" s="19"/>
    </row>
    <row r="48" spans="1:21" ht="13.5" customHeight="1" x14ac:dyDescent="0.25">
      <c r="H48" s="19"/>
    </row>
    <row r="49" spans="8:8" x14ac:dyDescent="0.25">
      <c r="H49" s="19"/>
    </row>
  </sheetData>
  <mergeCells count="16">
    <mergeCell ref="Q22:T22"/>
    <mergeCell ref="I38:L38"/>
    <mergeCell ref="I5:M5"/>
    <mergeCell ref="I11:J11"/>
    <mergeCell ref="L11:M11"/>
    <mergeCell ref="L12:M14"/>
    <mergeCell ref="I30:N30"/>
    <mergeCell ref="I31:N31"/>
    <mergeCell ref="I32:L32"/>
    <mergeCell ref="I34:I36"/>
    <mergeCell ref="A46:B46"/>
    <mergeCell ref="A35:B35"/>
    <mergeCell ref="C27:D27"/>
    <mergeCell ref="E27:F27"/>
    <mergeCell ref="A42:B42"/>
    <mergeCell ref="D42:E42"/>
  </mergeCells>
  <conditionalFormatting sqref="C32">
    <cfRule type="cellIs" dxfId="7" priority="5" operator="lessThan">
      <formula>0</formula>
    </cfRule>
  </conditionalFormatting>
  <conditionalFormatting sqref="D31">
    <cfRule type="expression" dxfId="6" priority="3">
      <formula>$D$31</formula>
    </cfRule>
  </conditionalFormatting>
  <conditionalFormatting sqref="D32">
    <cfRule type="expression" dxfId="5" priority="4">
      <formula>$D$32</formula>
    </cfRule>
  </conditionalFormatting>
  <conditionalFormatting sqref="F32">
    <cfRule type="cellIs" dxfId="4" priority="2" operator="greaterThan">
      <formula>0</formula>
    </cfRule>
  </conditionalFormatting>
  <conditionalFormatting sqref="K34:K36">
    <cfRule type="cellIs" dxfId="3" priority="1" operator="equal">
      <formula>"Kur kvadratai?!"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685FD-8ECB-46E3-BB5E-E2FCC8E686D9}">
  <dimension ref="A1:N49"/>
  <sheetViews>
    <sheetView workbookViewId="0">
      <selection sqref="A1:XFD1048576"/>
    </sheetView>
  </sheetViews>
  <sheetFormatPr defaultRowHeight="13.2" x14ac:dyDescent="0.25"/>
  <cols>
    <col min="1" max="1" width="28.6640625" customWidth="1"/>
    <col min="2" max="2" width="32.6640625" customWidth="1"/>
    <col min="3" max="3" width="19.33203125" customWidth="1"/>
    <col min="4" max="4" width="15.109375" customWidth="1"/>
    <col min="5" max="6" width="26.6640625" customWidth="1"/>
    <col min="9" max="9" width="28.6640625" customWidth="1"/>
    <col min="10" max="11" width="15.6640625" customWidth="1"/>
    <col min="12" max="12" width="10.6640625" customWidth="1"/>
    <col min="13" max="13" width="15.6640625" customWidth="1"/>
  </cols>
  <sheetData>
    <row r="1" spans="1:14" x14ac:dyDescent="0.25">
      <c r="H1" s="171"/>
      <c r="I1" s="172"/>
      <c r="J1" s="172"/>
      <c r="K1" s="172"/>
      <c r="L1" s="172"/>
      <c r="M1" s="172"/>
    </row>
    <row r="2" spans="1:14" x14ac:dyDescent="0.25">
      <c r="A2" s="6"/>
      <c r="B2" s="6"/>
      <c r="C2" s="6"/>
      <c r="D2" s="6"/>
      <c r="H2" s="171"/>
      <c r="I2" s="172"/>
      <c r="J2" s="172"/>
      <c r="K2" s="172"/>
      <c r="L2" s="172"/>
      <c r="M2" s="172"/>
    </row>
    <row r="3" spans="1:14" x14ac:dyDescent="0.25">
      <c r="A3" s="3" t="s">
        <v>29</v>
      </c>
      <c r="B3" s="4" t="str">
        <f>Kalkyl!B2</f>
        <v>2408Z03932-8_ALU</v>
      </c>
      <c r="C3" s="5" t="s">
        <v>30</v>
      </c>
      <c r="D3" s="1" t="str">
        <f>Kalkyl!D2</f>
        <v>POR243316 – J O Connor</v>
      </c>
      <c r="H3" s="171"/>
      <c r="I3" s="172"/>
      <c r="J3" s="172"/>
      <c r="K3" s="172"/>
      <c r="L3" s="172"/>
      <c r="M3" s="172"/>
    </row>
    <row r="4" spans="1:14" ht="12.75" customHeight="1" x14ac:dyDescent="0.25">
      <c r="H4" s="171"/>
      <c r="I4" s="172"/>
      <c r="J4" s="172"/>
      <c r="K4" s="172"/>
      <c r="L4" s="172"/>
      <c r="M4" s="172"/>
    </row>
    <row r="5" spans="1:14" ht="24.6" x14ac:dyDescent="0.4">
      <c r="A5" s="73" t="s">
        <v>31</v>
      </c>
      <c r="B5" s="74"/>
      <c r="C5" s="74"/>
      <c r="D5" s="74"/>
      <c r="G5" s="173"/>
      <c r="H5" s="171"/>
      <c r="I5" s="320" t="s">
        <v>118</v>
      </c>
      <c r="J5" s="320"/>
      <c r="K5" s="320"/>
      <c r="L5" s="320"/>
      <c r="M5" s="320"/>
      <c r="N5" s="173"/>
    </row>
    <row r="6" spans="1:14" ht="13.5" customHeight="1" x14ac:dyDescent="0.25">
      <c r="A6" s="74"/>
      <c r="B6" s="74"/>
      <c r="H6" s="171"/>
      <c r="I6" s="174" t="s">
        <v>119</v>
      </c>
      <c r="J6" s="321">
        <f>C43</f>
        <v>28628</v>
      </c>
      <c r="K6" s="321"/>
      <c r="L6" s="321"/>
      <c r="M6" s="321"/>
    </row>
    <row r="7" spans="1:14" ht="13.8" thickBot="1" x14ac:dyDescent="0.3">
      <c r="A7" s="74" t="s">
        <v>33</v>
      </c>
      <c r="B7" s="74" t="s">
        <v>34</v>
      </c>
      <c r="H7" s="171"/>
      <c r="I7" s="174" t="s">
        <v>120</v>
      </c>
      <c r="J7" s="322">
        <f>C42</f>
        <v>22191</v>
      </c>
      <c r="K7" s="323"/>
      <c r="L7" s="324">
        <f>J7/C29</f>
        <v>11095.5</v>
      </c>
      <c r="M7" s="325"/>
    </row>
    <row r="8" spans="1:14" ht="13.5" customHeight="1" x14ac:dyDescent="0.25">
      <c r="A8" s="10" t="s">
        <v>36</v>
      </c>
      <c r="B8" s="11">
        <f>Kalkyl!B17</f>
        <v>1.98</v>
      </c>
      <c r="C8" s="81">
        <f>Kalkyl!E17</f>
        <v>458.36</v>
      </c>
      <c r="E8" s="82" t="s">
        <v>37</v>
      </c>
      <c r="F8" s="83">
        <v>0</v>
      </c>
      <c r="H8" s="171"/>
      <c r="I8" s="174" t="s">
        <v>121</v>
      </c>
      <c r="J8" s="175">
        <f>ROUND((J11-J10)/1.29*1.27,0)</f>
        <v>20131</v>
      </c>
      <c r="K8" s="176">
        <f>J8/C29</f>
        <v>10065.5</v>
      </c>
      <c r="L8" s="110"/>
      <c r="M8" s="110"/>
    </row>
    <row r="9" spans="1:14" ht="13.5" customHeight="1" x14ac:dyDescent="0.25">
      <c r="A9" s="10" t="s">
        <v>39</v>
      </c>
      <c r="B9" s="11">
        <f>Kalkyl!B18</f>
        <v>0</v>
      </c>
      <c r="C9" s="81">
        <f>Kalkyl!E18</f>
        <v>0</v>
      </c>
      <c r="E9" s="86" t="s">
        <v>40</v>
      </c>
      <c r="F9" s="87">
        <v>0</v>
      </c>
      <c r="H9" s="171"/>
      <c r="I9" s="174" t="s">
        <v>122</v>
      </c>
      <c r="J9" s="175">
        <f>J11-J10-J8</f>
        <v>317</v>
      </c>
      <c r="K9" s="110"/>
      <c r="L9" s="110"/>
      <c r="M9" s="110"/>
    </row>
    <row r="10" spans="1:14" ht="13.8" thickBot="1" x14ac:dyDescent="0.3">
      <c r="A10" s="10" t="s">
        <v>42</v>
      </c>
      <c r="B10" s="11">
        <f>Kalkyl!B19</f>
        <v>2.5</v>
      </c>
      <c r="C10" s="81">
        <f>Kalkyl!E19</f>
        <v>577.5</v>
      </c>
      <c r="E10" s="88" t="s">
        <v>43</v>
      </c>
      <c r="F10" s="89">
        <f>F8+F9</f>
        <v>0</v>
      </c>
      <c r="H10" s="171"/>
      <c r="I10" s="174" t="s">
        <v>123</v>
      </c>
      <c r="J10" s="175">
        <f>ROUND(J11-J11/1.12,0)</f>
        <v>2454</v>
      </c>
      <c r="K10" s="110"/>
      <c r="L10" s="177" t="s">
        <v>124</v>
      </c>
      <c r="M10" s="175">
        <v>0</v>
      </c>
    </row>
    <row r="11" spans="1:14" ht="13.8" thickBot="1" x14ac:dyDescent="0.3">
      <c r="A11" s="74"/>
      <c r="B11" s="74"/>
      <c r="E11" s="92" t="s">
        <v>45</v>
      </c>
      <c r="F11" s="93">
        <v>0</v>
      </c>
      <c r="H11" s="171"/>
      <c r="I11" s="174" t="s">
        <v>125</v>
      </c>
      <c r="J11" s="175">
        <f>ROUND((J6-M10)*0.8+M10,0)</f>
        <v>22902</v>
      </c>
      <c r="K11" s="110"/>
      <c r="L11" s="110"/>
      <c r="M11" s="110"/>
    </row>
    <row r="12" spans="1:14" ht="13.5" customHeight="1" x14ac:dyDescent="0.25">
      <c r="A12" s="74"/>
      <c r="B12" s="74" t="s">
        <v>48</v>
      </c>
      <c r="C12" s="95" t="s">
        <v>49</v>
      </c>
      <c r="E12" s="96" t="s">
        <v>50</v>
      </c>
      <c r="F12" s="97">
        <v>0</v>
      </c>
      <c r="H12" s="171"/>
      <c r="I12" s="172"/>
      <c r="J12" s="172"/>
      <c r="K12" s="172"/>
      <c r="L12" s="172"/>
      <c r="M12" s="172"/>
    </row>
    <row r="13" spans="1:14" ht="13.5" customHeight="1" x14ac:dyDescent="0.25">
      <c r="A13" s="10" t="s">
        <v>51</v>
      </c>
      <c r="B13" s="101">
        <f>Kalkyl!B22</f>
        <v>5099.3</v>
      </c>
      <c r="C13" s="102">
        <f>'Project discount'!D13</f>
        <v>5099.3</v>
      </c>
      <c r="E13" s="103" t="s">
        <v>52</v>
      </c>
      <c r="F13" s="87">
        <v>0</v>
      </c>
      <c r="H13" s="171"/>
      <c r="I13" s="172"/>
      <c r="J13" s="172"/>
      <c r="K13" s="172"/>
      <c r="L13" s="172"/>
      <c r="M13" s="172"/>
    </row>
    <row r="14" spans="1:14" ht="13.5" customHeight="1" x14ac:dyDescent="0.25">
      <c r="A14" s="10" t="s">
        <v>53</v>
      </c>
      <c r="B14" s="101">
        <f>Kalkyl!B23</f>
        <v>345.63</v>
      </c>
      <c r="C14" s="101">
        <f>'Project discount'!D14</f>
        <v>345.63</v>
      </c>
      <c r="E14" s="103" t="s">
        <v>54</v>
      </c>
      <c r="F14" s="87">
        <v>0</v>
      </c>
      <c r="H14" s="171"/>
      <c r="I14" s="172"/>
      <c r="J14" s="172"/>
      <c r="K14" s="172"/>
      <c r="L14" s="172"/>
      <c r="M14" s="172"/>
    </row>
    <row r="15" spans="1:14" ht="13.5" customHeight="1" x14ac:dyDescent="0.25">
      <c r="A15" s="10" t="s">
        <v>17</v>
      </c>
      <c r="B15" s="101">
        <f>Kalkyl!B24</f>
        <v>498.49</v>
      </c>
      <c r="C15" s="102">
        <f>'Project discount'!D15</f>
        <v>498.49</v>
      </c>
      <c r="E15" s="103" t="s">
        <v>55</v>
      </c>
      <c r="F15" s="87">
        <v>0</v>
      </c>
      <c r="H15" s="171"/>
      <c r="I15" s="172"/>
      <c r="J15" s="172"/>
      <c r="K15" s="172"/>
      <c r="L15" s="172"/>
      <c r="M15" s="172"/>
    </row>
    <row r="16" spans="1:14" ht="13.8" thickBot="1" x14ac:dyDescent="0.3">
      <c r="A16" s="10" t="s">
        <v>57</v>
      </c>
      <c r="B16" s="101">
        <f>Kalkyl!B25</f>
        <v>20.09</v>
      </c>
      <c r="C16" s="101">
        <f>'Project discount'!D16</f>
        <v>20.09</v>
      </c>
      <c r="E16" s="88" t="s">
        <v>58</v>
      </c>
      <c r="F16" s="89">
        <f>F12+F13+F14+F15</f>
        <v>0</v>
      </c>
      <c r="H16" s="171"/>
      <c r="I16" s="172"/>
      <c r="J16" s="172"/>
      <c r="K16" s="172"/>
      <c r="L16" s="172"/>
      <c r="M16" s="172"/>
    </row>
    <row r="17" spans="1:8" ht="13.5" customHeight="1" x14ac:dyDescent="0.25">
      <c r="A17" s="10" t="s">
        <v>18</v>
      </c>
      <c r="B17" s="101">
        <f>Kalkyl!B26</f>
        <v>12489.32</v>
      </c>
      <c r="C17" s="102">
        <f>'Project discount'!D17</f>
        <v>12489.32</v>
      </c>
      <c r="E17" s="112" t="s">
        <v>61</v>
      </c>
      <c r="H17" s="171"/>
    </row>
    <row r="18" spans="1:8" ht="13.8" thickBot="1" x14ac:dyDescent="0.3">
      <c r="A18" s="10" t="s">
        <v>64</v>
      </c>
      <c r="B18" s="101">
        <f>Kalkyl!B27</f>
        <v>0</v>
      </c>
      <c r="C18" s="101">
        <f>'Project discount'!D18</f>
        <v>0</v>
      </c>
      <c r="H18" s="171"/>
    </row>
    <row r="19" spans="1:8" ht="13.5" customHeight="1" x14ac:dyDescent="0.25">
      <c r="A19" s="10" t="s">
        <v>66</v>
      </c>
      <c r="B19" s="101">
        <f>Kalkyl!B28</f>
        <v>1581.67</v>
      </c>
      <c r="C19" s="101">
        <f>'Project discount'!D19</f>
        <v>1581.67</v>
      </c>
      <c r="E19" s="82" t="s">
        <v>67</v>
      </c>
      <c r="F19" s="119">
        <v>0</v>
      </c>
      <c r="H19" s="171"/>
    </row>
    <row r="20" spans="1:8" ht="13.5" customHeight="1" x14ac:dyDescent="0.25">
      <c r="A20" s="10" t="s">
        <v>36</v>
      </c>
      <c r="B20" s="101">
        <f>Kalkyl!B29</f>
        <v>458.36</v>
      </c>
      <c r="C20" s="101">
        <f>'Project discount'!D20</f>
        <v>458.36</v>
      </c>
      <c r="E20" s="86" t="s">
        <v>69</v>
      </c>
      <c r="F20" s="120">
        <v>0</v>
      </c>
      <c r="H20" s="171"/>
    </row>
    <row r="21" spans="1:8" ht="13.8" thickBot="1" x14ac:dyDescent="0.3">
      <c r="A21" s="10" t="s">
        <v>39</v>
      </c>
      <c r="B21" s="101">
        <f>Kalkyl!B30</f>
        <v>0</v>
      </c>
      <c r="C21" s="101">
        <f>'Project discount'!D21</f>
        <v>0</v>
      </c>
      <c r="E21" s="88" t="s">
        <v>71</v>
      </c>
      <c r="F21" s="121">
        <f>SUM(F19:F20)</f>
        <v>0</v>
      </c>
      <c r="H21" s="171"/>
    </row>
    <row r="22" spans="1:8" ht="13.8" thickBot="1" x14ac:dyDescent="0.3">
      <c r="A22" s="10" t="s">
        <v>42</v>
      </c>
      <c r="B22" s="101">
        <f>Kalkyl!B31</f>
        <v>577.5</v>
      </c>
      <c r="C22" s="101">
        <f>'Project discount'!D22</f>
        <v>577.5</v>
      </c>
      <c r="E22" s="92" t="s">
        <v>72</v>
      </c>
      <c r="F22" s="122">
        <v>0</v>
      </c>
      <c r="H22" s="171"/>
    </row>
    <row r="23" spans="1:8" ht="13.5" customHeight="1" x14ac:dyDescent="0.25">
      <c r="A23" s="10" t="s">
        <v>75</v>
      </c>
      <c r="B23" s="101">
        <f>Kalkyl!B32</f>
        <v>1700</v>
      </c>
      <c r="C23" s="101">
        <f>'Project discount'!D23</f>
        <v>1700</v>
      </c>
      <c r="E23" s="125" t="s">
        <v>126</v>
      </c>
      <c r="F23" s="126"/>
      <c r="H23" s="171"/>
    </row>
    <row r="24" spans="1:8" ht="13.5" customHeight="1" x14ac:dyDescent="0.25">
      <c r="E24" s="125"/>
      <c r="H24" s="171"/>
    </row>
    <row r="25" spans="1:8" ht="13.5" customHeight="1" x14ac:dyDescent="0.25">
      <c r="E25" s="125"/>
      <c r="H25" s="171"/>
    </row>
    <row r="26" spans="1:8" ht="13.5" customHeight="1" x14ac:dyDescent="0.25">
      <c r="E26" s="125"/>
      <c r="H26" s="171"/>
    </row>
    <row r="27" spans="1:8" ht="13.8" thickBot="1" x14ac:dyDescent="0.3">
      <c r="A27" s="133"/>
      <c r="B27" s="134"/>
      <c r="C27" s="290" t="s">
        <v>89</v>
      </c>
      <c r="D27" s="290"/>
      <c r="E27" s="291" t="s">
        <v>90</v>
      </c>
      <c r="F27" s="290"/>
      <c r="H27" s="171"/>
    </row>
    <row r="28" spans="1:8" ht="13.8" thickBot="1" x14ac:dyDescent="0.3">
      <c r="A28" s="42" t="s">
        <v>8</v>
      </c>
      <c r="B28" s="43"/>
      <c r="C28" s="44">
        <f>Litteralista!I3</f>
        <v>11.5</v>
      </c>
      <c r="E28" s="19"/>
      <c r="H28" s="171"/>
    </row>
    <row r="29" spans="1:8" ht="13.8" thickBot="1" x14ac:dyDescent="0.3">
      <c r="A29" s="47" t="s">
        <v>3</v>
      </c>
      <c r="B29" s="43"/>
      <c r="C29" s="45">
        <f>Kalkyl!C36</f>
        <v>2</v>
      </c>
      <c r="E29" s="19"/>
      <c r="H29" s="171"/>
    </row>
    <row r="30" spans="1:8" ht="13.8" thickBot="1" x14ac:dyDescent="0.3">
      <c r="A30" s="48" t="s">
        <v>4</v>
      </c>
      <c r="B30" s="49"/>
      <c r="C30" s="178">
        <f>ROUND((SUM(C13:C23)/Litteralista!H3*Litteralista!I3),0)</f>
        <v>22191</v>
      </c>
      <c r="D30" s="179">
        <f>C30/C29</f>
        <v>11095.5</v>
      </c>
      <c r="E30" s="144"/>
      <c r="H30" s="171"/>
    </row>
    <row r="31" spans="1:8" ht="13.8" thickBot="1" x14ac:dyDescent="0.3">
      <c r="A31" s="52" t="s">
        <v>10</v>
      </c>
      <c r="B31" s="53">
        <v>0.27</v>
      </c>
      <c r="C31" s="178">
        <f>ROUND(C30*(1+B31),0)</f>
        <v>28183</v>
      </c>
      <c r="D31" s="179">
        <f>C31/C29</f>
        <v>14091.5</v>
      </c>
      <c r="E31" s="146" t="s">
        <v>99</v>
      </c>
      <c r="F31" s="178">
        <f>ROUND(Kalkyl!B45*'Project discount'!D27,0)</f>
        <v>28628</v>
      </c>
      <c r="H31" s="171"/>
    </row>
    <row r="32" spans="1:8" ht="13.8" thickBot="1" x14ac:dyDescent="0.3">
      <c r="A32" s="52" t="s">
        <v>101</v>
      </c>
      <c r="B32" s="148">
        <v>0</v>
      </c>
      <c r="C32" s="178">
        <f>ROUND(C31*B32,0)</f>
        <v>0</v>
      </c>
      <c r="D32" s="180"/>
      <c r="E32" s="150" t="s">
        <v>101</v>
      </c>
      <c r="F32" s="178">
        <f>ROUND(F31-(C35/0.85),0)</f>
        <v>0</v>
      </c>
      <c r="H32" s="171"/>
    </row>
    <row r="33" spans="1:8" ht="13.8" thickBot="1" x14ac:dyDescent="0.3">
      <c r="A33" s="52" t="s">
        <v>11</v>
      </c>
      <c r="B33" s="170">
        <f>C33/C30</f>
        <v>2.0008111396512099E-2</v>
      </c>
      <c r="C33" s="178">
        <f>IF(F21=0,C46,ROUND(F21*C28,0))</f>
        <v>444</v>
      </c>
      <c r="D33" s="181"/>
      <c r="E33" s="146" t="s">
        <v>13</v>
      </c>
      <c r="F33" s="178">
        <f>F31-F32</f>
        <v>28628</v>
      </c>
      <c r="H33" s="171"/>
    </row>
    <row r="34" spans="1:8" ht="13.8" thickBot="1" x14ac:dyDescent="0.3">
      <c r="A34" s="56" t="s">
        <v>12</v>
      </c>
      <c r="B34" s="57">
        <f>C34/(C31+C33)</f>
        <v>-0.14996332133999371</v>
      </c>
      <c r="C34" s="182">
        <f>IF(F22=0,C47,ROUND(F22*C28,0))</f>
        <v>-4293</v>
      </c>
      <c r="D34" s="181"/>
      <c r="E34" s="183"/>
      <c r="H34" s="171"/>
    </row>
    <row r="35" spans="1:8" ht="13.8" thickBot="1" x14ac:dyDescent="0.3">
      <c r="A35" s="283" t="s">
        <v>13</v>
      </c>
      <c r="B35" s="284"/>
      <c r="C35" s="178">
        <f>ROUND(C31-C32+C33+C34,0)</f>
        <v>24334</v>
      </c>
      <c r="D35" s="181"/>
      <c r="E35" s="19"/>
      <c r="H35" s="171"/>
    </row>
    <row r="36" spans="1:8" ht="13.5" customHeight="1" x14ac:dyDescent="0.25">
      <c r="A36" s="59" t="s">
        <v>109</v>
      </c>
      <c r="B36" s="159">
        <f>ROUND((C31-C32)/(C30)-1,4)</f>
        <v>0.27</v>
      </c>
      <c r="E36" s="19"/>
      <c r="H36" s="171"/>
    </row>
    <row r="37" spans="1:8" ht="13.5" customHeight="1" x14ac:dyDescent="0.25">
      <c r="E37" s="19"/>
      <c r="H37" s="171"/>
    </row>
    <row r="38" spans="1:8" ht="13.5" customHeight="1" x14ac:dyDescent="0.25">
      <c r="A38" s="160" t="s">
        <v>112</v>
      </c>
      <c r="B38" s="161">
        <f>ROUND(C30/C28*(1+B45),0)</f>
        <v>2451</v>
      </c>
      <c r="E38" s="19"/>
      <c r="H38" s="171"/>
    </row>
    <row r="39" spans="1:8" ht="13.5" customHeight="1" x14ac:dyDescent="0.25">
      <c r="H39" s="171"/>
    </row>
    <row r="40" spans="1:8" ht="13.5" customHeight="1" x14ac:dyDescent="0.25">
      <c r="H40" s="171"/>
    </row>
    <row r="41" spans="1:8" ht="13.5" customHeight="1" x14ac:dyDescent="0.25">
      <c r="H41" s="171"/>
    </row>
    <row r="42" spans="1:8" ht="13.5" hidden="1" customHeight="1" x14ac:dyDescent="0.25">
      <c r="A42" s="317" t="s">
        <v>113</v>
      </c>
      <c r="B42" s="317"/>
      <c r="C42" s="184">
        <f>ROUND((SUM(B13:B23)/Litteralista!H3*Litteralista!I3),0)</f>
        <v>22191</v>
      </c>
      <c r="D42" s="185"/>
      <c r="E42" s="185"/>
      <c r="F42" s="185"/>
      <c r="H42" s="171"/>
    </row>
    <row r="43" spans="1:8" hidden="1" x14ac:dyDescent="0.25">
      <c r="A43" s="317" t="s">
        <v>119</v>
      </c>
      <c r="B43" s="317"/>
      <c r="C43" s="186">
        <f>ROUND(Kalkyl!B45*'Project discount'!D27,0)</f>
        <v>28628</v>
      </c>
      <c r="D43" s="187"/>
      <c r="E43" s="187"/>
      <c r="F43" s="187"/>
      <c r="H43" s="171"/>
    </row>
    <row r="44" spans="1:8" hidden="1" x14ac:dyDescent="0.25">
      <c r="A44" s="110"/>
      <c r="B44" s="110"/>
      <c r="C44" s="188" t="s">
        <v>127</v>
      </c>
      <c r="D44" s="189"/>
      <c r="E44" s="189"/>
      <c r="F44" s="189"/>
      <c r="H44" s="171"/>
    </row>
    <row r="45" spans="1:8" hidden="1" x14ac:dyDescent="0.25">
      <c r="A45" s="177" t="s">
        <v>121</v>
      </c>
      <c r="B45" s="190">
        <v>0.27</v>
      </c>
      <c r="C45" s="191">
        <f>ROUND(C42*(1+B45),0)</f>
        <v>28183</v>
      </c>
      <c r="D45" s="192"/>
      <c r="E45" s="172"/>
      <c r="F45" s="172"/>
      <c r="H45" s="171"/>
    </row>
    <row r="46" spans="1:8" hidden="1" x14ac:dyDescent="0.25">
      <c r="A46" s="177" t="s">
        <v>122</v>
      </c>
      <c r="B46" s="190">
        <v>0.02</v>
      </c>
      <c r="C46" s="191">
        <f>ROUND(C42*B46,0)</f>
        <v>444</v>
      </c>
      <c r="D46" s="192"/>
      <c r="E46" s="172"/>
      <c r="F46" s="172"/>
      <c r="H46" s="171"/>
    </row>
    <row r="47" spans="1:8" hidden="1" x14ac:dyDescent="0.25">
      <c r="A47" s="177" t="s">
        <v>123</v>
      </c>
      <c r="B47" s="110"/>
      <c r="C47" s="191">
        <f>(C49-C46)-C45</f>
        <v>-4293</v>
      </c>
      <c r="D47" s="192"/>
      <c r="E47" s="193"/>
      <c r="F47" s="194"/>
      <c r="H47" s="171"/>
    </row>
    <row r="48" spans="1:8" hidden="1" x14ac:dyDescent="0.25">
      <c r="A48" s="110"/>
      <c r="B48" s="110"/>
      <c r="C48" s="110"/>
      <c r="D48" s="172"/>
      <c r="E48" s="172"/>
      <c r="F48" s="172"/>
      <c r="H48" s="171"/>
    </row>
    <row r="49" spans="1:8" hidden="1" x14ac:dyDescent="0.25">
      <c r="A49" s="318" t="s">
        <v>125</v>
      </c>
      <c r="B49" s="319"/>
      <c r="C49" s="191">
        <f>ROUND(C43*0.85,0)</f>
        <v>24334</v>
      </c>
      <c r="D49" s="192"/>
      <c r="E49" s="172"/>
      <c r="F49" s="172"/>
      <c r="H49" s="171"/>
    </row>
  </sheetData>
  <mergeCells count="10">
    <mergeCell ref="A35:B35"/>
    <mergeCell ref="A42:B42"/>
    <mergeCell ref="A43:B43"/>
    <mergeCell ref="A49:B49"/>
    <mergeCell ref="I5:M5"/>
    <mergeCell ref="J6:M6"/>
    <mergeCell ref="J7:K7"/>
    <mergeCell ref="L7:M7"/>
    <mergeCell ref="C27:D27"/>
    <mergeCell ref="E27:F27"/>
  </mergeCells>
  <conditionalFormatting sqref="C32">
    <cfRule type="cellIs" dxfId="2" priority="3" operator="lessThan">
      <formula>0</formula>
    </cfRule>
  </conditionalFormatting>
  <conditionalFormatting sqref="D31">
    <cfRule type="expression" dxfId="1" priority="1">
      <formula>$D$31</formula>
    </cfRule>
  </conditionalFormatting>
  <conditionalFormatting sqref="D32">
    <cfRule type="expression" dxfId="0" priority="2">
      <formula>$D$32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73C91-7199-4CC1-9029-1642A700CE66}">
  <dimension ref="A1:Q53"/>
  <sheetViews>
    <sheetView workbookViewId="0">
      <selection activeCell="E48" sqref="E48"/>
    </sheetView>
  </sheetViews>
  <sheetFormatPr defaultRowHeight="13.2" x14ac:dyDescent="0.25"/>
  <cols>
    <col min="1" max="1" width="28.6640625" customWidth="1"/>
    <col min="2" max="2" width="32.6640625" customWidth="1"/>
    <col min="3" max="3" width="19.33203125" customWidth="1"/>
    <col min="4" max="4" width="14.6640625" customWidth="1"/>
    <col min="5" max="6" width="26.6640625" customWidth="1"/>
    <col min="8" max="8" width="3" customWidth="1"/>
    <col min="10" max="10" width="9.109375" hidden="1" customWidth="1"/>
    <col min="11" max="11" width="11" bestFit="1" customWidth="1"/>
    <col min="12" max="12" width="5.33203125" customWidth="1"/>
    <col min="13" max="13" width="14.44140625" customWidth="1"/>
    <col min="14" max="14" width="16" bestFit="1" customWidth="1"/>
    <col min="16" max="16" width="18.5546875" bestFit="1" customWidth="1"/>
    <col min="17" max="17" width="11.33203125" customWidth="1"/>
  </cols>
  <sheetData>
    <row r="1" spans="1:17" ht="13.8" thickBot="1" x14ac:dyDescent="0.3">
      <c r="A1" s="6"/>
      <c r="B1" s="6"/>
      <c r="C1" s="6"/>
      <c r="D1" s="6"/>
    </row>
    <row r="2" spans="1:17" ht="13.8" thickBot="1" x14ac:dyDescent="0.3">
      <c r="A2" s="3" t="s">
        <v>29</v>
      </c>
      <c r="B2" s="4" t="str">
        <f>Kalkyl!B2</f>
        <v>2408Z03932-8_ALU</v>
      </c>
      <c r="C2" s="5" t="s">
        <v>30</v>
      </c>
      <c r="D2" s="1" t="str">
        <f>Kalkyl!D2</f>
        <v>POR243316 – J O Connor</v>
      </c>
      <c r="H2" s="195"/>
      <c r="I2" s="196"/>
      <c r="J2" s="196"/>
      <c r="K2" s="196"/>
      <c r="L2" s="197"/>
      <c r="M2" s="197"/>
      <c r="N2" s="198"/>
    </row>
    <row r="3" spans="1:17" ht="15" thickBot="1" x14ac:dyDescent="0.3">
      <c r="H3" s="199"/>
      <c r="I3" s="329" t="s">
        <v>128</v>
      </c>
      <c r="J3" s="124"/>
      <c r="K3" s="329" t="s">
        <v>74</v>
      </c>
      <c r="M3" s="200" t="s">
        <v>129</v>
      </c>
      <c r="N3" s="201" t="s">
        <v>130</v>
      </c>
    </row>
    <row r="4" spans="1:17" ht="21" thickBot="1" x14ac:dyDescent="0.4">
      <c r="A4" s="73" t="s">
        <v>31</v>
      </c>
      <c r="B4" s="74"/>
      <c r="C4" s="74"/>
      <c r="D4" s="74"/>
      <c r="H4" s="199"/>
      <c r="I4" s="330"/>
      <c r="J4" s="202"/>
      <c r="K4" s="330"/>
      <c r="M4" s="203">
        <v>0.06</v>
      </c>
      <c r="N4" s="203">
        <v>0.4</v>
      </c>
      <c r="P4" s="123" t="s">
        <v>73</v>
      </c>
      <c r="Q4" s="124" t="s">
        <v>74</v>
      </c>
    </row>
    <row r="5" spans="1:17" ht="15" thickBot="1" x14ac:dyDescent="0.3">
      <c r="A5" s="74"/>
      <c r="B5" s="74"/>
      <c r="H5" s="199"/>
      <c r="I5" s="204">
        <v>0.4</v>
      </c>
      <c r="J5" s="205">
        <v>156</v>
      </c>
      <c r="K5" s="206">
        <f>ROUND(J5*Litteralista!$K$3,0)</f>
        <v>1162</v>
      </c>
      <c r="M5" s="207">
        <f>ROUND(K5*(1+$M$4),0)</f>
        <v>1232</v>
      </c>
      <c r="N5" s="206">
        <f t="shared" ref="N5:N33" si="0">ROUND(M5*(1+$N$4),0)</f>
        <v>1725</v>
      </c>
      <c r="P5" s="127" t="s">
        <v>77</v>
      </c>
      <c r="Q5" s="208">
        <v>231</v>
      </c>
    </row>
    <row r="6" spans="1:17" ht="15" thickBot="1" x14ac:dyDescent="0.3">
      <c r="A6" s="74" t="s">
        <v>33</v>
      </c>
      <c r="B6" s="74" t="s">
        <v>34</v>
      </c>
      <c r="H6" s="199"/>
      <c r="I6" s="204">
        <v>0.8</v>
      </c>
      <c r="J6" s="209">
        <v>218</v>
      </c>
      <c r="K6" s="206">
        <f>ROUND(J6*Litteralista!$K$3,0)</f>
        <v>1624</v>
      </c>
      <c r="M6" s="207">
        <f t="shared" ref="M6:M33" si="1">ROUND(K6*(1+$M$4),0)</f>
        <v>1721</v>
      </c>
      <c r="N6" s="206">
        <f t="shared" si="0"/>
        <v>2409</v>
      </c>
      <c r="P6" s="127" t="s">
        <v>82</v>
      </c>
      <c r="Q6" s="208">
        <v>328</v>
      </c>
    </row>
    <row r="7" spans="1:17" ht="15" thickBot="1" x14ac:dyDescent="0.3">
      <c r="A7" s="10" t="s">
        <v>36</v>
      </c>
      <c r="B7" s="11">
        <f>Kalkyl!B17</f>
        <v>1.98</v>
      </c>
      <c r="C7" s="81">
        <f>Kalkyl!E17</f>
        <v>458.36</v>
      </c>
      <c r="H7" s="199"/>
      <c r="I7" s="204">
        <v>1.2</v>
      </c>
      <c r="J7" s="209">
        <v>252</v>
      </c>
      <c r="K7" s="206">
        <f>ROUND(J7*Litteralista!$K$3,0)</f>
        <v>1877</v>
      </c>
      <c r="M7" s="207">
        <f t="shared" si="1"/>
        <v>1990</v>
      </c>
      <c r="N7" s="206">
        <f t="shared" si="0"/>
        <v>2786</v>
      </c>
      <c r="P7" s="127" t="s">
        <v>85</v>
      </c>
      <c r="Q7" s="208">
        <v>447</v>
      </c>
    </row>
    <row r="8" spans="1:17" ht="15" thickBot="1" x14ac:dyDescent="0.3">
      <c r="A8" s="10" t="s">
        <v>39</v>
      </c>
      <c r="B8" s="11">
        <f>Kalkyl!B18</f>
        <v>0</v>
      </c>
      <c r="C8" s="81">
        <f>Kalkyl!E18</f>
        <v>0</v>
      </c>
      <c r="H8" s="199"/>
      <c r="I8" s="204">
        <v>1.6</v>
      </c>
      <c r="J8" s="209">
        <v>329</v>
      </c>
      <c r="K8" s="206">
        <f>ROUND(J8*Litteralista!$K$3,0)</f>
        <v>2451</v>
      </c>
      <c r="M8" s="207">
        <f t="shared" si="1"/>
        <v>2598</v>
      </c>
      <c r="N8" s="206">
        <f t="shared" si="0"/>
        <v>3637</v>
      </c>
      <c r="P8" s="127" t="s">
        <v>87</v>
      </c>
      <c r="Q8" s="208">
        <v>536</v>
      </c>
    </row>
    <row r="9" spans="1:17" ht="15" thickBot="1" x14ac:dyDescent="0.3">
      <c r="A9" s="10" t="s">
        <v>42</v>
      </c>
      <c r="B9" s="11">
        <f>Kalkyl!B19</f>
        <v>2.5</v>
      </c>
      <c r="C9" s="81">
        <f>Kalkyl!E19</f>
        <v>577.5</v>
      </c>
      <c r="H9" s="199"/>
      <c r="I9" s="204">
        <v>2</v>
      </c>
      <c r="J9" s="209">
        <v>411</v>
      </c>
      <c r="K9" s="206">
        <f>ROUND(J9*Litteralista!$K$3,0)</f>
        <v>3062</v>
      </c>
      <c r="M9" s="207">
        <f t="shared" si="1"/>
        <v>3246</v>
      </c>
      <c r="N9" s="206">
        <f t="shared" si="0"/>
        <v>4544</v>
      </c>
      <c r="P9" s="127" t="s">
        <v>91</v>
      </c>
      <c r="Q9" s="208">
        <v>700</v>
      </c>
    </row>
    <row r="10" spans="1:17" ht="15" thickBot="1" x14ac:dyDescent="0.3">
      <c r="A10" s="74"/>
      <c r="B10" s="74"/>
      <c r="H10" s="199"/>
      <c r="I10" s="204">
        <v>2.4</v>
      </c>
      <c r="J10" s="209">
        <v>466</v>
      </c>
      <c r="K10" s="206">
        <f>ROUND(J10*Litteralista!$K$3,0)</f>
        <v>3472</v>
      </c>
      <c r="M10" s="207">
        <f t="shared" si="1"/>
        <v>3680</v>
      </c>
      <c r="N10" s="206">
        <f t="shared" si="0"/>
        <v>5152</v>
      </c>
      <c r="P10" s="135" t="s">
        <v>92</v>
      </c>
      <c r="Q10" s="210">
        <v>894</v>
      </c>
    </row>
    <row r="11" spans="1:17" ht="15" thickBot="1" x14ac:dyDescent="0.3">
      <c r="A11" s="74"/>
      <c r="B11" s="74" t="s">
        <v>48</v>
      </c>
      <c r="C11" s="95" t="s">
        <v>49</v>
      </c>
      <c r="H11" s="199"/>
      <c r="I11" s="204">
        <v>2.8</v>
      </c>
      <c r="J11" s="209">
        <v>544</v>
      </c>
      <c r="K11" s="206">
        <f>ROUND(J11*Litteralista!$K$3,0)</f>
        <v>4053</v>
      </c>
      <c r="M11" s="207">
        <f t="shared" si="1"/>
        <v>4296</v>
      </c>
      <c r="N11" s="206">
        <f t="shared" si="0"/>
        <v>6014</v>
      </c>
      <c r="P11" s="211" t="s">
        <v>131</v>
      </c>
      <c r="Q11" s="212">
        <v>1120</v>
      </c>
    </row>
    <row r="12" spans="1:17" ht="15" thickBot="1" x14ac:dyDescent="0.3">
      <c r="A12" s="10" t="s">
        <v>51</v>
      </c>
      <c r="B12" s="101">
        <f>Kalkyl!B22</f>
        <v>5099.3</v>
      </c>
      <c r="C12" s="102">
        <f>'Project discount'!D13</f>
        <v>5099.3</v>
      </c>
      <c r="E12" s="82" t="s">
        <v>37</v>
      </c>
      <c r="F12" s="83">
        <v>0</v>
      </c>
      <c r="H12" s="199"/>
      <c r="I12" s="204">
        <v>3.2</v>
      </c>
      <c r="J12" s="209">
        <v>621</v>
      </c>
      <c r="K12" s="206">
        <f>ROUND(J12*Litteralista!$K$3,0)</f>
        <v>4626</v>
      </c>
      <c r="M12" s="207">
        <f t="shared" si="1"/>
        <v>4904</v>
      </c>
      <c r="N12" s="206">
        <f t="shared" si="0"/>
        <v>6866</v>
      </c>
    </row>
    <row r="13" spans="1:17" ht="15" thickBot="1" x14ac:dyDescent="0.3">
      <c r="A13" s="10" t="s">
        <v>53</v>
      </c>
      <c r="B13" s="101">
        <f>Kalkyl!B23</f>
        <v>345.63</v>
      </c>
      <c r="C13" s="101">
        <f>'Project discount'!D14</f>
        <v>345.63</v>
      </c>
      <c r="E13" s="86" t="s">
        <v>40</v>
      </c>
      <c r="F13" s="87">
        <v>0</v>
      </c>
      <c r="H13" s="199"/>
      <c r="I13" s="204">
        <v>3.6</v>
      </c>
      <c r="J13" s="209">
        <v>699</v>
      </c>
      <c r="K13" s="206">
        <f>ROUND(J13*Litteralista!$K$3,0)</f>
        <v>5208</v>
      </c>
      <c r="M13" s="207">
        <f t="shared" si="1"/>
        <v>5520</v>
      </c>
      <c r="N13" s="206">
        <f t="shared" si="0"/>
        <v>7728</v>
      </c>
    </row>
    <row r="14" spans="1:17" ht="15" thickBot="1" x14ac:dyDescent="0.3">
      <c r="A14" s="10" t="s">
        <v>17</v>
      </c>
      <c r="B14" s="101">
        <f>Kalkyl!B24</f>
        <v>498.49</v>
      </c>
      <c r="C14" s="102">
        <f>'Project discount'!D15</f>
        <v>498.49</v>
      </c>
      <c r="E14" s="88" t="s">
        <v>43</v>
      </c>
      <c r="F14" s="89">
        <f>F12+F13</f>
        <v>0</v>
      </c>
      <c r="H14" s="199"/>
      <c r="I14" s="213">
        <v>4</v>
      </c>
      <c r="J14" s="209">
        <v>775</v>
      </c>
      <c r="K14" s="206">
        <f>ROUND(J14*Litteralista!$K$3,0)</f>
        <v>5774</v>
      </c>
      <c r="M14" s="207">
        <f t="shared" si="1"/>
        <v>6120</v>
      </c>
      <c r="N14" s="206">
        <f t="shared" si="0"/>
        <v>8568</v>
      </c>
    </row>
    <row r="15" spans="1:17" ht="15" thickBot="1" x14ac:dyDescent="0.3">
      <c r="A15" s="10" t="s">
        <v>57</v>
      </c>
      <c r="B15" s="101">
        <f>Kalkyl!B25</f>
        <v>20.09</v>
      </c>
      <c r="C15" s="101">
        <f>'Project discount'!D16</f>
        <v>20.09</v>
      </c>
      <c r="E15" s="92" t="s">
        <v>45</v>
      </c>
      <c r="F15" s="93">
        <v>0</v>
      </c>
      <c r="H15" s="199"/>
      <c r="I15" s="214">
        <v>4.4000000000000004</v>
      </c>
      <c r="J15" s="215">
        <v>851</v>
      </c>
      <c r="K15" s="206">
        <f>ROUND(J15*Litteralista!$K$3,0)</f>
        <v>6340</v>
      </c>
      <c r="M15" s="207">
        <f t="shared" si="1"/>
        <v>6720</v>
      </c>
      <c r="N15" s="206">
        <f t="shared" si="0"/>
        <v>9408</v>
      </c>
    </row>
    <row r="16" spans="1:17" ht="15" thickBot="1" x14ac:dyDescent="0.3">
      <c r="A16" s="10" t="s">
        <v>18</v>
      </c>
      <c r="B16" s="101">
        <f>Kalkyl!B26</f>
        <v>12489.32</v>
      </c>
      <c r="C16" s="102">
        <f>'Project discount'!D17</f>
        <v>12489.32</v>
      </c>
      <c r="E16" s="96" t="s">
        <v>50</v>
      </c>
      <c r="F16" s="97">
        <v>0</v>
      </c>
      <c r="H16" s="199"/>
      <c r="I16" s="214">
        <v>4.8</v>
      </c>
      <c r="J16" s="215">
        <v>898</v>
      </c>
      <c r="K16" s="206">
        <f>ROUND(J16*Litteralista!$K$3,0)</f>
        <v>6690</v>
      </c>
      <c r="M16" s="207">
        <f t="shared" si="1"/>
        <v>7091</v>
      </c>
      <c r="N16" s="206">
        <f t="shared" si="0"/>
        <v>9927</v>
      </c>
    </row>
    <row r="17" spans="1:14" ht="15" thickBot="1" x14ac:dyDescent="0.3">
      <c r="A17" s="10" t="s">
        <v>64</v>
      </c>
      <c r="B17" s="101">
        <f>Kalkyl!B27</f>
        <v>0</v>
      </c>
      <c r="C17" s="101">
        <f>'Project discount'!D18</f>
        <v>0</v>
      </c>
      <c r="E17" s="103" t="s">
        <v>52</v>
      </c>
      <c r="F17" s="87">
        <v>0</v>
      </c>
      <c r="H17" s="199"/>
      <c r="I17" s="214">
        <v>5.2</v>
      </c>
      <c r="J17" s="215">
        <v>973</v>
      </c>
      <c r="K17" s="206">
        <f>ROUND(J17*Litteralista!$K$3,0)</f>
        <v>7249</v>
      </c>
      <c r="M17" s="207">
        <f t="shared" si="1"/>
        <v>7684</v>
      </c>
      <c r="N17" s="206">
        <f t="shared" si="0"/>
        <v>10758</v>
      </c>
    </row>
    <row r="18" spans="1:14" ht="15" thickBot="1" x14ac:dyDescent="0.3">
      <c r="A18" s="10" t="s">
        <v>66</v>
      </c>
      <c r="B18" s="101">
        <f>Kalkyl!B28</f>
        <v>1581.67</v>
      </c>
      <c r="C18" s="101">
        <f>'Project discount'!D19</f>
        <v>1581.67</v>
      </c>
      <c r="E18" s="103" t="s">
        <v>54</v>
      </c>
      <c r="F18" s="87">
        <v>0</v>
      </c>
      <c r="H18" s="199"/>
      <c r="I18" s="214">
        <v>5.6</v>
      </c>
      <c r="J18" s="215">
        <v>1047</v>
      </c>
      <c r="K18" s="206">
        <f>ROUND(J18*Litteralista!$K$3,0)</f>
        <v>7800</v>
      </c>
      <c r="M18" s="207">
        <f t="shared" si="1"/>
        <v>8268</v>
      </c>
      <c r="N18" s="206">
        <f t="shared" si="0"/>
        <v>11575</v>
      </c>
    </row>
    <row r="19" spans="1:14" ht="15" thickBot="1" x14ac:dyDescent="0.3">
      <c r="A19" s="10" t="s">
        <v>36</v>
      </c>
      <c r="B19" s="101">
        <f>Kalkyl!B29</f>
        <v>458.36</v>
      </c>
      <c r="C19" s="101">
        <f>'Project discount'!D20</f>
        <v>458.36</v>
      </c>
      <c r="E19" s="103" t="s">
        <v>55</v>
      </c>
      <c r="F19" s="87">
        <v>0</v>
      </c>
      <c r="H19" s="199"/>
      <c r="I19" s="214">
        <v>6</v>
      </c>
      <c r="J19" s="215">
        <v>1122</v>
      </c>
      <c r="K19" s="206">
        <f>ROUND(J19*Litteralista!$K$3,0)</f>
        <v>8359</v>
      </c>
      <c r="M19" s="207">
        <f t="shared" si="1"/>
        <v>8861</v>
      </c>
      <c r="N19" s="206">
        <f t="shared" si="0"/>
        <v>12405</v>
      </c>
    </row>
    <row r="20" spans="1:14" ht="15" thickBot="1" x14ac:dyDescent="0.3">
      <c r="A20" s="10" t="s">
        <v>39</v>
      </c>
      <c r="B20" s="101">
        <f>Kalkyl!B30</f>
        <v>0</v>
      </c>
      <c r="C20" s="101">
        <f>'Project discount'!D21</f>
        <v>0</v>
      </c>
      <c r="E20" s="88" t="s">
        <v>58</v>
      </c>
      <c r="F20" s="89">
        <f>F16+F17+F18+F19</f>
        <v>0</v>
      </c>
      <c r="H20" s="199"/>
      <c r="I20" s="214">
        <v>6.4</v>
      </c>
      <c r="J20" s="215">
        <v>1162</v>
      </c>
      <c r="K20" s="206">
        <f>ROUND(J20*Litteralista!$K$3,0)</f>
        <v>8657</v>
      </c>
      <c r="M20" s="207">
        <f t="shared" si="1"/>
        <v>9176</v>
      </c>
      <c r="N20" s="206">
        <f t="shared" si="0"/>
        <v>12846</v>
      </c>
    </row>
    <row r="21" spans="1:14" ht="15" thickBot="1" x14ac:dyDescent="0.3">
      <c r="A21" s="10" t="s">
        <v>42</v>
      </c>
      <c r="B21" s="101">
        <f>Kalkyl!B31</f>
        <v>577.5</v>
      </c>
      <c r="C21" s="101">
        <f>'Project discount'!D22</f>
        <v>577.5</v>
      </c>
      <c r="E21" s="112" t="s">
        <v>61</v>
      </c>
      <c r="H21" s="199"/>
      <c r="I21" s="214">
        <v>6.8</v>
      </c>
      <c r="J21" s="215">
        <v>1208</v>
      </c>
      <c r="K21" s="206">
        <f>ROUND(J21*Litteralista!$K$3,0)</f>
        <v>9000</v>
      </c>
      <c r="M21" s="207">
        <f t="shared" si="1"/>
        <v>9540</v>
      </c>
      <c r="N21" s="206">
        <f t="shared" si="0"/>
        <v>13356</v>
      </c>
    </row>
    <row r="22" spans="1:14" ht="15" thickBot="1" x14ac:dyDescent="0.3">
      <c r="A22" s="10" t="s">
        <v>75</v>
      </c>
      <c r="B22" s="101">
        <f>Kalkyl!B32</f>
        <v>1700</v>
      </c>
      <c r="C22" s="101">
        <f>'Project discount'!D23</f>
        <v>1700</v>
      </c>
      <c r="E22" s="216"/>
      <c r="F22" s="37"/>
      <c r="H22" s="199"/>
      <c r="I22" s="214">
        <v>7.2</v>
      </c>
      <c r="J22" s="215">
        <v>1255</v>
      </c>
      <c r="K22" s="206">
        <f>ROUND(J22*Litteralista!$K$3,0)</f>
        <v>9350</v>
      </c>
      <c r="M22" s="207">
        <f t="shared" si="1"/>
        <v>9911</v>
      </c>
      <c r="N22" s="206">
        <f t="shared" si="0"/>
        <v>13875</v>
      </c>
    </row>
    <row r="23" spans="1:14" ht="15" thickBot="1" x14ac:dyDescent="0.3">
      <c r="A23" s="133"/>
      <c r="B23" s="134"/>
      <c r="E23" s="37"/>
      <c r="F23" s="217"/>
      <c r="H23" s="199"/>
      <c r="I23" s="214">
        <v>7.6</v>
      </c>
      <c r="J23" s="215">
        <v>1300</v>
      </c>
      <c r="K23" s="206">
        <f>ROUND(J23*Litteralista!$K$3,0)</f>
        <v>9685</v>
      </c>
      <c r="M23" s="207">
        <f t="shared" si="1"/>
        <v>10266</v>
      </c>
      <c r="N23" s="206">
        <f t="shared" si="0"/>
        <v>14372</v>
      </c>
    </row>
    <row r="24" spans="1:14" ht="15" thickBot="1" x14ac:dyDescent="0.3">
      <c r="A24" s="42" t="s">
        <v>8</v>
      </c>
      <c r="B24" s="43"/>
      <c r="C24" s="44">
        <f>Litteralista!K3</f>
        <v>7.45</v>
      </c>
      <c r="E24" s="216"/>
      <c r="F24" s="216"/>
      <c r="H24" s="199"/>
      <c r="I24" s="214">
        <v>8</v>
      </c>
      <c r="J24" s="215">
        <v>1358</v>
      </c>
      <c r="K24" s="206">
        <f>ROUND(J24*Litteralista!$K$3,0)</f>
        <v>10117</v>
      </c>
      <c r="M24" s="207">
        <f t="shared" si="1"/>
        <v>10724</v>
      </c>
      <c r="N24" s="206">
        <f t="shared" si="0"/>
        <v>15014</v>
      </c>
    </row>
    <row r="25" spans="1:14" ht="15" thickBot="1" x14ac:dyDescent="0.3">
      <c r="A25" s="47" t="s">
        <v>3</v>
      </c>
      <c r="B25" s="43"/>
      <c r="C25" s="45">
        <f>Kalkyl!C36</f>
        <v>2</v>
      </c>
      <c r="E25" s="216"/>
      <c r="F25" s="216"/>
      <c r="H25" s="199"/>
      <c r="I25" s="214">
        <v>8.4</v>
      </c>
      <c r="J25" s="215">
        <v>1404</v>
      </c>
      <c r="K25" s="206">
        <f>ROUND(J25*Litteralista!$K$3,0)</f>
        <v>10460</v>
      </c>
      <c r="M25" s="207">
        <f t="shared" si="1"/>
        <v>11088</v>
      </c>
      <c r="N25" s="206">
        <f t="shared" si="0"/>
        <v>15523</v>
      </c>
    </row>
    <row r="26" spans="1:14" ht="15" thickBot="1" x14ac:dyDescent="0.3">
      <c r="A26" s="48" t="s">
        <v>4</v>
      </c>
      <c r="B26" s="49"/>
      <c r="C26" s="218">
        <f>ROUND((SUM(C12:C22))/Litteralista!H3*Litteralista!K3,0)</f>
        <v>14376</v>
      </c>
      <c r="D26" s="219">
        <f>C26/C25</f>
        <v>7188</v>
      </c>
      <c r="E26" s="216"/>
      <c r="F26" s="216"/>
      <c r="H26" s="199"/>
      <c r="I26" s="214">
        <v>8.8000000000000007</v>
      </c>
      <c r="J26" s="215">
        <v>1439</v>
      </c>
      <c r="K26" s="206">
        <f>ROUND(J26*Litteralista!$K$3,0)</f>
        <v>10721</v>
      </c>
      <c r="M26" s="207">
        <f t="shared" si="1"/>
        <v>11364</v>
      </c>
      <c r="N26" s="206">
        <f t="shared" si="0"/>
        <v>15910</v>
      </c>
    </row>
    <row r="27" spans="1:14" ht="15" thickBot="1" x14ac:dyDescent="0.3">
      <c r="A27" s="52" t="s">
        <v>10</v>
      </c>
      <c r="B27" s="53">
        <v>0.27</v>
      </c>
      <c r="C27" s="218">
        <f>ROUND(C26*(1+B27),0)</f>
        <v>18258</v>
      </c>
      <c r="D27" s="219">
        <f>C27/C25</f>
        <v>9129</v>
      </c>
      <c r="E27" s="216"/>
      <c r="F27" s="216"/>
      <c r="H27" s="199"/>
      <c r="I27" s="214">
        <v>9.1999999999999993</v>
      </c>
      <c r="J27" s="215">
        <v>1479</v>
      </c>
      <c r="K27" s="206">
        <f>ROUND(J27*Litteralista!$K$3,0)</f>
        <v>11019</v>
      </c>
      <c r="M27" s="207">
        <f t="shared" si="1"/>
        <v>11680</v>
      </c>
      <c r="N27" s="206">
        <f t="shared" si="0"/>
        <v>16352</v>
      </c>
    </row>
    <row r="28" spans="1:14" ht="15" thickBot="1" x14ac:dyDescent="0.3">
      <c r="A28" s="52" t="s">
        <v>101</v>
      </c>
      <c r="B28" s="170">
        <v>0</v>
      </c>
      <c r="C28" s="218">
        <f>ROUND(C27*B28,0)</f>
        <v>0</v>
      </c>
      <c r="D28" s="220">
        <f>IF(C27-C28-B41&gt;0,"",C27-C28-B41)</f>
        <v>0</v>
      </c>
      <c r="E28" s="216"/>
      <c r="F28" s="216"/>
      <c r="H28" s="199"/>
      <c r="I28" s="214">
        <v>9.6</v>
      </c>
      <c r="J28" s="215">
        <v>1519</v>
      </c>
      <c r="K28" s="206">
        <f>ROUND(J28*Litteralista!$K$3,0)</f>
        <v>11317</v>
      </c>
      <c r="M28" s="207">
        <f t="shared" si="1"/>
        <v>11996</v>
      </c>
      <c r="N28" s="206">
        <f t="shared" si="0"/>
        <v>16794</v>
      </c>
    </row>
    <row r="29" spans="1:14" ht="15" thickBot="1" x14ac:dyDescent="0.3">
      <c r="A29" s="52"/>
      <c r="B29" s="221"/>
      <c r="C29" s="222"/>
      <c r="D29" s="223"/>
      <c r="E29" s="216"/>
      <c r="F29" s="216"/>
      <c r="H29" s="199"/>
      <c r="I29" s="214">
        <v>10</v>
      </c>
      <c r="J29" s="215">
        <v>1562</v>
      </c>
      <c r="K29" s="206">
        <f>ROUND(J29*Litteralista!$K$3,0)</f>
        <v>11637</v>
      </c>
      <c r="M29" s="207">
        <f t="shared" si="1"/>
        <v>12335</v>
      </c>
      <c r="N29" s="206">
        <f t="shared" si="0"/>
        <v>17269</v>
      </c>
    </row>
    <row r="30" spans="1:14" ht="15" thickBot="1" x14ac:dyDescent="0.3">
      <c r="A30" s="283" t="s">
        <v>132</v>
      </c>
      <c r="B30" s="284"/>
      <c r="C30" s="218">
        <v>0</v>
      </c>
      <c r="D30" s="224"/>
      <c r="E30" s="225" t="s">
        <v>133</v>
      </c>
      <c r="F30" s="216"/>
      <c r="H30" s="199"/>
      <c r="I30" s="214">
        <v>10.4</v>
      </c>
      <c r="J30" s="215">
        <v>1612</v>
      </c>
      <c r="K30" s="206">
        <f>ROUND(J30*Litteralista!$K$3,0)</f>
        <v>12009</v>
      </c>
      <c r="M30" s="207">
        <f t="shared" si="1"/>
        <v>12730</v>
      </c>
      <c r="N30" s="206">
        <f t="shared" si="0"/>
        <v>17822</v>
      </c>
    </row>
    <row r="31" spans="1:14" ht="15" thickBot="1" x14ac:dyDescent="0.3">
      <c r="A31" s="56" t="s">
        <v>12</v>
      </c>
      <c r="B31" s="226"/>
      <c r="C31" s="227">
        <v>0</v>
      </c>
      <c r="D31" s="228">
        <v>0.18</v>
      </c>
      <c r="E31" s="229">
        <f>ROUND(C32*(1+D31),0)</f>
        <v>21544</v>
      </c>
      <c r="F31" s="216"/>
      <c r="H31" s="199"/>
      <c r="I31" s="214">
        <v>10.8</v>
      </c>
      <c r="J31" s="215">
        <v>1653</v>
      </c>
      <c r="K31" s="206">
        <f>ROUND(J31*Litteralista!$K$3,0)</f>
        <v>12315</v>
      </c>
      <c r="M31" s="207">
        <f t="shared" si="1"/>
        <v>13054</v>
      </c>
      <c r="N31" s="206">
        <f t="shared" si="0"/>
        <v>18276</v>
      </c>
    </row>
    <row r="32" spans="1:14" ht="15" thickBot="1" x14ac:dyDescent="0.3">
      <c r="A32" s="283" t="s">
        <v>13</v>
      </c>
      <c r="B32" s="284"/>
      <c r="C32" s="218">
        <f>ROUND(C27-C28+C30+C31,0)</f>
        <v>18258</v>
      </c>
      <c r="D32" s="230" t="s">
        <v>134</v>
      </c>
      <c r="E32" s="231">
        <f>E31/((SUM(B12:B22)/Litteralista!H3*Litteralista!K3*(1+B40)))-1</f>
        <v>0.17999035402797947</v>
      </c>
      <c r="F32" s="216"/>
      <c r="H32" s="199"/>
      <c r="I32" s="214">
        <v>11.2</v>
      </c>
      <c r="J32" s="215">
        <v>1692</v>
      </c>
      <c r="K32" s="206">
        <f>ROUND(J32*Litteralista!$K$3,0)</f>
        <v>12605</v>
      </c>
      <c r="M32" s="207">
        <f t="shared" si="1"/>
        <v>13361</v>
      </c>
      <c r="N32" s="206">
        <f t="shared" si="0"/>
        <v>18705</v>
      </c>
    </row>
    <row r="33" spans="1:14" ht="15" thickBot="1" x14ac:dyDescent="0.3">
      <c r="A33" s="59" t="s">
        <v>109</v>
      </c>
      <c r="B33" s="159">
        <f>ROUND((C27-C28)/(C26)-1,4)</f>
        <v>0.27</v>
      </c>
      <c r="D33" s="232"/>
      <c r="E33" s="232"/>
      <c r="F33" s="216"/>
      <c r="H33" s="199"/>
      <c r="I33" s="214">
        <v>13.6</v>
      </c>
      <c r="J33" s="215">
        <v>2050</v>
      </c>
      <c r="K33" s="206">
        <f>ROUND(J33*Litteralista!$K$3,0)</f>
        <v>15273</v>
      </c>
      <c r="M33" s="207">
        <f t="shared" si="1"/>
        <v>16189</v>
      </c>
      <c r="N33" s="206">
        <f t="shared" si="0"/>
        <v>22665</v>
      </c>
    </row>
    <row r="34" spans="1:14" ht="13.8" thickBot="1" x14ac:dyDescent="0.3">
      <c r="F34" s="216"/>
      <c r="H34" s="233"/>
      <c r="I34" s="234"/>
      <c r="J34" s="234"/>
      <c r="K34" s="234"/>
      <c r="L34" s="234"/>
      <c r="M34" s="234"/>
      <c r="N34" s="235"/>
    </row>
    <row r="35" spans="1:14" ht="13.5" customHeight="1" x14ac:dyDescent="0.25">
      <c r="A35" s="160" t="s">
        <v>112</v>
      </c>
      <c r="B35" s="161">
        <f>ROUND(SUM(C12:C22)/Litteralista!H3*(1+DK!B40),0)</f>
        <v>2451</v>
      </c>
      <c r="F35" s="216"/>
    </row>
    <row r="36" spans="1:14" ht="13.5" customHeight="1" x14ac:dyDescent="0.25">
      <c r="F36" s="216"/>
    </row>
    <row r="37" spans="1:14" ht="13.5" customHeight="1" x14ac:dyDescent="0.25">
      <c r="F37" s="216"/>
    </row>
    <row r="38" spans="1:14" ht="13.5" customHeight="1" x14ac:dyDescent="0.25"/>
    <row r="39" spans="1:14" ht="13.5" customHeight="1" x14ac:dyDescent="0.25"/>
    <row r="40" spans="1:14" ht="13.8" hidden="1" thickBot="1" x14ac:dyDescent="0.3">
      <c r="A40" s="236" t="s">
        <v>135</v>
      </c>
      <c r="B40" s="167">
        <v>0.27</v>
      </c>
    </row>
    <row r="41" spans="1:14" ht="13.8" hidden="1" thickBot="1" x14ac:dyDescent="0.3">
      <c r="A41" s="166" t="s">
        <v>136</v>
      </c>
      <c r="B41" s="237">
        <f>ROUND((SUM(B12:B22)/Litteralista!H3*Litteralista!K3)*(1+B40),0)</f>
        <v>18258</v>
      </c>
    </row>
    <row r="42" spans="1:14" ht="13.5" customHeight="1" x14ac:dyDescent="0.25"/>
    <row r="43" spans="1:14" ht="13.5" customHeight="1" x14ac:dyDescent="0.25"/>
    <row r="44" spans="1:14" ht="13.8" thickBot="1" x14ac:dyDescent="0.3"/>
    <row r="45" spans="1:14" x14ac:dyDescent="0.25">
      <c r="B45" s="331" t="s">
        <v>0</v>
      </c>
      <c r="C45" s="332"/>
      <c r="D45" s="333"/>
    </row>
    <row r="46" spans="1:14" x14ac:dyDescent="0.25">
      <c r="B46" s="274" t="s">
        <v>153</v>
      </c>
      <c r="C46" s="277"/>
      <c r="D46" s="275">
        <v>0.85</v>
      </c>
    </row>
    <row r="47" spans="1:14" x14ac:dyDescent="0.25">
      <c r="B47" s="238" t="s">
        <v>1</v>
      </c>
      <c r="C47" s="276">
        <f>ROUND(C46*D46,0)</f>
        <v>0</v>
      </c>
      <c r="D47" s="239"/>
    </row>
    <row r="48" spans="1:14" x14ac:dyDescent="0.25">
      <c r="B48" s="326" t="s">
        <v>2</v>
      </c>
      <c r="C48" s="327"/>
      <c r="D48" s="328"/>
    </row>
    <row r="49" spans="2:4" x14ac:dyDescent="0.25">
      <c r="B49" s="240" t="s">
        <v>3</v>
      </c>
      <c r="C49" s="77">
        <f>C25</f>
        <v>2</v>
      </c>
      <c r="D49" s="239"/>
    </row>
    <row r="50" spans="2:4" x14ac:dyDescent="0.25">
      <c r="B50" s="27" t="s">
        <v>4</v>
      </c>
      <c r="C50" s="241">
        <f>C26</f>
        <v>14376</v>
      </c>
      <c r="D50" s="242">
        <f>D26</f>
        <v>7188</v>
      </c>
    </row>
    <row r="51" spans="2:4" x14ac:dyDescent="0.25">
      <c r="B51" s="24" t="s">
        <v>5</v>
      </c>
      <c r="C51" s="241">
        <f>ROUND((C47-C53)/1.29*1.27,0)</f>
        <v>0</v>
      </c>
      <c r="D51" s="242">
        <f>ROUND(C51/C49,2)</f>
        <v>0</v>
      </c>
    </row>
    <row r="52" spans="2:4" x14ac:dyDescent="0.25">
      <c r="B52" s="24" t="s">
        <v>6</v>
      </c>
      <c r="C52" s="241">
        <f>C47-C51-C53</f>
        <v>0</v>
      </c>
      <c r="D52" s="239"/>
    </row>
    <row r="53" spans="2:4" ht="13.8" thickBot="1" x14ac:dyDescent="0.3">
      <c r="B53" s="32" t="s">
        <v>7</v>
      </c>
      <c r="C53" s="243">
        <f>ROUND(C47-C47/1.08,0)</f>
        <v>0</v>
      </c>
      <c r="D53" s="244"/>
    </row>
  </sheetData>
  <mergeCells count="6">
    <mergeCell ref="B48:D48"/>
    <mergeCell ref="I3:I4"/>
    <mergeCell ref="K3:K4"/>
    <mergeCell ref="A30:B30"/>
    <mergeCell ref="A32:B32"/>
    <mergeCell ref="B45:D45"/>
  </mergeCells>
  <pageMargins left="0.7" right="0.7" top="0.75" bottom="0.75" header="0.3" footer="0.3"/>
  <pageSetup orientation="portrait" horizontalDpi="30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B2BF44-2535-4B83-84B7-02446CF634CB}">
  <dimension ref="A1:R46"/>
  <sheetViews>
    <sheetView workbookViewId="0">
      <selection activeCell="D21" sqref="D21"/>
    </sheetView>
  </sheetViews>
  <sheetFormatPr defaultRowHeight="13.2" x14ac:dyDescent="0.25"/>
  <cols>
    <col min="2" max="2" width="27.109375" customWidth="1"/>
    <col min="3" max="3" width="8.88671875" customWidth="1"/>
    <col min="4" max="4" width="20" customWidth="1"/>
    <col min="5" max="5" width="4.109375" customWidth="1"/>
    <col min="6" max="6" width="30.5546875" customWidth="1"/>
    <col min="7" max="7" width="15.33203125" customWidth="1"/>
    <col min="8" max="8" width="11.109375" hidden="1" customWidth="1"/>
    <col min="9" max="9" width="8.5546875" customWidth="1"/>
    <col min="11" max="11" width="30.5546875" customWidth="1"/>
    <col min="12" max="12" width="13.88671875" customWidth="1"/>
    <col min="13" max="13" width="20" customWidth="1"/>
    <col min="14" max="14" width="4.109375" customWidth="1"/>
    <col min="15" max="15" width="30.5546875" customWidth="1"/>
    <col min="16" max="16" width="13.88671875" customWidth="1"/>
  </cols>
  <sheetData>
    <row r="1" spans="1:18" ht="15.6" x14ac:dyDescent="0.3">
      <c r="A1" s="356" t="s">
        <v>137</v>
      </c>
      <c r="B1" s="356"/>
      <c r="C1" s="356"/>
      <c r="D1" s="356"/>
      <c r="E1" s="356"/>
      <c r="F1" s="356"/>
      <c r="G1" s="356"/>
      <c r="H1" s="356"/>
      <c r="I1" s="357"/>
      <c r="J1" s="356" t="s">
        <v>138</v>
      </c>
      <c r="K1" s="356"/>
      <c r="L1" s="356"/>
      <c r="M1" s="356"/>
      <c r="N1" s="356"/>
      <c r="O1" s="356"/>
      <c r="P1" s="356"/>
      <c r="Q1" s="356"/>
      <c r="R1" s="356"/>
    </row>
    <row r="2" spans="1:18" ht="13.8" thickBot="1" x14ac:dyDescent="0.3">
      <c r="J2" s="19"/>
    </row>
    <row r="3" spans="1:18" ht="13.8" thickBot="1" x14ac:dyDescent="0.3">
      <c r="B3" s="353" t="s">
        <v>139</v>
      </c>
      <c r="C3" s="354"/>
      <c r="D3" s="355"/>
      <c r="F3" s="82" t="s">
        <v>37</v>
      </c>
      <c r="G3" s="83">
        <v>0</v>
      </c>
      <c r="J3" s="19"/>
      <c r="K3" s="82" t="s">
        <v>37</v>
      </c>
      <c r="L3" s="83">
        <v>0</v>
      </c>
    </row>
    <row r="4" spans="1:18" ht="14.4" x14ac:dyDescent="0.25">
      <c r="B4" s="351" t="s">
        <v>4</v>
      </c>
      <c r="C4" s="352"/>
      <c r="D4" s="152">
        <f>Kalkyl!E37</f>
        <v>0</v>
      </c>
      <c r="F4" s="86" t="s">
        <v>40</v>
      </c>
      <c r="G4" s="87">
        <v>0</v>
      </c>
      <c r="J4" s="19"/>
      <c r="K4" s="86" t="s">
        <v>40</v>
      </c>
      <c r="L4" s="87">
        <v>0</v>
      </c>
      <c r="O4" s="123" t="s">
        <v>73</v>
      </c>
      <c r="P4" s="124" t="s">
        <v>74</v>
      </c>
    </row>
    <row r="5" spans="1:18" ht="13.8" thickBot="1" x14ac:dyDescent="0.3">
      <c r="B5" s="353"/>
      <c r="C5" s="354"/>
      <c r="D5" s="355"/>
      <c r="F5" s="88" t="s">
        <v>43</v>
      </c>
      <c r="G5" s="89">
        <f>G3+G4</f>
        <v>0</v>
      </c>
      <c r="J5" s="19"/>
      <c r="K5" s="88" t="s">
        <v>43</v>
      </c>
      <c r="L5" s="89">
        <f>L3+L4</f>
        <v>0</v>
      </c>
      <c r="M5" s="54"/>
      <c r="O5" s="127" t="s">
        <v>77</v>
      </c>
      <c r="P5" s="128">
        <v>31</v>
      </c>
    </row>
    <row r="6" spans="1:18" ht="13.8" thickBot="1" x14ac:dyDescent="0.3">
      <c r="B6" s="351" t="s">
        <v>140</v>
      </c>
      <c r="C6" s="352"/>
      <c r="D6" s="152">
        <f>Kalkyl!E38</f>
        <v>0</v>
      </c>
      <c r="F6" s="92" t="s">
        <v>45</v>
      </c>
      <c r="G6" s="93">
        <v>0</v>
      </c>
      <c r="J6" s="19"/>
      <c r="K6" s="92" t="s">
        <v>45</v>
      </c>
      <c r="L6" s="93">
        <v>0</v>
      </c>
      <c r="M6" s="54"/>
      <c r="O6" s="127" t="s">
        <v>82</v>
      </c>
      <c r="P6" s="128">
        <v>44</v>
      </c>
    </row>
    <row r="7" spans="1:18" x14ac:dyDescent="0.25">
      <c r="B7" s="351" t="s">
        <v>141</v>
      </c>
      <c r="C7" s="352"/>
      <c r="D7" s="152">
        <f>Kalkyl!E40</f>
        <v>0</v>
      </c>
      <c r="F7" s="96" t="s">
        <v>50</v>
      </c>
      <c r="G7" s="97">
        <v>0</v>
      </c>
      <c r="J7" s="19"/>
      <c r="K7" s="96" t="s">
        <v>50</v>
      </c>
      <c r="L7" s="97">
        <v>0</v>
      </c>
      <c r="O7" s="127" t="s">
        <v>85</v>
      </c>
      <c r="P7" s="128">
        <v>60</v>
      </c>
    </row>
    <row r="8" spans="1:18" x14ac:dyDescent="0.25">
      <c r="B8" s="351" t="s">
        <v>142</v>
      </c>
      <c r="C8" s="352"/>
      <c r="D8" s="152">
        <f>Kalkyl!E41</f>
        <v>0</v>
      </c>
      <c r="F8" s="103" t="s">
        <v>52</v>
      </c>
      <c r="G8" s="87">
        <v>0</v>
      </c>
      <c r="J8" s="19"/>
      <c r="K8" s="103" t="s">
        <v>52</v>
      </c>
      <c r="L8" s="87">
        <v>0</v>
      </c>
      <c r="O8" s="127" t="s">
        <v>87</v>
      </c>
      <c r="P8" s="128">
        <v>72</v>
      </c>
    </row>
    <row r="9" spans="1:18" x14ac:dyDescent="0.25">
      <c r="B9" s="351" t="s">
        <v>13</v>
      </c>
      <c r="C9" s="352"/>
      <c r="D9" s="152">
        <f>Kalkyl!E42</f>
        <v>0</v>
      </c>
      <c r="F9" s="103" t="s">
        <v>54</v>
      </c>
      <c r="G9" s="87">
        <v>0</v>
      </c>
      <c r="J9" s="19"/>
      <c r="K9" s="103" t="s">
        <v>54</v>
      </c>
      <c r="L9" s="87">
        <v>0</v>
      </c>
      <c r="O9" s="127" t="s">
        <v>91</v>
      </c>
      <c r="P9" s="128">
        <v>94</v>
      </c>
    </row>
    <row r="10" spans="1:18" ht="13.8" thickBot="1" x14ac:dyDescent="0.3">
      <c r="F10" s="103" t="s">
        <v>55</v>
      </c>
      <c r="G10" s="87">
        <v>0</v>
      </c>
      <c r="J10" s="19"/>
      <c r="K10" s="103" t="s">
        <v>55</v>
      </c>
      <c r="L10" s="87">
        <v>0</v>
      </c>
      <c r="O10" s="135" t="s">
        <v>92</v>
      </c>
      <c r="P10" s="136">
        <v>120</v>
      </c>
    </row>
    <row r="11" spans="1:18" ht="13.8" thickBot="1" x14ac:dyDescent="0.3">
      <c r="F11" s="88" t="s">
        <v>58</v>
      </c>
      <c r="G11" s="89">
        <f>G7+G8+G9+G10</f>
        <v>0</v>
      </c>
      <c r="H11" s="54"/>
      <c r="J11" s="19"/>
      <c r="K11" s="88" t="s">
        <v>58</v>
      </c>
      <c r="L11" s="89">
        <f>L7+L8+L9+L10</f>
        <v>0</v>
      </c>
    </row>
    <row r="12" spans="1:18" x14ac:dyDescent="0.25">
      <c r="B12" s="353" t="s">
        <v>143</v>
      </c>
      <c r="C12" s="354"/>
      <c r="D12" s="355"/>
      <c r="F12" s="112" t="s">
        <v>61</v>
      </c>
      <c r="J12" s="19"/>
      <c r="K12" s="112" t="s">
        <v>61</v>
      </c>
    </row>
    <row r="13" spans="1:18" ht="13.8" thickBot="1" x14ac:dyDescent="0.3">
      <c r="B13" s="347" t="s">
        <v>51</v>
      </c>
      <c r="C13" s="348"/>
      <c r="D13" s="273">
        <f>Kalkyl!B22+G5+L5+DK!F14+NO!F10+SE!F10</f>
        <v>5099.3</v>
      </c>
      <c r="J13" s="19"/>
    </row>
    <row r="14" spans="1:18" x14ac:dyDescent="0.25">
      <c r="B14" s="347" t="s">
        <v>53</v>
      </c>
      <c r="C14" s="348"/>
      <c r="D14" s="158">
        <f>Kalkyl!B23</f>
        <v>345.63</v>
      </c>
      <c r="F14" s="82" t="s">
        <v>67</v>
      </c>
      <c r="G14" s="119">
        <v>0</v>
      </c>
      <c r="J14" s="19"/>
      <c r="K14" s="82" t="s">
        <v>67</v>
      </c>
      <c r="L14" s="245">
        <v>0</v>
      </c>
    </row>
    <row r="15" spans="1:18" ht="13.8" thickBot="1" x14ac:dyDescent="0.3">
      <c r="B15" s="347" t="s">
        <v>17</v>
      </c>
      <c r="C15" s="348"/>
      <c r="D15" s="273">
        <f>Kalkyl!B24+G11+L11+DK!F20+NO!F16+SE!F16</f>
        <v>498.49</v>
      </c>
      <c r="F15" s="86" t="s">
        <v>69</v>
      </c>
      <c r="G15" s="120">
        <v>0</v>
      </c>
      <c r="J15" s="19"/>
      <c r="K15" s="86" t="s">
        <v>69</v>
      </c>
      <c r="L15" s="246">
        <v>0</v>
      </c>
    </row>
    <row r="16" spans="1:18" ht="13.8" thickBot="1" x14ac:dyDescent="0.3">
      <c r="B16" s="347" t="s">
        <v>57</v>
      </c>
      <c r="C16" s="348"/>
      <c r="D16" s="158">
        <f>Kalkyl!B25</f>
        <v>20.09</v>
      </c>
      <c r="F16" s="88" t="s">
        <v>71</v>
      </c>
      <c r="G16" s="121">
        <f>G14+G15</f>
        <v>0</v>
      </c>
      <c r="H16" s="247">
        <f>(ROUND(G16*D25,2))-D7</f>
        <v>0</v>
      </c>
      <c r="J16" s="19"/>
      <c r="K16" s="88" t="s">
        <v>71</v>
      </c>
      <c r="L16" s="248">
        <f>SUM(L14:L15)</f>
        <v>0</v>
      </c>
    </row>
    <row r="17" spans="2:16" ht="13.8" thickBot="1" x14ac:dyDescent="0.3">
      <c r="B17" s="347" t="s">
        <v>18</v>
      </c>
      <c r="C17" s="348"/>
      <c r="D17" s="273">
        <f>Kalkyl!B26+G6+L6+DK!F15+NO!F11+SE!F11</f>
        <v>12489.32</v>
      </c>
      <c r="F17" s="82" t="s">
        <v>144</v>
      </c>
      <c r="G17" s="249" t="s">
        <v>145</v>
      </c>
      <c r="H17" s="250">
        <f>IF(H16&lt;0,0,H16)</f>
        <v>0</v>
      </c>
      <c r="J17" s="19"/>
      <c r="K17" s="82" t="s">
        <v>144</v>
      </c>
      <c r="L17" s="249" t="s">
        <v>145</v>
      </c>
    </row>
    <row r="18" spans="2:16" ht="13.8" thickBot="1" x14ac:dyDescent="0.3">
      <c r="B18" s="347" t="s">
        <v>64</v>
      </c>
      <c r="C18" s="348"/>
      <c r="D18" s="158">
        <f>Kalkyl!B27</f>
        <v>0</v>
      </c>
      <c r="F18" s="86" t="s">
        <v>146</v>
      </c>
      <c r="G18" s="251" t="s">
        <v>145</v>
      </c>
      <c r="H18" s="41"/>
      <c r="J18" s="19"/>
      <c r="K18" s="86" t="s">
        <v>146</v>
      </c>
      <c r="L18" s="251" t="s">
        <v>145</v>
      </c>
      <c r="N18" s="54"/>
    </row>
    <row r="19" spans="2:16" ht="13.8" thickBot="1" x14ac:dyDescent="0.3">
      <c r="B19" s="347" t="s">
        <v>66</v>
      </c>
      <c r="C19" s="348"/>
      <c r="D19" s="158">
        <f>Kalkyl!B28</f>
        <v>1581.67</v>
      </c>
      <c r="F19" s="88" t="s">
        <v>72</v>
      </c>
      <c r="G19" s="121">
        <v>0</v>
      </c>
      <c r="H19" s="247">
        <f>(ROUND(G19*D25,2))-D8</f>
        <v>0</v>
      </c>
      <c r="J19" s="19"/>
      <c r="K19" s="88" t="s">
        <v>72</v>
      </c>
      <c r="L19" s="248">
        <v>0</v>
      </c>
    </row>
    <row r="20" spans="2:16" ht="13.8" thickBot="1" x14ac:dyDescent="0.3">
      <c r="B20" s="347" t="s">
        <v>36</v>
      </c>
      <c r="C20" s="348"/>
      <c r="D20" s="158">
        <f>Kalkyl!B29</f>
        <v>458.36</v>
      </c>
      <c r="F20" s="125" t="s">
        <v>76</v>
      </c>
      <c r="H20" s="250">
        <f>IF(H19&lt;0,0,H19)</f>
        <v>0</v>
      </c>
      <c r="J20" s="19"/>
      <c r="K20" s="125" t="s">
        <v>147</v>
      </c>
    </row>
    <row r="21" spans="2:16" x14ac:dyDescent="0.25">
      <c r="B21" s="347" t="s">
        <v>39</v>
      </c>
      <c r="C21" s="348"/>
      <c r="D21" s="158">
        <f>Kalkyl!B30</f>
        <v>0</v>
      </c>
      <c r="F21" s="125" t="s">
        <v>81</v>
      </c>
      <c r="J21" s="19"/>
    </row>
    <row r="22" spans="2:16" x14ac:dyDescent="0.25">
      <c r="B22" s="347" t="s">
        <v>42</v>
      </c>
      <c r="C22" s="348"/>
      <c r="D22" s="158">
        <f>Kalkyl!B31</f>
        <v>577.5</v>
      </c>
      <c r="F22" s="125" t="s">
        <v>84</v>
      </c>
      <c r="G22" s="252"/>
      <c r="J22" s="19"/>
    </row>
    <row r="23" spans="2:16" x14ac:dyDescent="0.25">
      <c r="B23" s="347" t="s">
        <v>75</v>
      </c>
      <c r="C23" s="348"/>
      <c r="D23" s="158">
        <f>Kalkyl!B32</f>
        <v>1700</v>
      </c>
      <c r="G23" s="54"/>
      <c r="J23" s="19"/>
    </row>
    <row r="24" spans="2:16" hidden="1" x14ac:dyDescent="0.25">
      <c r="J24" s="19"/>
    </row>
    <row r="25" spans="2:16" hidden="1" x14ac:dyDescent="0.25">
      <c r="B25" s="349" t="s">
        <v>148</v>
      </c>
      <c r="C25" s="349"/>
      <c r="D25" s="253">
        <f>Litteralista!H3</f>
        <v>11.8</v>
      </c>
      <c r="J25" s="19"/>
    </row>
    <row r="26" spans="2:16" hidden="1" x14ac:dyDescent="0.25">
      <c r="B26" s="349" t="s">
        <v>149</v>
      </c>
      <c r="C26" s="349"/>
      <c r="D26" s="253">
        <f>Litteralista!I3</f>
        <v>11.5</v>
      </c>
      <c r="J26" s="19"/>
    </row>
    <row r="27" spans="2:16" hidden="1" x14ac:dyDescent="0.25">
      <c r="B27" s="349" t="s">
        <v>150</v>
      </c>
      <c r="C27" s="349"/>
      <c r="D27" s="254">
        <f>ROUND(D26/D25,4)</f>
        <v>0.97460000000000002</v>
      </c>
      <c r="J27" s="19"/>
    </row>
    <row r="28" spans="2:16" hidden="1" x14ac:dyDescent="0.25">
      <c r="B28" s="349" t="s">
        <v>9</v>
      </c>
      <c r="C28" s="349"/>
      <c r="D28" s="255">
        <f>SUM(Kalkyl!E22:E32)/SUM(D13:D23)</f>
        <v>1.2900006851011578</v>
      </c>
      <c r="J28" s="19"/>
    </row>
    <row r="29" spans="2:16" x14ac:dyDescent="0.25">
      <c r="J29" s="19"/>
    </row>
    <row r="30" spans="2:16" x14ac:dyDescent="0.25">
      <c r="B30" s="350" t="s">
        <v>4</v>
      </c>
      <c r="C30" s="350"/>
      <c r="D30" s="152">
        <f>SUM(D13:D23)</f>
        <v>22770.36</v>
      </c>
      <c r="J30" s="19"/>
      <c r="K30" s="350" t="s">
        <v>4</v>
      </c>
      <c r="L30" s="350"/>
      <c r="M30" s="256">
        <f>ROUND(SUM(D13:D23)*D27,0)</f>
        <v>22192</v>
      </c>
    </row>
    <row r="31" spans="2:16" x14ac:dyDescent="0.25">
      <c r="B31" s="257" t="s">
        <v>5</v>
      </c>
      <c r="C31" s="258">
        <v>0.27</v>
      </c>
      <c r="D31" s="259">
        <f>ROUND((D30*(1+C31))*(1-G31),0)</f>
        <v>28918</v>
      </c>
      <c r="F31" s="14"/>
      <c r="G31" s="260"/>
      <c r="J31" s="19"/>
      <c r="K31" s="257" t="s">
        <v>5</v>
      </c>
      <c r="L31" s="258">
        <v>0.27</v>
      </c>
      <c r="M31" s="261">
        <f>ROUND((M30*(1+L31))*(1-P31),0)</f>
        <v>28184</v>
      </c>
      <c r="O31" s="262" t="s">
        <v>101</v>
      </c>
      <c r="P31" s="263">
        <v>0</v>
      </c>
    </row>
    <row r="32" spans="2:16" x14ac:dyDescent="0.25">
      <c r="B32" s="346" t="s">
        <v>11</v>
      </c>
      <c r="C32" s="346"/>
      <c r="D32" s="264">
        <f>IF(G16=0,ROUND(D7*(1-G31),0),ROUND(G16*D25,0))</f>
        <v>0</v>
      </c>
      <c r="F32" s="265"/>
      <c r="G32" s="265"/>
      <c r="J32" s="19"/>
      <c r="K32" s="346" t="s">
        <v>11</v>
      </c>
      <c r="L32" s="346"/>
      <c r="M32" s="256">
        <f>ROUND(L16*D26,0)</f>
        <v>0</v>
      </c>
    </row>
    <row r="33" spans="2:16" x14ac:dyDescent="0.25">
      <c r="B33" s="346" t="s">
        <v>7</v>
      </c>
      <c r="C33" s="346"/>
      <c r="D33" s="152">
        <f>IF(G19=0,D8,ROUND(G19*D25,0))</f>
        <v>0</v>
      </c>
      <c r="F33" s="265"/>
      <c r="G33" s="266"/>
      <c r="J33" s="19"/>
      <c r="K33" s="346" t="s">
        <v>7</v>
      </c>
      <c r="L33" s="346"/>
      <c r="M33" s="256">
        <f>ROUND(L19*D26,0)</f>
        <v>0</v>
      </c>
    </row>
    <row r="34" spans="2:16" x14ac:dyDescent="0.25">
      <c r="B34" s="267" t="s">
        <v>13</v>
      </c>
      <c r="C34" s="13"/>
      <c r="D34" s="152">
        <f>SUM(D31:D33)</f>
        <v>28918</v>
      </c>
      <c r="F34" s="265"/>
      <c r="G34" s="266"/>
      <c r="J34" s="19"/>
      <c r="K34" s="267" t="s">
        <v>13</v>
      </c>
      <c r="L34" s="13"/>
      <c r="M34" s="256">
        <f>SUM(M31:M33)</f>
        <v>28184</v>
      </c>
    </row>
    <row r="35" spans="2:16" x14ac:dyDescent="0.25">
      <c r="D35" s="54"/>
      <c r="J35" s="19"/>
    </row>
    <row r="36" spans="2:16" x14ac:dyDescent="0.25">
      <c r="B36" s="344" t="s">
        <v>89</v>
      </c>
      <c r="C36" s="344"/>
      <c r="D36" s="344"/>
      <c r="F36" s="345" t="s">
        <v>90</v>
      </c>
      <c r="G36" s="345"/>
      <c r="J36" s="19"/>
      <c r="K36" s="344" t="s">
        <v>89</v>
      </c>
      <c r="L36" s="344"/>
      <c r="M36" s="344"/>
      <c r="O36" s="345" t="s">
        <v>90</v>
      </c>
      <c r="P36" s="345"/>
    </row>
    <row r="37" spans="2:16" x14ac:dyDescent="0.25">
      <c r="B37" s="340" t="s">
        <v>4</v>
      </c>
      <c r="C37" s="340"/>
      <c r="D37" s="268">
        <f>D30</f>
        <v>22770.36</v>
      </c>
      <c r="J37" s="19"/>
      <c r="K37" s="340" t="s">
        <v>4</v>
      </c>
      <c r="L37" s="340"/>
      <c r="M37" s="269">
        <f>M30</f>
        <v>22192</v>
      </c>
    </row>
    <row r="38" spans="2:16" ht="13.8" x14ac:dyDescent="0.25">
      <c r="B38" s="340" t="s">
        <v>3</v>
      </c>
      <c r="C38" s="340"/>
      <c r="D38" s="270">
        <f>Kalkyl!C36</f>
        <v>2</v>
      </c>
      <c r="J38" s="19"/>
      <c r="K38" s="340" t="s">
        <v>3</v>
      </c>
      <c r="L38" s="340"/>
      <c r="M38" s="270">
        <f>Kalkyl!C36</f>
        <v>2</v>
      </c>
    </row>
    <row r="39" spans="2:16" x14ac:dyDescent="0.25">
      <c r="B39" s="341"/>
      <c r="C39" s="342"/>
      <c r="D39" s="343"/>
      <c r="J39" s="19"/>
      <c r="K39" s="341"/>
      <c r="L39" s="342"/>
      <c r="M39" s="343"/>
    </row>
    <row r="40" spans="2:16" x14ac:dyDescent="0.25">
      <c r="B40" s="334" t="s">
        <v>99</v>
      </c>
      <c r="C40" s="335"/>
      <c r="D40" s="271">
        <f>D6</f>
        <v>0</v>
      </c>
      <c r="F40" s="272" t="s">
        <v>99</v>
      </c>
      <c r="G40" s="271">
        <f>D6+D7</f>
        <v>0</v>
      </c>
      <c r="J40" s="19"/>
      <c r="K40" s="334" t="s">
        <v>99</v>
      </c>
      <c r="L40" s="335"/>
      <c r="M40" s="269">
        <f>ROUND(D6/D25*D26,0)</f>
        <v>0</v>
      </c>
      <c r="O40" s="272" t="s">
        <v>99</v>
      </c>
      <c r="P40" s="269">
        <f>ROUND(Kalkyl!B45*D27,0)</f>
        <v>28628</v>
      </c>
    </row>
    <row r="41" spans="2:16" x14ac:dyDescent="0.25">
      <c r="B41" s="334" t="s">
        <v>101</v>
      </c>
      <c r="C41" s="335"/>
      <c r="D41" s="271">
        <f>D40-D31-H17-H20</f>
        <v>-28918</v>
      </c>
      <c r="F41" s="272" t="s">
        <v>101</v>
      </c>
      <c r="G41" s="271">
        <f>G43-G40-G42</f>
        <v>28918</v>
      </c>
      <c r="J41" s="19"/>
      <c r="K41" s="334" t="s">
        <v>101</v>
      </c>
      <c r="L41" s="335"/>
      <c r="M41" s="269">
        <f>M40-M31</f>
        <v>-28184</v>
      </c>
      <c r="O41" s="272" t="s">
        <v>101</v>
      </c>
      <c r="P41" s="269">
        <f>ROUND(P40-(M44/0.85),0)</f>
        <v>-4530</v>
      </c>
    </row>
    <row r="42" spans="2:16" x14ac:dyDescent="0.25">
      <c r="B42" s="334" t="s">
        <v>151</v>
      </c>
      <c r="C42" s="335"/>
      <c r="D42" s="271">
        <f>IF(D32&gt;D7,D7,D32)</f>
        <v>0</v>
      </c>
      <c r="F42" s="272" t="s">
        <v>103</v>
      </c>
      <c r="G42" s="271">
        <f>D43</f>
        <v>0</v>
      </c>
      <c r="J42" s="19"/>
      <c r="K42" s="334" t="s">
        <v>151</v>
      </c>
      <c r="L42" s="335"/>
      <c r="M42" s="269">
        <f>M32</f>
        <v>0</v>
      </c>
      <c r="O42" s="272" t="s">
        <v>13</v>
      </c>
      <c r="P42" s="269">
        <f>P40-P41</f>
        <v>33158</v>
      </c>
    </row>
    <row r="43" spans="2:16" x14ac:dyDescent="0.25">
      <c r="B43" s="334" t="s">
        <v>103</v>
      </c>
      <c r="C43" s="335"/>
      <c r="D43" s="271">
        <f>IF(D33&gt;D8,D8,D33)</f>
        <v>0</v>
      </c>
      <c r="F43" s="272" t="s">
        <v>13</v>
      </c>
      <c r="G43" s="271">
        <f>D44</f>
        <v>28918</v>
      </c>
      <c r="J43" s="19"/>
      <c r="K43" s="334" t="s">
        <v>103</v>
      </c>
      <c r="L43" s="335"/>
      <c r="M43" s="269">
        <f>M33</f>
        <v>0</v>
      </c>
    </row>
    <row r="44" spans="2:16" x14ac:dyDescent="0.25">
      <c r="B44" s="334" t="s">
        <v>13</v>
      </c>
      <c r="C44" s="335"/>
      <c r="D44" s="271">
        <f>ROUND(D40-D41+D42+D43,0)</f>
        <v>28918</v>
      </c>
      <c r="J44" s="19"/>
      <c r="K44" s="334" t="s">
        <v>13</v>
      </c>
      <c r="L44" s="335"/>
      <c r="M44" s="269">
        <f>M40-M41+M42+M43</f>
        <v>28184</v>
      </c>
    </row>
    <row r="45" spans="2:16" ht="13.8" thickBot="1" x14ac:dyDescent="0.3">
      <c r="J45" s="19"/>
    </row>
    <row r="46" spans="2:16" ht="13.8" thickBot="1" x14ac:dyDescent="0.3">
      <c r="B46" s="336" t="s">
        <v>152</v>
      </c>
      <c r="C46" s="337"/>
      <c r="D46" s="337"/>
      <c r="E46" s="337"/>
      <c r="F46" s="337"/>
      <c r="G46" s="337"/>
      <c r="H46" s="337"/>
      <c r="I46" s="337"/>
      <c r="J46" s="338">
        <f>ROUND(D30*1.27/D25,0)</f>
        <v>2451</v>
      </c>
      <c r="K46" s="338"/>
      <c r="L46" s="338"/>
      <c r="M46" s="338"/>
      <c r="N46" s="338"/>
      <c r="O46" s="338"/>
      <c r="P46" s="339"/>
    </row>
  </sheetData>
  <mergeCells count="53">
    <mergeCell ref="B6:C6"/>
    <mergeCell ref="A1:I1"/>
    <mergeCell ref="J1:R1"/>
    <mergeCell ref="B3:D3"/>
    <mergeCell ref="B4:C4"/>
    <mergeCell ref="B5:D5"/>
    <mergeCell ref="B20:C20"/>
    <mergeCell ref="B7:C7"/>
    <mergeCell ref="B8:C8"/>
    <mergeCell ref="B9:C9"/>
    <mergeCell ref="B12:D12"/>
    <mergeCell ref="B13:C13"/>
    <mergeCell ref="B14:C14"/>
    <mergeCell ref="B15:C15"/>
    <mergeCell ref="B16:C16"/>
    <mergeCell ref="B17:C17"/>
    <mergeCell ref="B18:C18"/>
    <mergeCell ref="B19:C19"/>
    <mergeCell ref="B33:C33"/>
    <mergeCell ref="K33:L33"/>
    <mergeCell ref="B21:C21"/>
    <mergeCell ref="B22:C22"/>
    <mergeCell ref="B23:C23"/>
    <mergeCell ref="B25:C25"/>
    <mergeCell ref="B26:C26"/>
    <mergeCell ref="B27:C27"/>
    <mergeCell ref="B28:C28"/>
    <mergeCell ref="B30:C30"/>
    <mergeCell ref="K30:L30"/>
    <mergeCell ref="B32:C32"/>
    <mergeCell ref="K32:L32"/>
    <mergeCell ref="B36:D36"/>
    <mergeCell ref="F36:G36"/>
    <mergeCell ref="K36:M36"/>
    <mergeCell ref="O36:P36"/>
    <mergeCell ref="B37:C37"/>
    <mergeCell ref="K37:L37"/>
    <mergeCell ref="B38:C38"/>
    <mergeCell ref="K38:L38"/>
    <mergeCell ref="B39:D39"/>
    <mergeCell ref="K39:M39"/>
    <mergeCell ref="B40:C40"/>
    <mergeCell ref="K40:L40"/>
    <mergeCell ref="B44:C44"/>
    <mergeCell ref="K44:L44"/>
    <mergeCell ref="B46:I46"/>
    <mergeCell ref="J46:P46"/>
    <mergeCell ref="B41:C41"/>
    <mergeCell ref="K41:L41"/>
    <mergeCell ref="B42:C42"/>
    <mergeCell ref="K42:L42"/>
    <mergeCell ref="B43:C43"/>
    <mergeCell ref="K43:L43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1F450A7F6FB124BA8F619AC3ACEAD4C" ma:contentTypeVersion="24" ma:contentTypeDescription="Create a new document." ma:contentTypeScope="" ma:versionID="eb2234730699a31f9d7c58107bbbbd05">
  <xsd:schema xmlns:xsd="http://www.w3.org/2001/XMLSchema" xmlns:xs="http://www.w3.org/2001/XMLSchema" xmlns:p="http://schemas.microsoft.com/office/2006/metadata/properties" xmlns:ns2="bad756a9-d829-4337-a9fa-276c7feb4f45" xmlns:ns3="2126def6-1855-412b-a990-6611c8251f87" xmlns:ns4="e7640078-2807-4792-8712-763d4cb58983" xmlns:ns5="614d28fa-0be1-43f1-9a20-2e0f01c293bc" targetNamespace="http://schemas.microsoft.com/office/2006/metadata/properties" ma:root="true" ma:fieldsID="aa1a884633519dd19ceb6476ad3641f8" ns2:_="" ns3:_="" ns4:_="" ns5:_="">
    <xsd:import namespace="bad756a9-d829-4337-a9fa-276c7feb4f45"/>
    <xsd:import namespace="2126def6-1855-412b-a990-6611c8251f87"/>
    <xsd:import namespace="e7640078-2807-4792-8712-763d4cb58983"/>
    <xsd:import namespace="614d28fa-0be1-43f1-9a20-2e0f01c293b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DateTaken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4:DocumentCategory" minOccurs="0"/>
                <xsd:element ref="ns5:MediaServiceAutoKeyPoints" minOccurs="0"/>
                <xsd:element ref="ns5:MediaServiceKeyPoints" minOccurs="0"/>
                <xsd:element ref="ns5:MediaServiceGenerationTime" minOccurs="0"/>
                <xsd:element ref="ns5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ad756a9-d829-4337-a9fa-276c7feb4f4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26def6-1855-412b-a990-6611c8251f87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640078-2807-4792-8712-763d4cb58983" elementFormDefault="qualified">
    <xsd:import namespace="http://schemas.microsoft.com/office/2006/documentManagement/types"/>
    <xsd:import namespace="http://schemas.microsoft.com/office/infopath/2007/PartnerControls"/>
    <xsd:element name="DocumentCategory" ma:index="16" nillable="true" ma:displayName="Document category" ma:format="Dropdown" ma:internalName="DocumentCategory">
      <xsd:simpleType>
        <xsd:restriction base="dms:Choice">
          <xsd:enumeration value="To be decided by Site Owner(1)"/>
          <xsd:enumeration value="To be decided by Site Owner(2)"/>
          <xsd:enumeration value="To be decided by Site Owner(3)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14d28fa-0be1-43f1-9a20-2e0f01c293bc" elementFormDefault="qualified">
    <xsd:import namespace="http://schemas.microsoft.com/office/2006/documentManagement/types"/>
    <xsd:import namespace="http://schemas.microsoft.com/office/infopath/2007/PartnerControls"/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ocumentCategory xmlns="e7640078-2807-4792-8712-763d4cb58983" xsi:nil="true"/>
  </documentManagement>
</p:properties>
</file>

<file path=customXml/itemProps1.xml><?xml version="1.0" encoding="utf-8"?>
<ds:datastoreItem xmlns:ds="http://schemas.openxmlformats.org/officeDocument/2006/customXml" ds:itemID="{4F7DAF2E-BA4F-41CF-A168-8D42F34D116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3B0D761-4B49-4D5F-B82E-B90A044CA0E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ad756a9-d829-4337-a9fa-276c7feb4f45"/>
    <ds:schemaRef ds:uri="2126def6-1855-412b-a990-6611c8251f87"/>
    <ds:schemaRef ds:uri="e7640078-2807-4792-8712-763d4cb58983"/>
    <ds:schemaRef ds:uri="614d28fa-0be1-43f1-9a20-2e0f01c293b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2AE59E5-99C6-42A0-B427-961356980636}">
  <ds:schemaRefs>
    <ds:schemaRef ds:uri="http://schemas.microsoft.com/office/2006/metadata/properties"/>
    <ds:schemaRef ds:uri="http://schemas.microsoft.com/office/infopath/2007/PartnerControls"/>
    <ds:schemaRef ds:uri="e7640078-2807-4792-8712-763d4cb5898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Kalkyl</vt:lpstr>
      <vt:lpstr>Litteralista</vt:lpstr>
      <vt:lpstr>NO</vt:lpstr>
      <vt:lpstr>SE</vt:lpstr>
      <vt:lpstr>DK</vt:lpstr>
      <vt:lpstr>Project discount</vt:lpstr>
    </vt:vector>
  </TitlesOfParts>
  <Company>Sapa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Ernestas Kalašinskas | Venta Windows</dc:creator>
  <cp:lastModifiedBy>Ernestas Kalašinskas | Venta Windows</cp:lastModifiedBy>
  <cp:lastPrinted>2017-02-08T10:27:22Z</cp:lastPrinted>
  <dcterms:created xsi:type="dcterms:W3CDTF">2010-11-08T08:14:47Z</dcterms:created>
  <dcterms:modified xsi:type="dcterms:W3CDTF">2024-11-08T06:50:03Z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0x01010081F450A7F6FB124BA8F619AC3ACEAD4C</vt:lpwstr>
  </property>
</Properties>
</file>