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8_{2B0F142E-71A0-4B20-82EF-DFA670D8501C}" xr6:coauthVersionLast="47" xr6:coauthVersionMax="47" xr10:uidLastSave="{00000000-0000-0000-0000-000000000000}"/>
  <bookViews>
    <workbookView xWindow="-120" yWindow="-120" windowWidth="20730" windowHeight="11160" xr2:uid="{0022817D-8C11-4DEE-BF8C-E8AB016D8B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9" i="1" l="1"/>
  <c r="E54" i="1"/>
  <c r="C53" i="1"/>
  <c r="D53" i="1"/>
  <c r="E53" i="1"/>
  <c r="E33" i="1" l="1"/>
  <c r="D33" i="1"/>
  <c r="C33" i="1"/>
  <c r="C32" i="1"/>
  <c r="F33" i="1"/>
  <c r="F30" i="1"/>
  <c r="F40" i="1"/>
  <c r="F41" i="1"/>
  <c r="F36" i="1"/>
  <c r="F35" i="1"/>
  <c r="F34" i="1"/>
  <c r="E9" i="1"/>
  <c r="E13" i="1"/>
  <c r="E25" i="1" s="1"/>
  <c r="E14" i="1"/>
  <c r="E16" i="1" s="1"/>
  <c r="E28" i="1"/>
  <c r="D28" i="1"/>
  <c r="C28" i="1"/>
  <c r="F32" i="1" l="1"/>
  <c r="F42" i="1"/>
  <c r="E27" i="1"/>
  <c r="E65" i="1" l="1"/>
  <c r="E64" i="1"/>
  <c r="E63" i="1"/>
  <c r="F38" i="1"/>
  <c r="F37" i="1"/>
  <c r="F26" i="1"/>
  <c r="C14" i="1"/>
  <c r="C16" i="1" s="1"/>
  <c r="D14" i="1"/>
  <c r="D16" i="1" s="1"/>
  <c r="D13" i="1"/>
  <c r="D27" i="1" s="1"/>
  <c r="C13" i="1"/>
  <c r="D9" i="1"/>
  <c r="C9" i="1"/>
  <c r="C27" i="1" l="1"/>
  <c r="F13" i="1"/>
  <c r="F39" i="1"/>
  <c r="E62" i="1" s="1"/>
  <c r="E66" i="1" s="1"/>
  <c r="D25" i="1"/>
  <c r="F16" i="1"/>
  <c r="C25" i="1"/>
  <c r="F9" i="1"/>
  <c r="E10" i="1" s="1"/>
  <c r="E31" i="1" l="1"/>
  <c r="E30" i="1"/>
  <c r="F20" i="1"/>
  <c r="E17" i="1"/>
  <c r="E26" i="1"/>
  <c r="E43" i="1"/>
  <c r="E32" i="1"/>
  <c r="E44" i="1"/>
  <c r="E42" i="1"/>
  <c r="E39" i="1"/>
  <c r="F25" i="1"/>
  <c r="C17" i="1"/>
  <c r="C10" i="1"/>
  <c r="E58" i="1"/>
  <c r="F22" i="1"/>
  <c r="F21" i="1"/>
  <c r="D10" i="1"/>
  <c r="D17" i="1"/>
  <c r="D31" i="1" l="1"/>
  <c r="D30" i="1"/>
  <c r="C31" i="1"/>
  <c r="C30" i="1"/>
  <c r="C42" i="1"/>
  <c r="E45" i="1"/>
  <c r="E46" i="1" s="1"/>
  <c r="C43" i="1"/>
  <c r="C44" i="1"/>
  <c r="C26" i="1"/>
  <c r="C39" i="1"/>
  <c r="F24" i="1"/>
  <c r="E24" i="1" s="1"/>
  <c r="E29" i="1" s="1"/>
  <c r="E51" i="1" s="1"/>
  <c r="D43" i="1"/>
  <c r="D44" i="1"/>
  <c r="D32" i="1"/>
  <c r="D26" i="1"/>
  <c r="D39" i="1"/>
  <c r="D42" i="1"/>
  <c r="E52" i="1" l="1"/>
  <c r="E47" i="1"/>
  <c r="E48" i="1" s="1"/>
  <c r="E50" i="1"/>
  <c r="C45" i="1"/>
  <c r="C46" i="1" s="1"/>
  <c r="D24" i="1"/>
  <c r="D29" i="1" s="1"/>
  <c r="D51" i="1" s="1"/>
  <c r="D52" i="1" s="1"/>
  <c r="C24" i="1"/>
  <c r="C29" i="1" s="1"/>
  <c r="C51" i="1" s="1"/>
  <c r="C52" i="1" s="1"/>
  <c r="D45" i="1"/>
  <c r="D46" i="1" s="1"/>
  <c r="C54" i="1" l="1"/>
  <c r="D49" i="1"/>
  <c r="D50" i="1" s="1"/>
  <c r="C47" i="1"/>
  <c r="C48" i="1" s="1"/>
  <c r="C49" i="1"/>
  <c r="C50" i="1" s="1"/>
  <c r="F29" i="1"/>
  <c r="E59" i="1" s="1"/>
  <c r="E60" i="1" s="1"/>
  <c r="E67" i="1" s="1"/>
  <c r="E68" i="1" s="1"/>
  <c r="E69" i="1" s="1"/>
  <c r="D54" i="1"/>
  <c r="F46" i="1"/>
  <c r="D47" i="1"/>
  <c r="D48" i="1" s="1"/>
</calcChain>
</file>

<file path=xl/sharedStrings.xml><?xml version="1.0" encoding="utf-8"?>
<sst xmlns="http://schemas.openxmlformats.org/spreadsheetml/2006/main" count="76" uniqueCount="73">
  <si>
    <t>NOMBRE</t>
  </si>
  <si>
    <t>Mogiano Gutierrez Moises Leonardo</t>
  </si>
  <si>
    <t>DOCENTE</t>
  </si>
  <si>
    <t>Ing. Juan Manuel Chahín Avichacra</t>
  </si>
  <si>
    <t>REG</t>
  </si>
  <si>
    <t>SEMESTRE</t>
  </si>
  <si>
    <t>2-2021</t>
  </si>
  <si>
    <t>MATERIA</t>
  </si>
  <si>
    <t>Costos y Presupuestos</t>
  </si>
  <si>
    <t>ELC002-SA</t>
  </si>
  <si>
    <t>PANTALONES</t>
  </si>
  <si>
    <t>CAMISAS</t>
  </si>
  <si>
    <t>POLERAS</t>
  </si>
  <si>
    <t>VENTAS</t>
  </si>
  <si>
    <t>PRECIO</t>
  </si>
  <si>
    <t>INGRESOS</t>
  </si>
  <si>
    <t xml:space="preserve"> </t>
  </si>
  <si>
    <t xml:space="preserve">  </t>
  </si>
  <si>
    <t>INVENTARIO INICIAL</t>
  </si>
  <si>
    <t>INVENTARIO FINAL</t>
  </si>
  <si>
    <t>PRODUCCION</t>
  </si>
  <si>
    <t>TELAS</t>
  </si>
  <si>
    <t>PARTICIPACIÓN</t>
  </si>
  <si>
    <t>CIF</t>
  </si>
  <si>
    <t>Impuestos</t>
  </si>
  <si>
    <t>Gasto de Aduana</t>
  </si>
  <si>
    <t>Otros Gastos</t>
  </si>
  <si>
    <t>Materia Prima</t>
  </si>
  <si>
    <t>Mano de Obra Directa</t>
  </si>
  <si>
    <t>Insumos</t>
  </si>
  <si>
    <t>Energía Eléctrica</t>
  </si>
  <si>
    <t>Costo Directo</t>
  </si>
  <si>
    <t>Transpo + Seguro</t>
  </si>
  <si>
    <t>Costo Variable</t>
  </si>
  <si>
    <t>Personal Cortador</t>
  </si>
  <si>
    <t>Sueldos y Salarios</t>
  </si>
  <si>
    <t>Servicios</t>
  </si>
  <si>
    <t>Alquileres</t>
  </si>
  <si>
    <t>Gastos Generales</t>
  </si>
  <si>
    <t>Costos Comerciales</t>
  </si>
  <si>
    <t>Costos Financieros</t>
  </si>
  <si>
    <t>Depreciación</t>
  </si>
  <si>
    <t xml:space="preserve">Costos Indirectos </t>
  </si>
  <si>
    <t>Costo Total</t>
  </si>
  <si>
    <t>Margen de Contribución</t>
  </si>
  <si>
    <t>CF</t>
  </si>
  <si>
    <t>Qe</t>
  </si>
  <si>
    <t>Costo Directo Unitario</t>
  </si>
  <si>
    <t>Costo Variable Unitario</t>
  </si>
  <si>
    <t>Costo Total Unitario</t>
  </si>
  <si>
    <t>Costo Fijo</t>
  </si>
  <si>
    <t>Costo Administracion</t>
  </si>
  <si>
    <t>Costos Indirectos de Fabricación</t>
  </si>
  <si>
    <t>Costo Administración</t>
  </si>
  <si>
    <t>ESTADO DE RESULTADO</t>
  </si>
  <si>
    <t>Ventas</t>
  </si>
  <si>
    <t>Costos de Ventas</t>
  </si>
  <si>
    <t>Ingresos Netos</t>
  </si>
  <si>
    <t>EGRESOS</t>
  </si>
  <si>
    <t>Costo Comercial</t>
  </si>
  <si>
    <t>Costo Financiero</t>
  </si>
  <si>
    <t>Depreciacion</t>
  </si>
  <si>
    <t>Total Egresos</t>
  </si>
  <si>
    <t>Utilidad Bruta</t>
  </si>
  <si>
    <t>Utilidad Neta</t>
  </si>
  <si>
    <t>PRECIO TELA</t>
  </si>
  <si>
    <t>COSTO TELA BRASIL</t>
  </si>
  <si>
    <t>Materia de Escritorio</t>
  </si>
  <si>
    <t>Distribucion</t>
  </si>
  <si>
    <t>Promocion y Publicidad</t>
  </si>
  <si>
    <t>Operarios De Limpieza</t>
  </si>
  <si>
    <t>Mantenimiento</t>
  </si>
  <si>
    <t>Costo Total 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</si>
</sst>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0E0F0"/>
        <bgColor indexed="64"/>
      </patternFill>
    </fill>
    <fill>
      <patternFill patternType="solid">
        <fgColor rgb="FFF2897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4" fontId="0" fillId="0" borderId="0" xfId="0" applyNumberFormat="1"/>
    <xf numFmtId="4" fontId="0" fillId="0" borderId="1" xfId="0" applyNumberFormat="1" applyBorder="1"/>
    <xf numFmtId="9" fontId="0" fillId="0" borderId="1" xfId="0" applyNumberFormat="1" applyBorder="1"/>
    <xf numFmtId="43" fontId="0" fillId="3" borderId="1" xfId="0" applyNumberFormat="1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3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1D5FBB-FA04-4297-AC21-8344F5D83992}" name="Tabla1" displayName="Tabla1" ref="B6:F54" totalsRowShown="0">
  <autoFilter ref="B6:F54" xr:uid="{541D5FBB-FA04-4297-AC21-8344F5D8399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E1CC928-9660-4DE1-B7A3-C9F2C4E56C57}" name=" "/>
    <tableColumn id="2" xr3:uid="{B45132CD-0E06-400D-A3DB-B938163ADF8A}" name="PANTALONES" dataDxfId="3"/>
    <tableColumn id="3" xr3:uid="{30C0C5BB-8B94-401F-973B-AA9A29DD5E0C}" name="CAMISAS" dataDxfId="2"/>
    <tableColumn id="4" xr3:uid="{FF1763FF-2F4E-4EDD-A0AB-62BC3716A38B}" name="POLERAS" dataDxfId="1"/>
    <tableColumn id="5" xr3:uid="{87044631-A177-4A92-9CAF-7EA5764508C2}" name=" 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E169-F80A-4107-B26B-0C56AB094F2B}">
  <dimension ref="B2:I69"/>
  <sheetViews>
    <sheetView tabSelected="1" topLeftCell="A41" workbookViewId="0">
      <selection activeCell="E50" sqref="E50"/>
    </sheetView>
  </sheetViews>
  <sheetFormatPr baseColWidth="10" defaultRowHeight="15" x14ac:dyDescent="0.25"/>
  <cols>
    <col min="2" max="2" width="29.7109375" bestFit="1" customWidth="1"/>
    <col min="3" max="3" width="12.85546875" bestFit="1" customWidth="1"/>
    <col min="4" max="6" width="10.140625" bestFit="1" customWidth="1"/>
  </cols>
  <sheetData>
    <row r="2" spans="2:9" x14ac:dyDescent="0.25">
      <c r="B2" s="1" t="s">
        <v>0</v>
      </c>
      <c r="C2" s="9" t="s">
        <v>1</v>
      </c>
      <c r="D2" s="9"/>
      <c r="E2" s="9"/>
      <c r="F2" s="1" t="s">
        <v>2</v>
      </c>
      <c r="G2" s="10" t="s">
        <v>3</v>
      </c>
      <c r="H2" s="11"/>
      <c r="I2" s="12"/>
    </row>
    <row r="3" spans="2:9" x14ac:dyDescent="0.25">
      <c r="B3" s="1" t="s">
        <v>4</v>
      </c>
      <c r="C3" s="10">
        <v>218034121</v>
      </c>
      <c r="D3" s="11"/>
      <c r="E3" s="12"/>
      <c r="F3" s="1" t="s">
        <v>5</v>
      </c>
      <c r="G3" s="13" t="s">
        <v>6</v>
      </c>
      <c r="H3" s="13"/>
      <c r="I3" s="13"/>
    </row>
    <row r="4" spans="2:9" x14ac:dyDescent="0.25">
      <c r="B4" s="1" t="s">
        <v>7</v>
      </c>
      <c r="C4" s="9" t="s">
        <v>8</v>
      </c>
      <c r="D4" s="9"/>
      <c r="E4" s="2" t="s">
        <v>9</v>
      </c>
    </row>
    <row r="6" spans="2:9" x14ac:dyDescent="0.25">
      <c r="B6" t="s">
        <v>16</v>
      </c>
      <c r="C6" t="s">
        <v>10</v>
      </c>
      <c r="D6" t="s">
        <v>11</v>
      </c>
      <c r="E6" t="s">
        <v>12</v>
      </c>
      <c r="F6" t="s">
        <v>17</v>
      </c>
    </row>
    <row r="7" spans="2:9" x14ac:dyDescent="0.25">
      <c r="B7" t="s">
        <v>13</v>
      </c>
      <c r="C7" s="3">
        <v>1000</v>
      </c>
      <c r="D7" s="3">
        <v>1000</v>
      </c>
      <c r="E7" s="3">
        <v>2000</v>
      </c>
      <c r="F7" s="3"/>
      <c r="G7" s="3"/>
    </row>
    <row r="8" spans="2:9" x14ac:dyDescent="0.25">
      <c r="B8" t="s">
        <v>14</v>
      </c>
      <c r="C8" s="3">
        <v>180</v>
      </c>
      <c r="D8" s="3">
        <v>160</v>
      </c>
      <c r="E8" s="3">
        <v>100</v>
      </c>
      <c r="F8" s="3"/>
      <c r="G8" s="3"/>
    </row>
    <row r="9" spans="2:9" x14ac:dyDescent="0.25">
      <c r="B9" t="s">
        <v>15</v>
      </c>
      <c r="C9" s="3">
        <f>C7*C8</f>
        <v>180000</v>
      </c>
      <c r="D9" s="3">
        <f t="shared" ref="D9:E9" si="0">D7*D8</f>
        <v>160000</v>
      </c>
      <c r="E9" s="3">
        <f t="shared" si="0"/>
        <v>200000</v>
      </c>
      <c r="F9" s="3">
        <f>SUM(C9:E9)</f>
        <v>540000</v>
      </c>
      <c r="G9" s="3"/>
    </row>
    <row r="10" spans="2:9" x14ac:dyDescent="0.25">
      <c r="B10" t="s">
        <v>22</v>
      </c>
      <c r="C10" s="3">
        <f>C9/F9</f>
        <v>0.33333333333333331</v>
      </c>
      <c r="D10" s="3">
        <f>D9/F9</f>
        <v>0.29629629629629628</v>
      </c>
      <c r="E10" s="3">
        <f>E9/F9</f>
        <v>0.37037037037037035</v>
      </c>
      <c r="F10" s="3"/>
      <c r="G10" s="3"/>
    </row>
    <row r="11" spans="2:9" x14ac:dyDescent="0.25">
      <c r="B11" t="s">
        <v>18</v>
      </c>
      <c r="C11" s="3">
        <v>100</v>
      </c>
      <c r="D11" s="3">
        <v>50</v>
      </c>
      <c r="E11" s="3">
        <v>20</v>
      </c>
      <c r="F11" s="3"/>
      <c r="G11" s="3"/>
    </row>
    <row r="12" spans="2:9" x14ac:dyDescent="0.25">
      <c r="B12" t="s">
        <v>19</v>
      </c>
      <c r="C12" s="3">
        <v>100</v>
      </c>
      <c r="D12" s="3">
        <v>100</v>
      </c>
      <c r="E12" s="3">
        <v>50</v>
      </c>
      <c r="F12" s="3"/>
      <c r="G12" s="3"/>
    </row>
    <row r="13" spans="2:9" x14ac:dyDescent="0.25">
      <c r="B13" t="s">
        <v>20</v>
      </c>
      <c r="C13" s="3">
        <f>C7-C11+C12</f>
        <v>1000</v>
      </c>
      <c r="D13" s="3">
        <f t="shared" ref="D13:E13" si="1">D7-D11+D12</f>
        <v>1050</v>
      </c>
      <c r="E13" s="3">
        <f t="shared" si="1"/>
        <v>2030</v>
      </c>
      <c r="F13" s="3">
        <f>SUM(Tabla1[[#This Row],[PANTALONES]:[POLERAS]])</f>
        <v>4080</v>
      </c>
      <c r="G13" s="3"/>
    </row>
    <row r="14" spans="2:9" x14ac:dyDescent="0.25">
      <c r="B14" t="s">
        <v>21</v>
      </c>
      <c r="C14" s="3">
        <f>C7*1.2*12</f>
        <v>14400</v>
      </c>
      <c r="D14" s="3">
        <f>D7*12</f>
        <v>12000</v>
      </c>
      <c r="E14" s="3">
        <f>E7*0.8*12</f>
        <v>19200</v>
      </c>
      <c r="F14" s="3"/>
      <c r="G14" s="3"/>
    </row>
    <row r="15" spans="2:9" x14ac:dyDescent="0.25">
      <c r="B15" t="s">
        <v>65</v>
      </c>
      <c r="C15" s="3">
        <v>5</v>
      </c>
      <c r="D15" s="3">
        <v>5</v>
      </c>
      <c r="E15" s="3">
        <v>3</v>
      </c>
      <c r="F15" s="3"/>
      <c r="G15" s="3"/>
    </row>
    <row r="16" spans="2:9" x14ac:dyDescent="0.25">
      <c r="B16" t="s">
        <v>66</v>
      </c>
      <c r="C16" s="3">
        <f>C14*C15</f>
        <v>72000</v>
      </c>
      <c r="D16" s="3">
        <f t="shared" ref="D16:E16" si="2">D14*D15</f>
        <v>60000</v>
      </c>
      <c r="E16" s="3">
        <f t="shared" si="2"/>
        <v>57600</v>
      </c>
      <c r="F16" s="3">
        <f>SUM(C16:E16)</f>
        <v>189600</v>
      </c>
      <c r="G16" s="3"/>
    </row>
    <row r="17" spans="2:7" x14ac:dyDescent="0.25">
      <c r="B17" t="s">
        <v>22</v>
      </c>
      <c r="C17" s="3">
        <f>C16/F16</f>
        <v>0.379746835443038</v>
      </c>
      <c r="D17" s="3">
        <f>D16/F16</f>
        <v>0.31645569620253167</v>
      </c>
      <c r="E17" s="3">
        <f>E16/F16</f>
        <v>0.30379746835443039</v>
      </c>
      <c r="F17" s="3"/>
      <c r="G17" s="3"/>
    </row>
    <row r="18" spans="2:7" x14ac:dyDescent="0.25">
      <c r="C18" s="3"/>
      <c r="D18" s="3"/>
      <c r="E18" s="3"/>
      <c r="F18" s="3"/>
      <c r="G18" s="3"/>
    </row>
    <row r="19" spans="2:7" x14ac:dyDescent="0.25">
      <c r="B19" t="s">
        <v>32</v>
      </c>
      <c r="C19" s="3"/>
      <c r="D19" s="3"/>
      <c r="E19" s="3"/>
      <c r="F19" s="3">
        <v>2000</v>
      </c>
      <c r="G19" s="3"/>
    </row>
    <row r="20" spans="2:7" x14ac:dyDescent="0.25">
      <c r="B20" t="s">
        <v>23</v>
      </c>
      <c r="C20" s="3"/>
      <c r="D20" s="3"/>
      <c r="E20" s="3"/>
      <c r="F20" s="3">
        <f>F16+F19</f>
        <v>191600</v>
      </c>
      <c r="G20" s="3"/>
    </row>
    <row r="21" spans="2:7" x14ac:dyDescent="0.25">
      <c r="B21" t="s">
        <v>24</v>
      </c>
      <c r="C21" s="3"/>
      <c r="D21" s="3"/>
      <c r="E21" s="3"/>
      <c r="F21" s="3">
        <f>10%*F20</f>
        <v>19160</v>
      </c>
      <c r="G21" s="3"/>
    </row>
    <row r="22" spans="2:7" x14ac:dyDescent="0.25">
      <c r="B22" t="s">
        <v>25</v>
      </c>
      <c r="C22" s="3"/>
      <c r="D22" s="3"/>
      <c r="E22" s="3"/>
      <c r="F22" s="3">
        <f>3%*F20</f>
        <v>5748</v>
      </c>
      <c r="G22" s="3"/>
    </row>
    <row r="23" spans="2:7" x14ac:dyDescent="0.25">
      <c r="B23" t="s">
        <v>26</v>
      </c>
      <c r="C23" s="3"/>
      <c r="D23" s="3"/>
      <c r="E23" s="3"/>
      <c r="F23" s="3">
        <v>500</v>
      </c>
      <c r="G23" s="3"/>
    </row>
    <row r="24" spans="2:7" x14ac:dyDescent="0.25">
      <c r="B24" t="s">
        <v>27</v>
      </c>
      <c r="C24" s="3">
        <f>C17*F24</f>
        <v>82408.101265822785</v>
      </c>
      <c r="D24" s="3">
        <f>D17*F24</f>
        <v>68673.417721518985</v>
      </c>
      <c r="E24" s="3">
        <f>E17*F24</f>
        <v>65926.481012658231</v>
      </c>
      <c r="F24" s="3">
        <f>SUM(F20:F23)</f>
        <v>217008</v>
      </c>
      <c r="G24" s="3"/>
    </row>
    <row r="25" spans="2:7" x14ac:dyDescent="0.25">
      <c r="B25" t="s">
        <v>28</v>
      </c>
      <c r="C25" s="3">
        <f>(2*3.5*C13+(2*3.5*C13)/12)*1.15</f>
        <v>8720.8333333333321</v>
      </c>
      <c r="D25" s="3">
        <f>(2*3.5*D13+(2*3.5*D13)/12)*1.15</f>
        <v>9156.875</v>
      </c>
      <c r="E25" s="3">
        <f>(1*3.5*E13+(1*3.5*E13)/12)*1.15</f>
        <v>8851.6458333333321</v>
      </c>
      <c r="F25" s="3">
        <f>SUM(C25:E25)</f>
        <v>26729.354166666664</v>
      </c>
      <c r="G25" s="3"/>
    </row>
    <row r="26" spans="2:7" x14ac:dyDescent="0.25">
      <c r="B26" t="s">
        <v>34</v>
      </c>
      <c r="C26" s="3">
        <f>C10*F26</f>
        <v>1993.333333333333</v>
      </c>
      <c r="D26" s="3">
        <f>D10*F26</f>
        <v>1771.8518518518515</v>
      </c>
      <c r="E26" s="3">
        <f>E10*F26</f>
        <v>2214.8148148148143</v>
      </c>
      <c r="F26" s="3">
        <f>400*13*1.15</f>
        <v>5979.9999999999991</v>
      </c>
      <c r="G26" s="3"/>
    </row>
    <row r="27" spans="2:7" x14ac:dyDescent="0.25">
      <c r="B27" t="s">
        <v>29</v>
      </c>
      <c r="C27" s="3">
        <f>1.2*C13</f>
        <v>1200</v>
      </c>
      <c r="D27" s="3">
        <f>1.2*D13</f>
        <v>1260</v>
      </c>
      <c r="E27" s="3">
        <f>0.5*E13</f>
        <v>1015</v>
      </c>
      <c r="F27" s="3"/>
      <c r="G27" s="3"/>
    </row>
    <row r="28" spans="2:7" x14ac:dyDescent="0.25">
      <c r="B28" t="s">
        <v>30</v>
      </c>
      <c r="C28" s="3">
        <f>0.06*10000</f>
        <v>600</v>
      </c>
      <c r="D28" s="3">
        <f>0.06*10000</f>
        <v>600</v>
      </c>
      <c r="E28" s="3">
        <f>5000*0.06</f>
        <v>300</v>
      </c>
      <c r="F28" s="3"/>
      <c r="G28" s="3"/>
    </row>
    <row r="29" spans="2:7" x14ac:dyDescent="0.25">
      <c r="B29" t="s">
        <v>31</v>
      </c>
      <c r="C29" s="3">
        <f>SUM(C24:C28)</f>
        <v>94922.267932489442</v>
      </c>
      <c r="D29" s="3">
        <f t="shared" ref="D29:E29" si="3">SUM(D24:D28)</f>
        <v>81462.144573370839</v>
      </c>
      <c r="E29" s="3">
        <f t="shared" si="3"/>
        <v>78307.941660806377</v>
      </c>
      <c r="F29" s="3">
        <f>SUM(C29:E29)</f>
        <v>254692.35416666663</v>
      </c>
      <c r="G29" s="3"/>
    </row>
    <row r="30" spans="2:7" x14ac:dyDescent="0.25">
      <c r="B30" t="s">
        <v>70</v>
      </c>
      <c r="C30" s="3">
        <f>Tabla1[[#This Row],[  ]]*C10</f>
        <v>2491.6666666666661</v>
      </c>
      <c r="D30" s="3">
        <f>Tabla1[[#This Row],[  ]]*D10</f>
        <v>2214.8148148148143</v>
      </c>
      <c r="E30" s="3">
        <f>Tabla1[[#This Row],[  ]]*E10</f>
        <v>2768.5185185185182</v>
      </c>
      <c r="F30" s="3">
        <f>2*250*13*1.15</f>
        <v>7474.9999999999991</v>
      </c>
      <c r="G30" s="3"/>
    </row>
    <row r="31" spans="2:7" x14ac:dyDescent="0.25">
      <c r="B31" t="s">
        <v>71</v>
      </c>
      <c r="C31" s="3">
        <f>Tabla1[[#This Row],[  ]]*C10</f>
        <v>333.33333333333331</v>
      </c>
      <c r="D31" s="3">
        <f>Tabla1[[#This Row],[  ]]*D10</f>
        <v>296.2962962962963</v>
      </c>
      <c r="E31" s="3">
        <f>Tabla1[[#This Row],[  ]]*E10</f>
        <v>370.37037037037032</v>
      </c>
      <c r="F31" s="3">
        <v>1000</v>
      </c>
    </row>
    <row r="32" spans="2:7" x14ac:dyDescent="0.25">
      <c r="B32" t="s">
        <v>52</v>
      </c>
      <c r="C32" s="3">
        <f>F32*C10</f>
        <v>2825</v>
      </c>
      <c r="D32" s="3">
        <f>D10*F32</f>
        <v>2511.1111111111109</v>
      </c>
      <c r="E32" s="3">
        <f>E10*F32</f>
        <v>3138.8888888888887</v>
      </c>
      <c r="F32" s="3">
        <f>SUM(F30:F31)</f>
        <v>8475</v>
      </c>
    </row>
    <row r="33" spans="2:6" x14ac:dyDescent="0.25">
      <c r="B33" t="s">
        <v>72</v>
      </c>
      <c r="C33" s="3">
        <f>C10*Tabla1[[#This Row],[  ]]</f>
        <v>87722.451388888876</v>
      </c>
      <c r="D33" s="3">
        <f>D10*Tabla1[[#This Row],[  ]]</f>
        <v>77975.512345679002</v>
      </c>
      <c r="E33" s="3">
        <f>E10*Tabla1[[#This Row],[  ]]</f>
        <v>97469.390432098749</v>
      </c>
      <c r="F33" s="3">
        <f>F32+F29</f>
        <v>263167.35416666663</v>
      </c>
    </row>
    <row r="34" spans="2:6" x14ac:dyDescent="0.25">
      <c r="B34" t="s">
        <v>35</v>
      </c>
      <c r="C34" s="3"/>
      <c r="D34" s="3"/>
      <c r="E34" s="3"/>
      <c r="F34" s="3">
        <f>4000*13*1.15</f>
        <v>59799.999999999993</v>
      </c>
    </row>
    <row r="35" spans="2:6" x14ac:dyDescent="0.25">
      <c r="B35" t="s">
        <v>67</v>
      </c>
      <c r="C35" s="3"/>
      <c r="D35" s="3"/>
      <c r="E35" s="3"/>
      <c r="F35" s="3">
        <f>500*12</f>
        <v>6000</v>
      </c>
    </row>
    <row r="36" spans="2:6" x14ac:dyDescent="0.25">
      <c r="B36" t="s">
        <v>36</v>
      </c>
      <c r="C36" s="3"/>
      <c r="D36" s="3"/>
      <c r="E36" s="3"/>
      <c r="F36" s="3">
        <f>200*12</f>
        <v>2400</v>
      </c>
    </row>
    <row r="37" spans="2:6" x14ac:dyDescent="0.25">
      <c r="B37" t="s">
        <v>37</v>
      </c>
      <c r="C37" s="3"/>
      <c r="D37" s="3"/>
      <c r="E37" s="3"/>
      <c r="F37" s="3">
        <f>200*12</f>
        <v>2400</v>
      </c>
    </row>
    <row r="38" spans="2:6" x14ac:dyDescent="0.25">
      <c r="B38" t="s">
        <v>38</v>
      </c>
      <c r="C38" s="3"/>
      <c r="D38" s="3"/>
      <c r="E38" s="3"/>
      <c r="F38" s="3">
        <f>100*12</f>
        <v>1200</v>
      </c>
    </row>
    <row r="39" spans="2:6" x14ac:dyDescent="0.25">
      <c r="B39" t="s">
        <v>53</v>
      </c>
      <c r="C39" s="3">
        <f>C10*F39</f>
        <v>23933.333333333332</v>
      </c>
      <c r="D39" s="3">
        <f>D10*F39</f>
        <v>21274.074074074073</v>
      </c>
      <c r="E39" s="3">
        <f>E10*F39</f>
        <v>26592.592592592591</v>
      </c>
      <c r="F39" s="3">
        <f>SUM(F34:F38)</f>
        <v>71800</v>
      </c>
    </row>
    <row r="40" spans="2:6" x14ac:dyDescent="0.25">
      <c r="B40" t="s">
        <v>69</v>
      </c>
      <c r="C40" s="3"/>
      <c r="D40" s="3"/>
      <c r="E40" s="3"/>
      <c r="F40" s="3">
        <f>2000*12</f>
        <v>24000</v>
      </c>
    </row>
    <row r="41" spans="2:6" x14ac:dyDescent="0.25">
      <c r="B41" t="s">
        <v>68</v>
      </c>
      <c r="C41" s="3"/>
      <c r="D41" s="3"/>
      <c r="E41" s="3"/>
      <c r="F41" s="3">
        <f>1000*12</f>
        <v>12000</v>
      </c>
    </row>
    <row r="42" spans="2:6" x14ac:dyDescent="0.25">
      <c r="B42" t="s">
        <v>39</v>
      </c>
      <c r="C42" s="3">
        <f>C10*F42</f>
        <v>12000</v>
      </c>
      <c r="D42" s="3">
        <f>D10*F42</f>
        <v>10666.666666666666</v>
      </c>
      <c r="E42" s="3">
        <f>E10*F42</f>
        <v>13333.333333333332</v>
      </c>
      <c r="F42" s="3">
        <f>SUM(F40:F41)</f>
        <v>36000</v>
      </c>
    </row>
    <row r="43" spans="2:6" x14ac:dyDescent="0.25">
      <c r="B43" t="s">
        <v>40</v>
      </c>
      <c r="C43" s="3">
        <f>C10*F43</f>
        <v>1666.6666666666665</v>
      </c>
      <c r="D43" s="3">
        <f>D10*F43</f>
        <v>1481.4814814814813</v>
      </c>
      <c r="E43" s="3">
        <f>E10*F43</f>
        <v>1851.8518518518517</v>
      </c>
      <c r="F43" s="3">
        <v>5000</v>
      </c>
    </row>
    <row r="44" spans="2:6" x14ac:dyDescent="0.25">
      <c r="B44" t="s">
        <v>41</v>
      </c>
      <c r="C44" s="3">
        <f>C10*F44</f>
        <v>3333.333333333333</v>
      </c>
      <c r="D44" s="3">
        <f>D10*F44</f>
        <v>2962.9629629629626</v>
      </c>
      <c r="E44" s="3">
        <f>E10*F44</f>
        <v>3703.7037037037035</v>
      </c>
      <c r="F44" s="3">
        <v>10000</v>
      </c>
    </row>
    <row r="45" spans="2:6" x14ac:dyDescent="0.25">
      <c r="B45" t="s">
        <v>42</v>
      </c>
      <c r="C45" s="3">
        <f>C32+SUM(C39:C44)</f>
        <v>43758.333333333328</v>
      </c>
      <c r="D45" s="3">
        <f>D32+SUM(D39:D44)</f>
        <v>38896.296296296292</v>
      </c>
      <c r="E45" s="3">
        <f>E32+SUM(E39:E44)</f>
        <v>48620.370370370372</v>
      </c>
      <c r="F45" s="3"/>
    </row>
    <row r="46" spans="2:6" x14ac:dyDescent="0.25">
      <c r="B46" t="s">
        <v>50</v>
      </c>
      <c r="C46" s="3">
        <f>C45+C26</f>
        <v>45751.666666666664</v>
      </c>
      <c r="D46" s="3">
        <f>D45+D26</f>
        <v>40668.148148148146</v>
      </c>
      <c r="E46" s="3">
        <f>E45+E26</f>
        <v>50835.18518518519</v>
      </c>
      <c r="F46" s="3">
        <f>SUM(C46:E46)</f>
        <v>137255</v>
      </c>
    </row>
    <row r="47" spans="2:6" x14ac:dyDescent="0.25">
      <c r="B47" t="s">
        <v>43</v>
      </c>
      <c r="C47" s="3">
        <f>C29+C45</f>
        <v>138680.60126582277</v>
      </c>
      <c r="D47" s="3">
        <f>D29+D45</f>
        <v>120358.44086966713</v>
      </c>
      <c r="E47" s="3">
        <f>E29+E45</f>
        <v>126928.31203117676</v>
      </c>
      <c r="F47" s="3"/>
    </row>
    <row r="48" spans="2:6" x14ac:dyDescent="0.25">
      <c r="B48" t="s">
        <v>49</v>
      </c>
      <c r="C48" s="3">
        <f>C47/C13</f>
        <v>138.68060126582276</v>
      </c>
      <c r="D48" s="3">
        <f>D47/D13</f>
        <v>114.62708654254013</v>
      </c>
      <c r="E48" s="3">
        <f>E47/E13</f>
        <v>62.526262084323527</v>
      </c>
      <c r="F48" s="3"/>
    </row>
    <row r="49" spans="2:6" x14ac:dyDescent="0.25">
      <c r="B49" t="s">
        <v>47</v>
      </c>
      <c r="C49" s="3">
        <f>C29/C13</f>
        <v>94.922267932489447</v>
      </c>
      <c r="D49" s="3">
        <f>D29/D13</f>
        <v>77.582994831781747</v>
      </c>
      <c r="E49" s="3">
        <f>E29/E13</f>
        <v>38.575340719609052</v>
      </c>
      <c r="F49" s="3"/>
    </row>
    <row r="50" spans="2:6" x14ac:dyDescent="0.25">
      <c r="B50" t="s">
        <v>44</v>
      </c>
      <c r="C50" s="3">
        <f>C8-C49</f>
        <v>85.077732067510553</v>
      </c>
      <c r="D50" s="3">
        <f>D8-D49</f>
        <v>82.417005168218253</v>
      </c>
      <c r="E50" s="3">
        <f>E8-E49</f>
        <v>61.424659280390948</v>
      </c>
      <c r="F50" s="3"/>
    </row>
    <row r="51" spans="2:6" x14ac:dyDescent="0.25">
      <c r="B51" t="s">
        <v>33</v>
      </c>
      <c r="C51" s="3">
        <f>C29-C26</f>
        <v>92928.934599156113</v>
      </c>
      <c r="D51" s="3">
        <f>D29-D26</f>
        <v>79690.292721518985</v>
      </c>
      <c r="E51" s="3">
        <f>E29-E26</f>
        <v>76093.126845991559</v>
      </c>
      <c r="F51" s="3"/>
    </row>
    <row r="52" spans="2:6" x14ac:dyDescent="0.25">
      <c r="B52" t="s">
        <v>48</v>
      </c>
      <c r="C52" s="3">
        <f>C51/C13</f>
        <v>92.928934599156108</v>
      </c>
      <c r="D52" s="3">
        <f>D51/D13</f>
        <v>75.895516877637135</v>
      </c>
      <c r="E52" s="3">
        <f>E51/E13</f>
        <v>37.484298938912097</v>
      </c>
      <c r="F52" s="3"/>
    </row>
    <row r="53" spans="2:6" x14ac:dyDescent="0.25">
      <c r="B53" t="s">
        <v>45</v>
      </c>
      <c r="C53" s="3">
        <f t="shared" ref="C53:D53" si="4">C45</f>
        <v>43758.333333333328</v>
      </c>
      <c r="D53" s="3">
        <f t="shared" si="4"/>
        <v>38896.296296296292</v>
      </c>
      <c r="E53" s="3">
        <f>E45</f>
        <v>48620.370370370372</v>
      </c>
      <c r="F53" s="3"/>
    </row>
    <row r="54" spans="2:6" x14ac:dyDescent="0.25">
      <c r="B54" t="s">
        <v>46</v>
      </c>
      <c r="C54" s="3">
        <f>C46/(C8-C52)</f>
        <v>525.45201389281772</v>
      </c>
      <c r="D54" s="3">
        <f>D46/(D8-D52)</f>
        <v>483.54316724092365</v>
      </c>
      <c r="E54" s="3">
        <f>E46/(E8-E52)</f>
        <v>813.158683696293</v>
      </c>
      <c r="F54" s="3"/>
    </row>
    <row r="56" spans="2:6" x14ac:dyDescent="0.25">
      <c r="B56" s="8" t="s">
        <v>54</v>
      </c>
      <c r="C56" s="8"/>
      <c r="D56" s="8"/>
      <c r="E56" s="8"/>
    </row>
    <row r="57" spans="2:6" x14ac:dyDescent="0.25">
      <c r="B57" s="6" t="s">
        <v>15</v>
      </c>
      <c r="C57" s="6"/>
      <c r="D57" s="6"/>
      <c r="E57" s="6"/>
    </row>
    <row r="58" spans="2:6" x14ac:dyDescent="0.25">
      <c r="B58" s="4" t="s">
        <v>55</v>
      </c>
      <c r="C58" s="4"/>
      <c r="D58" s="4"/>
      <c r="E58" s="4">
        <f>F9</f>
        <v>540000</v>
      </c>
    </row>
    <row r="59" spans="2:6" x14ac:dyDescent="0.25">
      <c r="B59" s="4" t="s">
        <v>56</v>
      </c>
      <c r="C59" s="4"/>
      <c r="D59" s="4"/>
      <c r="E59" s="4">
        <f>F29+F32</f>
        <v>263167.35416666663</v>
      </c>
    </row>
    <row r="60" spans="2:6" x14ac:dyDescent="0.25">
      <c r="B60" s="4" t="s">
        <v>57</v>
      </c>
      <c r="C60" s="4"/>
      <c r="D60" s="4"/>
      <c r="E60" s="4">
        <f>E58-E59</f>
        <v>276832.64583333337</v>
      </c>
    </row>
    <row r="61" spans="2:6" x14ac:dyDescent="0.25">
      <c r="B61" s="7" t="s">
        <v>58</v>
      </c>
      <c r="C61" s="7"/>
      <c r="D61" s="7"/>
      <c r="E61" s="7"/>
    </row>
    <row r="62" spans="2:6" x14ac:dyDescent="0.25">
      <c r="B62" s="4" t="s">
        <v>51</v>
      </c>
      <c r="C62" s="4"/>
      <c r="D62" s="4"/>
      <c r="E62" s="4">
        <f>F39</f>
        <v>71800</v>
      </c>
    </row>
    <row r="63" spans="2:6" x14ac:dyDescent="0.25">
      <c r="B63" s="4" t="s">
        <v>59</v>
      </c>
      <c r="C63" s="4"/>
      <c r="D63" s="4"/>
      <c r="E63" s="4">
        <f>F42</f>
        <v>36000</v>
      </c>
    </row>
    <row r="64" spans="2:6" x14ac:dyDescent="0.25">
      <c r="B64" s="4" t="s">
        <v>60</v>
      </c>
      <c r="C64" s="4"/>
      <c r="D64" s="4"/>
      <c r="E64" s="4">
        <f>F43</f>
        <v>5000</v>
      </c>
    </row>
    <row r="65" spans="2:5" x14ac:dyDescent="0.25">
      <c r="B65" s="4" t="s">
        <v>61</v>
      </c>
      <c r="C65" s="4"/>
      <c r="D65" s="4"/>
      <c r="E65" s="4">
        <f>F44</f>
        <v>10000</v>
      </c>
    </row>
    <row r="66" spans="2:5" x14ac:dyDescent="0.25">
      <c r="B66" s="4" t="s">
        <v>62</v>
      </c>
      <c r="C66" s="4"/>
      <c r="D66" s="4"/>
      <c r="E66" s="4">
        <f>SUM(E62:E65)</f>
        <v>122800</v>
      </c>
    </row>
    <row r="67" spans="2:5" x14ac:dyDescent="0.25">
      <c r="B67" s="4" t="s">
        <v>63</v>
      </c>
      <c r="C67" s="4"/>
      <c r="D67" s="4"/>
      <c r="E67" s="4">
        <f>E60-E66</f>
        <v>154032.64583333337</v>
      </c>
    </row>
    <row r="68" spans="2:5" x14ac:dyDescent="0.25">
      <c r="B68" s="4" t="s">
        <v>24</v>
      </c>
      <c r="C68" s="4"/>
      <c r="D68" s="5">
        <v>0.25</v>
      </c>
      <c r="E68" s="4">
        <f>E67*D68</f>
        <v>38508.161458333343</v>
      </c>
    </row>
    <row r="69" spans="2:5" x14ac:dyDescent="0.25">
      <c r="B69" s="4" t="s">
        <v>64</v>
      </c>
      <c r="C69" s="4"/>
      <c r="D69" s="4"/>
      <c r="E69" s="4">
        <f>E67-E68</f>
        <v>115524.48437500003</v>
      </c>
    </row>
  </sheetData>
  <mergeCells count="8">
    <mergeCell ref="B57:E57"/>
    <mergeCell ref="B61:E61"/>
    <mergeCell ref="B56:E56"/>
    <mergeCell ref="C2:E2"/>
    <mergeCell ref="G2:I2"/>
    <mergeCell ref="C3:E3"/>
    <mergeCell ref="G3:I3"/>
    <mergeCell ref="C4:D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2021-10-21T02:08:17Z</dcterms:created>
  <dcterms:modified xsi:type="dcterms:W3CDTF">2021-10-22T15:46:46Z</dcterms:modified>
</cp:coreProperties>
</file>