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Mo\Desktop\CostosYPres\TAREAS\"/>
    </mc:Choice>
  </mc:AlternateContent>
  <xr:revisionPtr revIDLastSave="0" documentId="13_ncr:1_{D7E6D2B5-F800-4621-9286-7CF388B1879F}" xr6:coauthVersionLast="47" xr6:coauthVersionMax="47" xr10:uidLastSave="{00000000-0000-0000-0000-000000000000}"/>
  <bookViews>
    <workbookView xWindow="-120" yWindow="-120" windowWidth="20730" windowHeight="11160" xr2:uid="{03BD021A-A3CD-4EA4-847B-C67268BE8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47" i="1"/>
  <c r="D47" i="1"/>
  <c r="F16" i="1"/>
  <c r="F18" i="1" s="1"/>
  <c r="F39" i="1"/>
  <c r="F30" i="1"/>
  <c r="F29" i="1"/>
  <c r="F28" i="1"/>
  <c r="E73" i="1"/>
  <c r="E72" i="1"/>
  <c r="E66" i="1"/>
  <c r="E52" i="1"/>
  <c r="D52" i="1"/>
  <c r="F47" i="1"/>
  <c r="D46" i="1"/>
  <c r="E46" i="1"/>
  <c r="F46" i="1"/>
  <c r="D42" i="1"/>
  <c r="E42" i="1"/>
  <c r="F42" i="1"/>
  <c r="E41" i="1"/>
  <c r="D41" i="1"/>
  <c r="F41" i="1"/>
  <c r="F40" i="1"/>
  <c r="E40" i="1"/>
  <c r="D40" i="1"/>
  <c r="G39" i="1"/>
  <c r="E39" i="1" s="1"/>
  <c r="E43" i="1" s="1"/>
  <c r="F35" i="1"/>
  <c r="F34" i="1"/>
  <c r="F33" i="1"/>
  <c r="F32" i="1"/>
  <c r="E25" i="1"/>
  <c r="D25" i="1"/>
  <c r="F24" i="1"/>
  <c r="E24" i="1"/>
  <c r="D24" i="1"/>
  <c r="E22" i="1"/>
  <c r="D22" i="1"/>
  <c r="F14" i="1"/>
  <c r="F13" i="1"/>
  <c r="E11" i="1"/>
  <c r="D11" i="1"/>
  <c r="F10" i="1"/>
  <c r="E10" i="1"/>
  <c r="D10" i="1"/>
  <c r="F19" i="1" l="1"/>
  <c r="F20" i="1" s="1"/>
  <c r="F21" i="1" s="1"/>
  <c r="F17" i="1"/>
  <c r="G18" i="1"/>
  <c r="D39" i="1"/>
  <c r="D43" i="1" s="1"/>
  <c r="F43" i="1" s="1"/>
  <c r="E71" i="1" s="1"/>
  <c r="F31" i="1"/>
  <c r="F36" i="1" s="1"/>
  <c r="E21" i="1" l="1"/>
  <c r="E51" i="1" s="1"/>
  <c r="E53" i="1" s="1"/>
  <c r="E67" i="1"/>
  <c r="E68" i="1" s="1"/>
  <c r="D21" i="1"/>
  <c r="D51" i="1" s="1"/>
  <c r="D53" i="1" s="1"/>
  <c r="E70" i="1"/>
  <c r="E74" i="1" s="1"/>
  <c r="E75" i="1" s="1"/>
  <c r="G36" i="1"/>
  <c r="D60" i="1" l="1"/>
  <c r="D61" i="1" s="1"/>
  <c r="D59" i="1"/>
  <c r="E59" i="1"/>
  <c r="E60" i="1"/>
  <c r="E61" i="1" s="1"/>
  <c r="E36" i="1"/>
  <c r="E49" i="1" s="1"/>
  <c r="D36" i="1"/>
  <c r="D49" i="1" s="1"/>
  <c r="E76" i="1"/>
  <c r="E77" i="1" s="1"/>
  <c r="D55" i="1" l="1"/>
  <c r="D50" i="1"/>
  <c r="E55" i="1"/>
  <c r="E50" i="1"/>
  <c r="E57" i="1" l="1"/>
  <c r="E58" i="1" s="1"/>
  <c r="E62" i="1"/>
  <c r="D62" i="1"/>
  <c r="D57" i="1"/>
  <c r="D58" i="1" s="1"/>
</calcChain>
</file>

<file path=xl/sharedStrings.xml><?xml version="1.0" encoding="utf-8"?>
<sst xmlns="http://schemas.openxmlformats.org/spreadsheetml/2006/main" count="78" uniqueCount="72">
  <si>
    <t>NOMBRE</t>
  </si>
  <si>
    <t>REG</t>
  </si>
  <si>
    <t>MATERIA</t>
  </si>
  <si>
    <t>ELC002-SA</t>
  </si>
  <si>
    <t>Costos y Presupuestos</t>
  </si>
  <si>
    <t>Mogiano Gutierrez Moises Leonardo</t>
  </si>
  <si>
    <t>Costo de Importación</t>
  </si>
  <si>
    <t>Itém</t>
  </si>
  <si>
    <t>Descripcion</t>
  </si>
  <si>
    <t>Heladeras ($us)</t>
  </si>
  <si>
    <t>Cocinas($us)</t>
  </si>
  <si>
    <t>Cantidad</t>
  </si>
  <si>
    <t>Total Compra</t>
  </si>
  <si>
    <t>Precio de Compra</t>
  </si>
  <si>
    <t>Participacion</t>
  </si>
  <si>
    <t>Transporte + Seguro</t>
  </si>
  <si>
    <t>Valor CIF Santa Cruz</t>
  </si>
  <si>
    <t>Impuestos Import  15%</t>
  </si>
  <si>
    <t>Gastos Aduana 3%</t>
  </si>
  <si>
    <t>Valor Total de la Importacion</t>
  </si>
  <si>
    <t>IVA + IT (16%)</t>
  </si>
  <si>
    <t>Valor Total con Impuestos</t>
  </si>
  <si>
    <t>Recuperacion IVA 13%</t>
  </si>
  <si>
    <t xml:space="preserve">Costo Total </t>
  </si>
  <si>
    <t>Costo Total ($us)</t>
  </si>
  <si>
    <t>Costo Total (Bs)</t>
  </si>
  <si>
    <t>Precio Venta</t>
  </si>
  <si>
    <t>Ventas</t>
  </si>
  <si>
    <t>DOCENTE</t>
  </si>
  <si>
    <t>Ing. Juan Manuel Chahín Avichacra</t>
  </si>
  <si>
    <t>SEMESTRE</t>
  </si>
  <si>
    <t>2-2021</t>
  </si>
  <si>
    <t>Costo Administrativo</t>
  </si>
  <si>
    <t>Sueldos Gerente</t>
  </si>
  <si>
    <t>Sueldos Secretaria</t>
  </si>
  <si>
    <t>Sueldos Auxiliar</t>
  </si>
  <si>
    <t>Total</t>
  </si>
  <si>
    <t>Honorarios de Contabilidad</t>
  </si>
  <si>
    <t>Alquileres</t>
  </si>
  <si>
    <t>Materiales de Escritorio</t>
  </si>
  <si>
    <t>Servicios</t>
  </si>
  <si>
    <t>Total Costo Administrativo</t>
  </si>
  <si>
    <t>Sueldo Vendedor</t>
  </si>
  <si>
    <t>Publicidad y Promoción</t>
  </si>
  <si>
    <t>Distribución</t>
  </si>
  <si>
    <t>Costo Financiero</t>
  </si>
  <si>
    <t xml:space="preserve">Depreciación </t>
  </si>
  <si>
    <t>Comision Vendedor 2%</t>
  </si>
  <si>
    <t>Total Costo Comercialización</t>
  </si>
  <si>
    <t>Interesés</t>
  </si>
  <si>
    <t>Costo Comercialización</t>
  </si>
  <si>
    <t>Costo Total (Indirectos)</t>
  </si>
  <si>
    <t>Costo Mercaderia</t>
  </si>
  <si>
    <t>Total Costo Variable</t>
  </si>
  <si>
    <t>Comisión Vendedor 2%</t>
  </si>
  <si>
    <t>Costos Indirectos o Fijos</t>
  </si>
  <si>
    <t>COSTO TOTAL</t>
  </si>
  <si>
    <t>MARGEN DE CONTRIBUCIÓN</t>
  </si>
  <si>
    <t>CANT. DE EQUILIBRIO</t>
  </si>
  <si>
    <t>COSTO TOTAL UNITARIO</t>
  </si>
  <si>
    <t>COSTO DIRECTO UNITARIO</t>
  </si>
  <si>
    <t>COSTO VARIABLE UNITARIO</t>
  </si>
  <si>
    <t>ESTADO DE RESULTADO</t>
  </si>
  <si>
    <t>INGRESOS</t>
  </si>
  <si>
    <t>Ventas Netas</t>
  </si>
  <si>
    <t>EGRESOS</t>
  </si>
  <si>
    <t>Costo Comercial</t>
  </si>
  <si>
    <t>Depreciación</t>
  </si>
  <si>
    <t>Total Egresos</t>
  </si>
  <si>
    <t>Utlidad Bruta</t>
  </si>
  <si>
    <t>Utilidad Neta</t>
  </si>
  <si>
    <t>Impuestos a las 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</si>
</sst>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/>
    <xf numFmtId="4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Border="1"/>
    <xf numFmtId="4" fontId="0" fillId="0" borderId="0" xfId="0" applyNumberFormat="1" applyBorder="1"/>
    <xf numFmtId="0" fontId="2" fillId="0" borderId="1" xfId="0" applyFont="1" applyBorder="1" applyAlignment="1">
      <alignment horizontal="left" vertical="center"/>
    </xf>
    <xf numFmtId="4" fontId="2" fillId="0" borderId="0" xfId="0" applyNumberFormat="1" applyFont="1" applyBorder="1"/>
    <xf numFmtId="4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9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FA45-0084-4FB3-9E7A-4BF4A2D4B1FB}">
  <dimension ref="B2:I77"/>
  <sheetViews>
    <sheetView tabSelected="1" topLeftCell="A11" zoomScale="80" zoomScaleNormal="80" workbookViewId="0">
      <selection activeCell="F46" sqref="F46"/>
    </sheetView>
  </sheetViews>
  <sheetFormatPr baseColWidth="10" defaultRowHeight="15" x14ac:dyDescent="0.25"/>
  <cols>
    <col min="2" max="2" width="10" customWidth="1"/>
    <col min="3" max="3" width="30" customWidth="1"/>
    <col min="4" max="4" width="15" customWidth="1"/>
    <col min="5" max="5" width="13.85546875" customWidth="1"/>
    <col min="6" max="6" width="18" customWidth="1"/>
    <col min="9" max="9" width="12.28515625" customWidth="1"/>
  </cols>
  <sheetData>
    <row r="2" spans="2:9" x14ac:dyDescent="0.25">
      <c r="B2" s="1" t="s">
        <v>0</v>
      </c>
      <c r="C2" s="31" t="s">
        <v>5</v>
      </c>
      <c r="D2" s="31"/>
      <c r="E2" s="31"/>
      <c r="F2" s="1" t="s">
        <v>28</v>
      </c>
      <c r="G2" s="31" t="s">
        <v>29</v>
      </c>
      <c r="H2" s="31"/>
      <c r="I2" s="31"/>
    </row>
    <row r="3" spans="2:9" x14ac:dyDescent="0.25">
      <c r="B3" s="1" t="s">
        <v>1</v>
      </c>
      <c r="C3" s="32">
        <v>218034121</v>
      </c>
      <c r="D3" s="33"/>
      <c r="E3" s="34"/>
      <c r="F3" s="1" t="s">
        <v>30</v>
      </c>
      <c r="G3" s="36" t="s">
        <v>31</v>
      </c>
      <c r="H3" s="36"/>
      <c r="I3" s="36"/>
    </row>
    <row r="4" spans="2:9" x14ac:dyDescent="0.25">
      <c r="B4" s="1" t="s">
        <v>2</v>
      </c>
      <c r="C4" s="31" t="s">
        <v>4</v>
      </c>
      <c r="D4" s="31"/>
      <c r="E4" s="2" t="s">
        <v>3</v>
      </c>
    </row>
    <row r="6" spans="2:9" x14ac:dyDescent="0.25">
      <c r="B6" s="35" t="s">
        <v>6</v>
      </c>
      <c r="C6" s="35"/>
      <c r="D6" s="35"/>
      <c r="E6" s="35"/>
      <c r="F6" s="35"/>
      <c r="G6" s="3"/>
    </row>
    <row r="7" spans="2:9" x14ac:dyDescent="0.25">
      <c r="B7" s="4" t="s">
        <v>7</v>
      </c>
      <c r="C7" s="1" t="s">
        <v>8</v>
      </c>
      <c r="D7" s="1" t="s">
        <v>9</v>
      </c>
      <c r="E7" s="1" t="s">
        <v>10</v>
      </c>
      <c r="F7" s="2"/>
    </row>
    <row r="8" spans="2:9" x14ac:dyDescent="0.25">
      <c r="B8" s="5">
        <v>1</v>
      </c>
      <c r="C8" s="2" t="s">
        <v>11</v>
      </c>
      <c r="D8" s="6">
        <v>1500</v>
      </c>
      <c r="E8" s="6">
        <v>3000</v>
      </c>
      <c r="F8" s="6"/>
    </row>
    <row r="9" spans="2:9" x14ac:dyDescent="0.25">
      <c r="B9" s="5">
        <v>2</v>
      </c>
      <c r="C9" s="2" t="s">
        <v>13</v>
      </c>
      <c r="D9" s="6">
        <v>200</v>
      </c>
      <c r="E9" s="6">
        <v>150</v>
      </c>
      <c r="F9" s="6"/>
    </row>
    <row r="10" spans="2:9" x14ac:dyDescent="0.25">
      <c r="B10" s="5">
        <v>3</v>
      </c>
      <c r="C10" s="2" t="s">
        <v>12</v>
      </c>
      <c r="D10" s="6">
        <f>D8*D9</f>
        <v>300000</v>
      </c>
      <c r="E10" s="6">
        <f>E8*E9</f>
        <v>450000</v>
      </c>
      <c r="F10" s="6">
        <f>E10+D10</f>
        <v>750000</v>
      </c>
    </row>
    <row r="11" spans="2:9" x14ac:dyDescent="0.25">
      <c r="B11" s="5">
        <v>4</v>
      </c>
      <c r="C11" s="2" t="s">
        <v>14</v>
      </c>
      <c r="D11" s="6">
        <f>D10/F10</f>
        <v>0.4</v>
      </c>
      <c r="E11" s="6">
        <f>E10/F10</f>
        <v>0.6</v>
      </c>
      <c r="F11" s="6"/>
    </row>
    <row r="12" spans="2:9" x14ac:dyDescent="0.25">
      <c r="B12" s="5">
        <v>5</v>
      </c>
      <c r="C12" s="2" t="s">
        <v>15</v>
      </c>
      <c r="D12" s="6"/>
      <c r="E12" s="6"/>
      <c r="F12" s="6">
        <v>5500</v>
      </c>
    </row>
    <row r="13" spans="2:9" x14ac:dyDescent="0.25">
      <c r="B13" s="5">
        <v>6</v>
      </c>
      <c r="C13" s="2" t="s">
        <v>16</v>
      </c>
      <c r="D13" s="6"/>
      <c r="E13" s="6"/>
      <c r="F13" s="6">
        <f>F10+F12</f>
        <v>755500</v>
      </c>
    </row>
    <row r="14" spans="2:9" x14ac:dyDescent="0.25">
      <c r="B14" s="5">
        <v>7</v>
      </c>
      <c r="C14" s="2" t="s">
        <v>17</v>
      </c>
      <c r="D14" s="6"/>
      <c r="E14" s="6"/>
      <c r="F14" s="6">
        <f>F13*0.15</f>
        <v>113325</v>
      </c>
    </row>
    <row r="15" spans="2:9" x14ac:dyDescent="0.25">
      <c r="B15" s="5">
        <v>8</v>
      </c>
      <c r="C15" s="2" t="s">
        <v>18</v>
      </c>
      <c r="D15" s="6"/>
      <c r="E15" s="6"/>
      <c r="F15" s="6">
        <f>F13*0.03</f>
        <v>22665</v>
      </c>
    </row>
    <row r="16" spans="2:9" x14ac:dyDescent="0.25">
      <c r="B16" s="5">
        <v>9</v>
      </c>
      <c r="C16" s="2" t="s">
        <v>19</v>
      </c>
      <c r="D16" s="6"/>
      <c r="E16" s="6"/>
      <c r="F16" s="6">
        <f>SUM(F13:F15)</f>
        <v>891490</v>
      </c>
    </row>
    <row r="17" spans="2:8" x14ac:dyDescent="0.25">
      <c r="B17" s="5">
        <v>10</v>
      </c>
      <c r="C17" s="2" t="s">
        <v>20</v>
      </c>
      <c r="D17" s="6"/>
      <c r="E17" s="6"/>
      <c r="F17" s="6">
        <f>F18-F16</f>
        <v>169807.61904761917</v>
      </c>
    </row>
    <row r="18" spans="2:8" x14ac:dyDescent="0.25">
      <c r="B18" s="5">
        <v>11</v>
      </c>
      <c r="C18" s="2" t="s">
        <v>21</v>
      </c>
      <c r="D18" s="6"/>
      <c r="E18" s="6"/>
      <c r="F18" s="6">
        <f>F16/(1-0.16)</f>
        <v>1061297.6190476192</v>
      </c>
      <c r="G18" s="7">
        <f>F18*0.16</f>
        <v>169807.61904761908</v>
      </c>
    </row>
    <row r="19" spans="2:8" x14ac:dyDescent="0.25">
      <c r="B19" s="5">
        <v>12</v>
      </c>
      <c r="C19" s="2" t="s">
        <v>22</v>
      </c>
      <c r="D19" s="6"/>
      <c r="E19" s="6"/>
      <c r="F19" s="6">
        <f>F18*0.13</f>
        <v>137968.6904761905</v>
      </c>
    </row>
    <row r="20" spans="2:8" x14ac:dyDescent="0.25">
      <c r="B20" s="5">
        <v>13</v>
      </c>
      <c r="C20" s="2" t="s">
        <v>24</v>
      </c>
      <c r="D20" s="6"/>
      <c r="E20" s="6"/>
      <c r="F20" s="6">
        <f>F18-F19</f>
        <v>923328.92857142864</v>
      </c>
    </row>
    <row r="21" spans="2:8" x14ac:dyDescent="0.25">
      <c r="B21" s="5">
        <v>14</v>
      </c>
      <c r="C21" s="2" t="s">
        <v>25</v>
      </c>
      <c r="D21" s="6">
        <f>D11*F21</f>
        <v>2570547.7371428572</v>
      </c>
      <c r="E21" s="6">
        <f>E11*F21</f>
        <v>3855821.6057142857</v>
      </c>
      <c r="F21" s="6">
        <f>F20*6.96</f>
        <v>6426369.3428571429</v>
      </c>
    </row>
    <row r="22" spans="2:8" x14ac:dyDescent="0.25">
      <c r="B22" s="5">
        <v>15</v>
      </c>
      <c r="C22" s="8" t="s">
        <v>11</v>
      </c>
      <c r="D22" s="6">
        <f>D8</f>
        <v>1500</v>
      </c>
      <c r="E22" s="6">
        <f>E8</f>
        <v>3000</v>
      </c>
      <c r="F22" s="6"/>
      <c r="G22" s="7"/>
      <c r="H22" s="7"/>
    </row>
    <row r="23" spans="2:8" x14ac:dyDescent="0.25">
      <c r="B23" s="5">
        <v>16</v>
      </c>
      <c r="C23" s="2" t="s">
        <v>26</v>
      </c>
      <c r="D23" s="6">
        <v>3150</v>
      </c>
      <c r="E23" s="6">
        <v>2200</v>
      </c>
      <c r="F23" s="6"/>
      <c r="G23" s="7"/>
      <c r="H23" s="7"/>
    </row>
    <row r="24" spans="2:8" x14ac:dyDescent="0.25">
      <c r="B24" s="5">
        <v>17</v>
      </c>
      <c r="C24" s="2" t="s">
        <v>27</v>
      </c>
      <c r="D24" s="6">
        <f>D22*D23</f>
        <v>4725000</v>
      </c>
      <c r="E24" s="6">
        <f>E22*E23</f>
        <v>6600000</v>
      </c>
      <c r="F24" s="6">
        <f>E24+D24</f>
        <v>11325000</v>
      </c>
      <c r="G24" s="7"/>
      <c r="H24" s="7"/>
    </row>
    <row r="25" spans="2:8" x14ac:dyDescent="0.25">
      <c r="B25" s="5">
        <v>18</v>
      </c>
      <c r="C25" s="2" t="s">
        <v>14</v>
      </c>
      <c r="D25" s="6">
        <f>D24/F24</f>
        <v>0.41721854304635764</v>
      </c>
      <c r="E25" s="6">
        <f>E24/F24</f>
        <v>0.58278145695364236</v>
      </c>
      <c r="F25" s="6"/>
      <c r="G25" s="7"/>
      <c r="H25" s="7"/>
    </row>
    <row r="26" spans="2:8" x14ac:dyDescent="0.25">
      <c r="D26" s="7"/>
      <c r="E26" s="7"/>
      <c r="F26" s="7"/>
      <c r="G26" s="7"/>
      <c r="H26" s="7"/>
    </row>
    <row r="27" spans="2:8" x14ac:dyDescent="0.25">
      <c r="B27" s="29" t="s">
        <v>32</v>
      </c>
      <c r="C27" s="29"/>
      <c r="D27" s="29"/>
      <c r="E27" s="29"/>
      <c r="F27" s="29"/>
    </row>
    <row r="28" spans="2:8" x14ac:dyDescent="0.25">
      <c r="B28" s="30">
        <v>19</v>
      </c>
      <c r="C28" s="9" t="s">
        <v>33</v>
      </c>
      <c r="D28" s="10"/>
      <c r="E28" s="10"/>
      <c r="F28" s="10">
        <f>12000*12*1.15+12000*1.15</f>
        <v>179400</v>
      </c>
    </row>
    <row r="29" spans="2:8" x14ac:dyDescent="0.25">
      <c r="B29" s="30"/>
      <c r="C29" s="9" t="s">
        <v>34</v>
      </c>
      <c r="D29" s="10"/>
      <c r="E29" s="10"/>
      <c r="F29" s="11">
        <f>5000*12*1.15+5000*1.15</f>
        <v>74750</v>
      </c>
    </row>
    <row r="30" spans="2:8" x14ac:dyDescent="0.25">
      <c r="B30" s="30"/>
      <c r="C30" s="9" t="s">
        <v>35</v>
      </c>
      <c r="D30" s="10"/>
      <c r="E30" s="10"/>
      <c r="F30" s="11">
        <f>3000*12*1.15+3000*1.15</f>
        <v>44850</v>
      </c>
    </row>
    <row r="31" spans="2:8" x14ac:dyDescent="0.25">
      <c r="B31" s="5">
        <v>20</v>
      </c>
      <c r="C31" s="9" t="s">
        <v>36</v>
      </c>
      <c r="D31" s="10"/>
      <c r="E31" s="10"/>
      <c r="F31" s="10">
        <f>SUM(F28:F30)</f>
        <v>299000</v>
      </c>
    </row>
    <row r="32" spans="2:8" x14ac:dyDescent="0.25">
      <c r="B32" s="5">
        <v>21</v>
      </c>
      <c r="C32" s="9" t="s">
        <v>37</v>
      </c>
      <c r="D32" s="10"/>
      <c r="E32" s="10"/>
      <c r="F32" s="10">
        <f>7000*12</f>
        <v>84000</v>
      </c>
    </row>
    <row r="33" spans="2:7" x14ac:dyDescent="0.25">
      <c r="B33" s="5">
        <v>22</v>
      </c>
      <c r="C33" s="9" t="s">
        <v>38</v>
      </c>
      <c r="D33" s="10"/>
      <c r="E33" s="10"/>
      <c r="F33" s="10">
        <f>10000*12</f>
        <v>120000</v>
      </c>
    </row>
    <row r="34" spans="2:7" x14ac:dyDescent="0.25">
      <c r="B34" s="5">
        <v>23</v>
      </c>
      <c r="C34" s="9" t="s">
        <v>39</v>
      </c>
      <c r="D34" s="10"/>
      <c r="E34" s="10"/>
      <c r="F34" s="10">
        <f>2000*12</f>
        <v>24000</v>
      </c>
    </row>
    <row r="35" spans="2:7" x14ac:dyDescent="0.25">
      <c r="B35" s="5">
        <v>24</v>
      </c>
      <c r="C35" s="9" t="s">
        <v>40</v>
      </c>
      <c r="D35" s="10"/>
      <c r="E35" s="10"/>
      <c r="F35" s="10">
        <f>3000*12</f>
        <v>36000</v>
      </c>
    </row>
    <row r="36" spans="2:7" x14ac:dyDescent="0.25">
      <c r="B36" s="5">
        <v>25</v>
      </c>
      <c r="C36" s="9" t="s">
        <v>41</v>
      </c>
      <c r="D36" s="10">
        <f>D25*G36</f>
        <v>93957.615894039744</v>
      </c>
      <c r="E36" s="10">
        <f>E25*G36</f>
        <v>131242.38410596026</v>
      </c>
      <c r="F36" s="10">
        <f>SUM(F31:F35)</f>
        <v>563000</v>
      </c>
      <c r="G36" s="7">
        <f>F36*0.4</f>
        <v>225200</v>
      </c>
    </row>
    <row r="38" spans="2:7" x14ac:dyDescent="0.25">
      <c r="B38" s="20" t="s">
        <v>50</v>
      </c>
      <c r="C38" s="20"/>
      <c r="D38" s="20"/>
      <c r="E38" s="20"/>
      <c r="F38" s="20"/>
    </row>
    <row r="39" spans="2:7" x14ac:dyDescent="0.25">
      <c r="B39" s="5">
        <v>26</v>
      </c>
      <c r="C39" s="9" t="s">
        <v>42</v>
      </c>
      <c r="D39" s="10">
        <f>D25*G39</f>
        <v>9217.1920529801337</v>
      </c>
      <c r="E39" s="10">
        <f>E25*G39</f>
        <v>12874.807947019866</v>
      </c>
      <c r="F39" s="11">
        <f>2*2100*12+2*2100*1.15</f>
        <v>55230</v>
      </c>
      <c r="G39" s="7">
        <f>F39*0.4</f>
        <v>22092</v>
      </c>
    </row>
    <row r="40" spans="2:7" x14ac:dyDescent="0.25">
      <c r="B40" s="5">
        <v>27</v>
      </c>
      <c r="C40" s="9" t="s">
        <v>47</v>
      </c>
      <c r="D40" s="10">
        <f>D24*0.02</f>
        <v>94500</v>
      </c>
      <c r="E40" s="10">
        <f>E24*0.02</f>
        <v>132000</v>
      </c>
      <c r="F40" s="10">
        <f>D40+E40</f>
        <v>226500</v>
      </c>
    </row>
    <row r="41" spans="2:7" x14ac:dyDescent="0.25">
      <c r="B41" s="5">
        <v>28</v>
      </c>
      <c r="C41" s="12" t="s">
        <v>43</v>
      </c>
      <c r="D41" s="10">
        <f>F41*D25</f>
        <v>60079.470198675503</v>
      </c>
      <c r="E41" s="10">
        <f>E25*F41</f>
        <v>83920.529801324505</v>
      </c>
      <c r="F41" s="10">
        <f>12000*12</f>
        <v>144000</v>
      </c>
    </row>
    <row r="42" spans="2:7" x14ac:dyDescent="0.25">
      <c r="B42" s="5">
        <v>29</v>
      </c>
      <c r="C42" s="12" t="s">
        <v>44</v>
      </c>
      <c r="D42" s="10">
        <f>F42*D25</f>
        <v>15019.867549668876</v>
      </c>
      <c r="E42" s="10">
        <f>F42*E25</f>
        <v>20980.132450331126</v>
      </c>
      <c r="F42" s="10">
        <f>3000*12</f>
        <v>36000</v>
      </c>
    </row>
    <row r="43" spans="2:7" x14ac:dyDescent="0.25">
      <c r="B43" s="5">
        <v>30</v>
      </c>
      <c r="C43" s="12" t="s">
        <v>48</v>
      </c>
      <c r="D43" s="10">
        <f>SUM(D39:D42)</f>
        <v>178816.5298013245</v>
      </c>
      <c r="E43" s="10">
        <f>SUM(E39:E42)</f>
        <v>249775.4701986755</v>
      </c>
      <c r="F43" s="10">
        <f>E43+D43</f>
        <v>428592</v>
      </c>
    </row>
    <row r="45" spans="2:7" x14ac:dyDescent="0.25">
      <c r="B45" s="21" t="s">
        <v>45</v>
      </c>
      <c r="C45" s="22"/>
      <c r="D45" s="22"/>
      <c r="E45" s="22"/>
      <c r="F45" s="23"/>
    </row>
    <row r="46" spans="2:7" x14ac:dyDescent="0.25">
      <c r="B46" s="5">
        <v>31</v>
      </c>
      <c r="C46" s="12" t="s">
        <v>49</v>
      </c>
      <c r="D46" s="10">
        <f>F46*D25</f>
        <v>139384.37086092716</v>
      </c>
      <c r="E46" s="10">
        <f>F46*E25</f>
        <v>194695.62913907284</v>
      </c>
      <c r="F46" s="10">
        <f>400000*6.96*0.12</f>
        <v>334080</v>
      </c>
    </row>
    <row r="47" spans="2:7" x14ac:dyDescent="0.25">
      <c r="B47" s="5">
        <v>32</v>
      </c>
      <c r="C47" s="12" t="s">
        <v>46</v>
      </c>
      <c r="D47" s="6">
        <f>F47*D25</f>
        <v>16688.741721854305</v>
      </c>
      <c r="E47" s="6">
        <f>F47*E25</f>
        <v>23311.258278145695</v>
      </c>
      <c r="F47" s="6">
        <f>100000*0.4</f>
        <v>40000</v>
      </c>
    </row>
    <row r="49" spans="2:6" x14ac:dyDescent="0.25">
      <c r="C49" s="13" t="s">
        <v>51</v>
      </c>
      <c r="D49" s="16">
        <f>D36+D43+D46+D47</f>
        <v>428847.25827814569</v>
      </c>
      <c r="E49" s="16">
        <f>E36+E43+E46+E47</f>
        <v>599024.74172185431</v>
      </c>
      <c r="F49" s="7"/>
    </row>
    <row r="50" spans="2:6" x14ac:dyDescent="0.25">
      <c r="C50" s="13" t="s">
        <v>23</v>
      </c>
      <c r="D50" s="16">
        <f>D21+D49</f>
        <v>2999394.9954210026</v>
      </c>
      <c r="E50" s="16">
        <f>E21+E49</f>
        <v>4454846.3474361403</v>
      </c>
      <c r="F50" s="7"/>
    </row>
    <row r="51" spans="2:6" x14ac:dyDescent="0.25">
      <c r="B51" s="5">
        <v>14</v>
      </c>
      <c r="C51" s="12" t="s">
        <v>52</v>
      </c>
      <c r="D51" s="6">
        <f>D21</f>
        <v>2570547.7371428572</v>
      </c>
      <c r="E51" s="6">
        <f>E21</f>
        <v>3855821.6057142857</v>
      </c>
      <c r="F51" s="7"/>
    </row>
    <row r="52" spans="2:6" x14ac:dyDescent="0.25">
      <c r="B52" s="5">
        <v>27</v>
      </c>
      <c r="C52" s="12" t="s">
        <v>54</v>
      </c>
      <c r="D52" s="6">
        <f>D40</f>
        <v>94500</v>
      </c>
      <c r="E52" s="6">
        <f>E40</f>
        <v>132000</v>
      </c>
      <c r="F52" s="7"/>
    </row>
    <row r="53" spans="2:6" x14ac:dyDescent="0.25">
      <c r="C53" s="13" t="s">
        <v>53</v>
      </c>
      <c r="D53" s="14">
        <f>D51+D52</f>
        <v>2665047.7371428572</v>
      </c>
      <c r="E53" s="14">
        <f>E51+E52</f>
        <v>3987821.6057142857</v>
      </c>
      <c r="F53" s="7"/>
    </row>
    <row r="54" spans="2:6" x14ac:dyDescent="0.25">
      <c r="D54" s="7"/>
      <c r="E54" s="7"/>
      <c r="F54" s="7"/>
    </row>
    <row r="55" spans="2:6" x14ac:dyDescent="0.25">
      <c r="C55" s="12" t="s">
        <v>55</v>
      </c>
      <c r="D55" s="6">
        <f>D49-D40</f>
        <v>334347.25827814569</v>
      </c>
      <c r="E55" s="6">
        <f>E49-E40</f>
        <v>467024.74172185431</v>
      </c>
      <c r="F55" s="7"/>
    </row>
    <row r="56" spans="2:6" x14ac:dyDescent="0.25">
      <c r="D56" s="7"/>
      <c r="E56" s="7"/>
      <c r="F56" s="7"/>
    </row>
    <row r="57" spans="2:6" x14ac:dyDescent="0.25">
      <c r="C57" s="15" t="s">
        <v>56</v>
      </c>
      <c r="D57" s="17">
        <f>D55+D53</f>
        <v>2999394.9954210026</v>
      </c>
      <c r="E57" s="17">
        <f>E55+E53</f>
        <v>4454846.3474361403</v>
      </c>
      <c r="F57" s="7"/>
    </row>
    <row r="58" spans="2:6" x14ac:dyDescent="0.25">
      <c r="C58" s="15" t="s">
        <v>59</v>
      </c>
      <c r="D58" s="17">
        <f>D57/D22</f>
        <v>1999.5966636140017</v>
      </c>
      <c r="E58" s="17">
        <f>E57/E22</f>
        <v>1484.9487824787134</v>
      </c>
      <c r="F58" s="7"/>
    </row>
    <row r="59" spans="2:6" x14ac:dyDescent="0.25">
      <c r="C59" s="15" t="s">
        <v>61</v>
      </c>
      <c r="D59" s="17">
        <f>D53/D22</f>
        <v>1776.6984914285715</v>
      </c>
      <c r="E59" s="17">
        <f>E53/E22</f>
        <v>1329.2738685714287</v>
      </c>
      <c r="F59" s="7"/>
    </row>
    <row r="60" spans="2:6" x14ac:dyDescent="0.25">
      <c r="C60" s="15" t="s">
        <v>60</v>
      </c>
      <c r="D60" s="17">
        <f>D53/D22</f>
        <v>1776.6984914285715</v>
      </c>
      <c r="E60" s="17">
        <f>E53/E22</f>
        <v>1329.2738685714287</v>
      </c>
      <c r="F60" s="7"/>
    </row>
    <row r="61" spans="2:6" x14ac:dyDescent="0.25">
      <c r="C61" s="15" t="s">
        <v>57</v>
      </c>
      <c r="D61" s="17">
        <f>D23-D60</f>
        <v>1373.3015085714285</v>
      </c>
      <c r="E61" s="17">
        <f>E23-E60</f>
        <v>870.72613142857131</v>
      </c>
      <c r="F61" s="7"/>
    </row>
    <row r="62" spans="2:6" x14ac:dyDescent="0.25">
      <c r="C62" s="15" t="s">
        <v>58</v>
      </c>
      <c r="D62" s="18">
        <f>D55/D61</f>
        <v>243.46238330863636</v>
      </c>
      <c r="E62" s="18">
        <f>E55/E61</f>
        <v>536.36238176936581</v>
      </c>
      <c r="F62" s="7"/>
    </row>
    <row r="64" spans="2:6" x14ac:dyDescent="0.25">
      <c r="C64" s="24" t="s">
        <v>62</v>
      </c>
      <c r="D64" s="24"/>
      <c r="E64" s="24"/>
    </row>
    <row r="65" spans="3:6" x14ac:dyDescent="0.25">
      <c r="C65" s="25" t="s">
        <v>63</v>
      </c>
      <c r="D65" s="25"/>
      <c r="E65" s="25"/>
    </row>
    <row r="66" spans="3:6" x14ac:dyDescent="0.25">
      <c r="C66" s="12" t="s">
        <v>27</v>
      </c>
      <c r="D66" s="2"/>
      <c r="E66" s="6">
        <f>F24</f>
        <v>11325000</v>
      </c>
    </row>
    <row r="67" spans="3:6" x14ac:dyDescent="0.25">
      <c r="C67" s="12" t="s">
        <v>52</v>
      </c>
      <c r="D67" s="2"/>
      <c r="E67" s="6">
        <f>F21</f>
        <v>6426369.3428571429</v>
      </c>
    </row>
    <row r="68" spans="3:6" x14ac:dyDescent="0.25">
      <c r="C68" s="12" t="s">
        <v>64</v>
      </c>
      <c r="D68" s="2"/>
      <c r="E68" s="6">
        <f>E66-E67</f>
        <v>4898630.6571428571</v>
      </c>
    </row>
    <row r="69" spans="3:6" x14ac:dyDescent="0.25">
      <c r="C69" s="26" t="s">
        <v>65</v>
      </c>
      <c r="D69" s="27"/>
      <c r="E69" s="28"/>
    </row>
    <row r="70" spans="3:6" x14ac:dyDescent="0.25">
      <c r="C70" s="12" t="s">
        <v>32</v>
      </c>
      <c r="D70" s="2"/>
      <c r="E70" s="6">
        <f>F36</f>
        <v>563000</v>
      </c>
      <c r="F70" s="7"/>
    </row>
    <row r="71" spans="3:6" x14ac:dyDescent="0.25">
      <c r="C71" s="12" t="s">
        <v>66</v>
      </c>
      <c r="D71" s="2"/>
      <c r="E71" s="6">
        <f>F43</f>
        <v>428592</v>
      </c>
      <c r="F71" s="7"/>
    </row>
    <row r="72" spans="3:6" x14ac:dyDescent="0.25">
      <c r="C72" s="12" t="s">
        <v>45</v>
      </c>
      <c r="D72" s="2"/>
      <c r="E72" s="6">
        <f>F46</f>
        <v>334080</v>
      </c>
      <c r="F72" s="7"/>
    </row>
    <row r="73" spans="3:6" x14ac:dyDescent="0.25">
      <c r="C73" s="12" t="s">
        <v>67</v>
      </c>
      <c r="D73" s="2"/>
      <c r="E73" s="6">
        <f>F47</f>
        <v>40000</v>
      </c>
      <c r="F73" s="7"/>
    </row>
    <row r="74" spans="3:6" x14ac:dyDescent="0.25">
      <c r="C74" s="12" t="s">
        <v>68</v>
      </c>
      <c r="D74" s="2"/>
      <c r="E74" s="6">
        <f>SUM(E70:E73)</f>
        <v>1365672</v>
      </c>
      <c r="F74" s="7"/>
    </row>
    <row r="75" spans="3:6" x14ac:dyDescent="0.25">
      <c r="C75" s="12" t="s">
        <v>69</v>
      </c>
      <c r="D75" s="2"/>
      <c r="E75" s="6">
        <f>E68-E74</f>
        <v>3532958.6571428571</v>
      </c>
      <c r="F75" s="7"/>
    </row>
    <row r="76" spans="3:6" x14ac:dyDescent="0.25">
      <c r="C76" s="12" t="s">
        <v>71</v>
      </c>
      <c r="D76" s="19">
        <v>0.25</v>
      </c>
      <c r="E76" s="6">
        <f>E75*D76</f>
        <v>883239.66428571427</v>
      </c>
      <c r="F76" s="7"/>
    </row>
    <row r="77" spans="3:6" x14ac:dyDescent="0.25">
      <c r="C77" s="12" t="s">
        <v>70</v>
      </c>
      <c r="D77" s="2"/>
      <c r="E77" s="6">
        <f>E75-E76</f>
        <v>2649718.9928571428</v>
      </c>
      <c r="F77" s="7"/>
    </row>
  </sheetData>
  <mergeCells count="13">
    <mergeCell ref="G2:I2"/>
    <mergeCell ref="G3:I3"/>
    <mergeCell ref="B27:F27"/>
    <mergeCell ref="B28:B30"/>
    <mergeCell ref="C4:D4"/>
    <mergeCell ref="C2:E2"/>
    <mergeCell ref="C3:E3"/>
    <mergeCell ref="B6:F6"/>
    <mergeCell ref="B38:F38"/>
    <mergeCell ref="B45:F45"/>
    <mergeCell ref="C64:E64"/>
    <mergeCell ref="C65:E65"/>
    <mergeCell ref="C69:E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Leonardo Mogiano Gutierrez</dc:creator>
  <cp:lastModifiedBy>Moises Leonardo Mogiano Gutierrez</cp:lastModifiedBy>
  <dcterms:created xsi:type="dcterms:W3CDTF">2021-10-07T01:49:42Z</dcterms:created>
  <dcterms:modified xsi:type="dcterms:W3CDTF">2021-10-07T18:57:05Z</dcterms:modified>
</cp:coreProperties>
</file>