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 2-2021\CostosYPres\TAREAS\"/>
    </mc:Choice>
  </mc:AlternateContent>
  <xr:revisionPtr revIDLastSave="0" documentId="13_ncr:1_{5B657BB7-11A0-48C8-ABCB-9B7D90361E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C56" i="1"/>
  <c r="D54" i="1"/>
  <c r="C54" i="1"/>
  <c r="C52" i="1"/>
  <c r="D52" i="1"/>
  <c r="D51" i="1"/>
  <c r="C51" i="1"/>
  <c r="C50" i="1"/>
  <c r="D25" i="1"/>
  <c r="C25" i="1"/>
  <c r="D20" i="1"/>
  <c r="C20" i="1"/>
  <c r="C22" i="1" s="1"/>
  <c r="E20" i="1"/>
  <c r="E48" i="1"/>
  <c r="C49" i="1" l="1"/>
  <c r="C48" i="1" l="1"/>
  <c r="E25" i="1"/>
  <c r="D15" i="1" l="1"/>
  <c r="C15" i="1"/>
  <c r="J7" i="1"/>
  <c r="E19" i="1" l="1"/>
  <c r="E66" i="1" l="1"/>
  <c r="J10" i="1"/>
  <c r="K10" i="1" s="1"/>
  <c r="J9" i="1"/>
  <c r="K9" i="1" s="1"/>
  <c r="J8" i="1"/>
  <c r="K8" i="1" s="1"/>
  <c r="K7" i="1"/>
  <c r="K11" i="1" l="1"/>
  <c r="E46" i="1" s="1"/>
  <c r="E67" i="1" s="1"/>
  <c r="E41" i="1"/>
  <c r="E65" i="1" s="1"/>
  <c r="E34" i="1"/>
  <c r="E32" i="1"/>
  <c r="E31" i="1"/>
  <c r="E36" i="1" s="1"/>
  <c r="E64" i="1" s="1"/>
  <c r="E68" i="1" s="1"/>
  <c r="E24" i="1" l="1"/>
  <c r="D14" i="1" l="1"/>
  <c r="C14" i="1"/>
  <c r="D9" i="1"/>
  <c r="C9" i="1"/>
  <c r="E7" i="1"/>
  <c r="C21" i="1" l="1"/>
  <c r="C17" i="1"/>
  <c r="D21" i="1"/>
  <c r="D17" i="1"/>
  <c r="C18" i="1"/>
  <c r="E14" i="1"/>
  <c r="E9" i="1"/>
  <c r="E60" i="1" s="1"/>
  <c r="D18" i="1"/>
  <c r="D10" i="1" l="1"/>
  <c r="D26" i="1"/>
  <c r="D35" i="1"/>
  <c r="D34" i="1"/>
  <c r="D33" i="1"/>
  <c r="D32" i="1"/>
  <c r="D40" i="1"/>
  <c r="D31" i="1"/>
  <c r="D39" i="1"/>
  <c r="D44" i="1"/>
  <c r="D24" i="1"/>
  <c r="D19" i="1"/>
  <c r="D22" i="1" s="1"/>
  <c r="C10" i="1"/>
  <c r="E27" i="1"/>
  <c r="D48" i="1" s="1"/>
  <c r="D49" i="1" l="1"/>
  <c r="E49" i="1" s="1"/>
  <c r="D41" i="1"/>
  <c r="D36" i="1"/>
  <c r="D55" i="1"/>
  <c r="D53" i="1" s="1"/>
  <c r="C27" i="1"/>
  <c r="C44" i="1"/>
  <c r="C35" i="1"/>
  <c r="C34" i="1"/>
  <c r="C33" i="1"/>
  <c r="C32" i="1"/>
  <c r="C26" i="1"/>
  <c r="C31" i="1"/>
  <c r="C40" i="1"/>
  <c r="C39" i="1"/>
  <c r="C41" i="1" s="1"/>
  <c r="C24" i="1"/>
  <c r="C19" i="1"/>
  <c r="E22" i="1" s="1"/>
  <c r="D27" i="1"/>
  <c r="E28" i="1" l="1"/>
  <c r="E61" i="1"/>
  <c r="C36" i="1"/>
  <c r="D50" i="1"/>
  <c r="C55" i="1"/>
  <c r="C53" i="1" s="1"/>
  <c r="E62" i="1" l="1"/>
  <c r="E69" i="1" s="1"/>
  <c r="D28" i="1" l="1"/>
  <c r="C28" i="1"/>
  <c r="E70" i="1"/>
  <c r="E71" i="1" s="1"/>
</calcChain>
</file>

<file path=xl/sharedStrings.xml><?xml version="1.0" encoding="utf-8"?>
<sst xmlns="http://schemas.openxmlformats.org/spreadsheetml/2006/main" count="80" uniqueCount="75">
  <si>
    <t>NOMBRE</t>
  </si>
  <si>
    <t>Mogiano Gutierrez Moises Leonardo</t>
  </si>
  <si>
    <t>DOCENTE</t>
  </si>
  <si>
    <t>Ing. Juan Manuel Chahín Avichacra</t>
  </si>
  <si>
    <t>REG</t>
  </si>
  <si>
    <t>SEMESTRE</t>
  </si>
  <si>
    <t>2-2021</t>
  </si>
  <si>
    <t>MATERIA</t>
  </si>
  <si>
    <t>Costos y Presupuestos</t>
  </si>
  <si>
    <t>ELC002-SA</t>
  </si>
  <si>
    <t>HELADOS</t>
  </si>
  <si>
    <t>CREMOSOS</t>
  </si>
  <si>
    <t>DIETETICOS</t>
  </si>
  <si>
    <t>TOTAL</t>
  </si>
  <si>
    <t>VENTAS</t>
  </si>
  <si>
    <t>PRECIOS</t>
  </si>
  <si>
    <t>INGRESO VENTAS</t>
  </si>
  <si>
    <t>PARTICIPACION</t>
  </si>
  <si>
    <t>INVENTARIO INICIAL</t>
  </si>
  <si>
    <t>INVENTARIO FINAL</t>
  </si>
  <si>
    <t>PRODUCCION</t>
  </si>
  <si>
    <t>COSTO DIRECTO</t>
  </si>
  <si>
    <t>MATERIA PRIMA</t>
  </si>
  <si>
    <t>INSUMO</t>
  </si>
  <si>
    <t>MANO DE OBRA DIRECTA</t>
  </si>
  <si>
    <t>INCENTIVOS DE PRODUCCION</t>
  </si>
  <si>
    <t>ENERGIA ELECTRICA</t>
  </si>
  <si>
    <t>COSTO INDIRECTO</t>
  </si>
  <si>
    <t>MANO DE OBRA INDIRECTA</t>
  </si>
  <si>
    <t>INCENTIVOS A PRODUCCION</t>
  </si>
  <si>
    <t>REPUESTOS Y LUBRICANTES</t>
  </si>
  <si>
    <t>COSTOS INDIRECTOS DE FABRICACION</t>
  </si>
  <si>
    <t>COSTO DE FABRICACION</t>
  </si>
  <si>
    <t>COSTO ADMINISTRACION</t>
  </si>
  <si>
    <t>SALARIOS</t>
  </si>
  <si>
    <t>MATERIAL DE ESCRITORIO</t>
  </si>
  <si>
    <t>HONORARIOS CONTABILIDAD</t>
  </si>
  <si>
    <t>SERVICIOS</t>
  </si>
  <si>
    <t>ALQUILERES, SEGUROS Y OTROS</t>
  </si>
  <si>
    <t>COSTO ADMINISTRATIVO</t>
  </si>
  <si>
    <t>COSTO COMERCIAL</t>
  </si>
  <si>
    <t>PUBLICIDAD Y PROMOCION</t>
  </si>
  <si>
    <t>DISTRIBUCION</t>
  </si>
  <si>
    <t>COSTO FINANCIERO</t>
  </si>
  <si>
    <t>DEPRECIACION</t>
  </si>
  <si>
    <t>COSTO TOTAL</t>
  </si>
  <si>
    <t>COSTO TOTAL UNITARIO</t>
  </si>
  <si>
    <t>COSTO DIRECTO UNITARIO</t>
  </si>
  <si>
    <t>COSTO VARIABLE</t>
  </si>
  <si>
    <t>MARGEN DE CONTRIBUCION (MC)</t>
  </si>
  <si>
    <t>CANTIDAD DE EQUILIBRIO (Qe)</t>
  </si>
  <si>
    <t>COSTO VARIABLE UNITARIO</t>
  </si>
  <si>
    <t>COSTO FIJO</t>
  </si>
  <si>
    <t>Activos</t>
  </si>
  <si>
    <t>AÑOS</t>
  </si>
  <si>
    <t>VR</t>
  </si>
  <si>
    <t>Maquinarias</t>
  </si>
  <si>
    <t>Edificios</t>
  </si>
  <si>
    <t>Vehiculos</t>
  </si>
  <si>
    <t>Muebles y Enceres</t>
  </si>
  <si>
    <t>(VI-VR)/AÑOS</t>
  </si>
  <si>
    <t>ESTADO DE RESULTADO</t>
  </si>
  <si>
    <t>INGRESOS</t>
  </si>
  <si>
    <t>EGRESOS</t>
  </si>
  <si>
    <t>Costo Administracion</t>
  </si>
  <si>
    <t>Costo Comercial</t>
  </si>
  <si>
    <t>Costo Financiero</t>
  </si>
  <si>
    <t>Depreciacion</t>
  </si>
  <si>
    <t>Total Egresos</t>
  </si>
  <si>
    <t>Utilidad Neta</t>
  </si>
  <si>
    <t>Impuestos</t>
  </si>
  <si>
    <t>Utilidad Bruta</t>
  </si>
  <si>
    <t>Ventas</t>
  </si>
  <si>
    <t>Costos de Ventas</t>
  </si>
  <si>
    <t>Ingresos Netos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</si>
</sst>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48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0E0F0"/>
        <bgColor indexed="64"/>
      </patternFill>
    </fill>
    <fill>
      <patternFill patternType="solid">
        <fgColor rgb="FFF2897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left" vertical="top"/>
    </xf>
    <xf numFmtId="4" fontId="0" fillId="0" borderId="0" xfId="0" applyNumberFormat="1"/>
    <xf numFmtId="4" fontId="0" fillId="0" borderId="1" xfId="0" applyNumberFormat="1" applyBorder="1"/>
    <xf numFmtId="0" fontId="0" fillId="2" borderId="1" xfId="0" applyFill="1" applyBorder="1"/>
    <xf numFmtId="43" fontId="1" fillId="2" borderId="1" xfId="0" applyNumberFormat="1" applyFont="1" applyFill="1" applyBorder="1" applyAlignment="1">
      <alignment horizontal="left" vertical="top"/>
    </xf>
    <xf numFmtId="43" fontId="0" fillId="2" borderId="1" xfId="0" applyNumberFormat="1" applyFill="1" applyBorder="1" applyAlignment="1">
      <alignment horizontal="left" vertical="top"/>
    </xf>
    <xf numFmtId="43" fontId="0" fillId="0" borderId="0" xfId="0" applyNumberFormat="1"/>
    <xf numFmtId="43" fontId="0" fillId="2" borderId="1" xfId="0" applyNumberFormat="1" applyFill="1" applyBorder="1"/>
    <xf numFmtId="43" fontId="1" fillId="0" borderId="1" xfId="0" applyNumberFormat="1" applyFont="1" applyFill="1" applyBorder="1" applyAlignment="1">
      <alignment horizontal="left" vertical="top"/>
    </xf>
    <xf numFmtId="43" fontId="0" fillId="0" borderId="1" xfId="0" applyNumberFormat="1" applyBorder="1" applyAlignment="1">
      <alignment horizontal="right" vertical="top"/>
    </xf>
    <xf numFmtId="43" fontId="0" fillId="0" borderId="1" xfId="0" applyNumberFormat="1" applyBorder="1"/>
    <xf numFmtId="43" fontId="1" fillId="0" borderId="1" xfId="0" applyNumberFormat="1" applyFont="1" applyBorder="1"/>
    <xf numFmtId="43" fontId="1" fillId="0" borderId="1" xfId="0" applyNumberFormat="1" applyFont="1" applyFill="1" applyBorder="1"/>
    <xf numFmtId="43" fontId="1" fillId="5" borderId="1" xfId="0" applyNumberFormat="1" applyFont="1" applyFill="1" applyBorder="1"/>
    <xf numFmtId="43" fontId="0" fillId="5" borderId="1" xfId="0" applyNumberFormat="1" applyFill="1" applyBorder="1"/>
    <xf numFmtId="43" fontId="0" fillId="0" borderId="0" xfId="0" applyNumberFormat="1" applyBorder="1"/>
    <xf numFmtId="43" fontId="1" fillId="6" borderId="1" xfId="0" applyNumberFormat="1" applyFont="1" applyFill="1" applyBorder="1"/>
    <xf numFmtId="43" fontId="1" fillId="4" borderId="1" xfId="0" applyNumberFormat="1" applyFont="1" applyFill="1" applyBorder="1"/>
    <xf numFmtId="43" fontId="0" fillId="0" borderId="1" xfId="0" applyNumberFormat="1" applyFill="1" applyBorder="1"/>
    <xf numFmtId="43" fontId="0" fillId="11" borderId="1" xfId="0" applyNumberFormat="1" applyFill="1" applyBorder="1"/>
    <xf numFmtId="43" fontId="0" fillId="8" borderId="1" xfId="0" applyNumberFormat="1" applyFill="1" applyBorder="1" applyAlignment="1">
      <alignment horizontal="center" vertical="center"/>
    </xf>
    <xf numFmtId="43" fontId="0" fillId="9" borderId="1" xfId="0" applyNumberFormat="1" applyFill="1" applyBorder="1" applyAlignment="1">
      <alignment horizontal="center"/>
    </xf>
    <xf numFmtId="43" fontId="0" fillId="1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3" borderId="1" xfId="0" applyNumberFormat="1" applyFill="1" applyBorder="1" applyAlignment="1">
      <alignment horizontal="center"/>
    </xf>
    <xf numFmtId="43" fontId="0" fillId="4" borderId="1" xfId="0" applyNumberFormat="1" applyFill="1" applyBorder="1" applyAlignment="1">
      <alignment horizontal="center" vertical="center"/>
    </xf>
    <xf numFmtId="43" fontId="1" fillId="6" borderId="1" xfId="0" applyNumberFormat="1" applyFont="1" applyFill="1" applyBorder="1" applyAlignment="1">
      <alignment horizontal="center" vertical="center"/>
    </xf>
    <xf numFmtId="43" fontId="1" fillId="4" borderId="1" xfId="0" applyNumberFormat="1" applyFont="1" applyFill="1" applyBorder="1" applyAlignment="1">
      <alignment horizontal="center" vertical="center"/>
    </xf>
    <xf numFmtId="43" fontId="0" fillId="7" borderId="1" xfId="0" applyNumberFormat="1" applyFill="1" applyBorder="1" applyAlignment="1">
      <alignment horizontal="center" vertical="center"/>
    </xf>
    <xf numFmtId="43" fontId="0" fillId="12" borderId="1" xfId="0" applyNumberFormat="1" applyFill="1" applyBorder="1"/>
    <xf numFmtId="43" fontId="1" fillId="12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897E"/>
      <color rgb="FF90E0F0"/>
      <color rgb="FFB48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13"/>
  <sheetViews>
    <sheetView tabSelected="1" topLeftCell="A51" workbookViewId="0">
      <selection activeCell="C56" sqref="C56:D56"/>
    </sheetView>
  </sheetViews>
  <sheetFormatPr baseColWidth="10" defaultRowHeight="15" x14ac:dyDescent="0.25"/>
  <cols>
    <col min="2" max="2" width="35.42578125" customWidth="1"/>
    <col min="3" max="3" width="17.7109375" customWidth="1"/>
    <col min="4" max="4" width="20" customWidth="1"/>
    <col min="5" max="5" width="17.5703125" customWidth="1"/>
    <col min="7" max="7" width="17.85546875" customWidth="1"/>
    <col min="8" max="8" width="14.85546875" customWidth="1"/>
    <col min="9" max="9" width="14" customWidth="1"/>
    <col min="10" max="10" width="13.5703125" customWidth="1"/>
    <col min="11" max="12" width="14.7109375" customWidth="1"/>
  </cols>
  <sheetData>
    <row r="2" spans="2:12" x14ac:dyDescent="0.25">
      <c r="B2" s="1" t="s">
        <v>0</v>
      </c>
      <c r="C2" s="30" t="s">
        <v>1</v>
      </c>
      <c r="D2" s="30"/>
      <c r="E2" s="30"/>
      <c r="F2" s="1" t="s">
        <v>2</v>
      </c>
      <c r="G2" s="26" t="s">
        <v>3</v>
      </c>
      <c r="H2" s="27"/>
      <c r="I2" s="28"/>
    </row>
    <row r="3" spans="2:12" x14ac:dyDescent="0.25">
      <c r="B3" s="1" t="s">
        <v>4</v>
      </c>
      <c r="C3" s="26">
        <v>218034121</v>
      </c>
      <c r="D3" s="27"/>
      <c r="E3" s="28"/>
      <c r="F3" s="1" t="s">
        <v>5</v>
      </c>
      <c r="G3" s="29" t="s">
        <v>6</v>
      </c>
      <c r="H3" s="29"/>
      <c r="I3" s="29"/>
    </row>
    <row r="4" spans="2:12" x14ac:dyDescent="0.25">
      <c r="B4" s="1" t="s">
        <v>7</v>
      </c>
      <c r="C4" s="30" t="s">
        <v>8</v>
      </c>
      <c r="D4" s="30"/>
      <c r="E4" s="2" t="s">
        <v>9</v>
      </c>
    </row>
    <row r="6" spans="2:12" x14ac:dyDescent="0.25">
      <c r="B6" s="7" t="s">
        <v>10</v>
      </c>
      <c r="C6" s="8" t="s">
        <v>11</v>
      </c>
      <c r="D6" s="8" t="s">
        <v>12</v>
      </c>
      <c r="E6" s="8" t="s">
        <v>13</v>
      </c>
      <c r="F6" s="9"/>
      <c r="G6" s="8" t="s">
        <v>53</v>
      </c>
      <c r="H6" s="10"/>
      <c r="I6" s="8" t="s">
        <v>54</v>
      </c>
      <c r="J6" s="6" t="s">
        <v>55</v>
      </c>
      <c r="K6" s="3" t="s">
        <v>44</v>
      </c>
      <c r="L6" s="6" t="s">
        <v>60</v>
      </c>
    </row>
    <row r="7" spans="2:12" x14ac:dyDescent="0.25">
      <c r="B7" s="11" t="s">
        <v>14</v>
      </c>
      <c r="C7" s="12">
        <v>200000</v>
      </c>
      <c r="D7" s="12">
        <v>150000</v>
      </c>
      <c r="E7" s="12">
        <f>SUM(C7:D7)</f>
        <v>350000</v>
      </c>
      <c r="F7" s="9"/>
      <c r="G7" s="13" t="s">
        <v>57</v>
      </c>
      <c r="H7" s="13">
        <v>1000000</v>
      </c>
      <c r="I7" s="13">
        <v>20</v>
      </c>
      <c r="J7" s="5">
        <f>H7*0.5</f>
        <v>500000</v>
      </c>
      <c r="K7" s="5">
        <f>(H7-J7)/I7</f>
        <v>25000</v>
      </c>
      <c r="L7" s="2"/>
    </row>
    <row r="8" spans="2:12" x14ac:dyDescent="0.25">
      <c r="B8" s="11" t="s">
        <v>15</v>
      </c>
      <c r="C8" s="12">
        <v>5</v>
      </c>
      <c r="D8" s="12">
        <v>10</v>
      </c>
      <c r="E8" s="12"/>
      <c r="F8" s="9"/>
      <c r="G8" s="13" t="s">
        <v>56</v>
      </c>
      <c r="H8" s="13">
        <v>2000000</v>
      </c>
      <c r="I8" s="13">
        <v>10</v>
      </c>
      <c r="J8" s="5">
        <f>H8*0.25</f>
        <v>500000</v>
      </c>
      <c r="K8" s="5">
        <f t="shared" ref="K8:K9" si="0">(H8-J8)/I8</f>
        <v>150000</v>
      </c>
      <c r="L8" s="2"/>
    </row>
    <row r="9" spans="2:12" x14ac:dyDescent="0.25">
      <c r="B9" s="11" t="s">
        <v>16</v>
      </c>
      <c r="C9" s="12">
        <f>C7*C8</f>
        <v>1000000</v>
      </c>
      <c r="D9" s="12">
        <f>D7*D8</f>
        <v>1500000</v>
      </c>
      <c r="E9" s="12">
        <f>SUM(C9:D9)</f>
        <v>2500000</v>
      </c>
      <c r="F9" s="9"/>
      <c r="G9" s="13" t="s">
        <v>58</v>
      </c>
      <c r="H9" s="13">
        <v>100000</v>
      </c>
      <c r="I9" s="13">
        <v>5</v>
      </c>
      <c r="J9" s="5">
        <f>H9*0.5</f>
        <v>50000</v>
      </c>
      <c r="K9" s="5">
        <f t="shared" si="0"/>
        <v>10000</v>
      </c>
      <c r="L9" s="2"/>
    </row>
    <row r="10" spans="2:12" x14ac:dyDescent="0.25">
      <c r="B10" s="11" t="s">
        <v>17</v>
      </c>
      <c r="C10" s="12">
        <f>C9/E9</f>
        <v>0.4</v>
      </c>
      <c r="D10" s="12">
        <f>D9/E9</f>
        <v>0.6</v>
      </c>
      <c r="E10" s="12"/>
      <c r="F10" s="9"/>
      <c r="G10" s="13" t="s">
        <v>59</v>
      </c>
      <c r="H10" s="13">
        <v>50000</v>
      </c>
      <c r="I10" s="13">
        <v>5</v>
      </c>
      <c r="J10" s="5">
        <f>H10*0.1</f>
        <v>5000</v>
      </c>
      <c r="K10" s="5">
        <f>(H10-J10)/I10</f>
        <v>9000</v>
      </c>
      <c r="L10" s="2"/>
    </row>
    <row r="11" spans="2:12" x14ac:dyDescent="0.25">
      <c r="B11" s="9"/>
      <c r="C11" s="9"/>
      <c r="D11" s="9"/>
      <c r="E11" s="9"/>
      <c r="F11" s="9"/>
      <c r="G11" s="9"/>
      <c r="H11" s="9"/>
      <c r="I11" s="9"/>
      <c r="J11" s="4"/>
      <c r="K11" s="4">
        <f>SUM(K7:K10)</f>
        <v>194000</v>
      </c>
    </row>
    <row r="12" spans="2:12" x14ac:dyDescent="0.25">
      <c r="B12" s="11" t="s">
        <v>18</v>
      </c>
      <c r="C12" s="13">
        <v>10000</v>
      </c>
      <c r="D12" s="13">
        <v>5000</v>
      </c>
      <c r="E12" s="13"/>
      <c r="F12" s="9"/>
      <c r="G12" s="9"/>
      <c r="H12" s="9"/>
      <c r="I12" s="9"/>
      <c r="J12" s="4"/>
      <c r="K12" s="4"/>
    </row>
    <row r="13" spans="2:12" x14ac:dyDescent="0.25">
      <c r="B13" s="11" t="s">
        <v>19</v>
      </c>
      <c r="C13" s="13">
        <v>12500</v>
      </c>
      <c r="D13" s="13">
        <v>10000</v>
      </c>
      <c r="E13" s="13"/>
      <c r="F13" s="9"/>
      <c r="G13" s="9"/>
      <c r="H13" s="9"/>
      <c r="I13" s="9"/>
      <c r="J13" s="4"/>
      <c r="K13" s="4"/>
    </row>
    <row r="14" spans="2:12" x14ac:dyDescent="0.25">
      <c r="B14" s="37" t="s">
        <v>20</v>
      </c>
      <c r="C14" s="36">
        <f>C7-C12+C13</f>
        <v>202500</v>
      </c>
      <c r="D14" s="36">
        <f>D7-D12+D13</f>
        <v>155000</v>
      </c>
      <c r="E14" s="13">
        <f>SUM(C14:D14)</f>
        <v>357500</v>
      </c>
      <c r="F14" s="9"/>
      <c r="G14" s="9"/>
      <c r="H14" s="9"/>
      <c r="I14" s="9"/>
      <c r="J14" s="4"/>
      <c r="K14" s="4"/>
    </row>
    <row r="15" spans="2:12" x14ac:dyDescent="0.25">
      <c r="B15" s="9"/>
      <c r="C15" s="9">
        <f>C14/E14</f>
        <v>0.56643356643356646</v>
      </c>
      <c r="D15" s="9">
        <f>D14/E14</f>
        <v>0.43356643356643354</v>
      </c>
      <c r="E15" s="9"/>
      <c r="F15" s="9"/>
      <c r="G15" s="9"/>
      <c r="H15" s="9"/>
      <c r="I15" s="9"/>
      <c r="J15" s="4"/>
      <c r="K15" s="4"/>
    </row>
    <row r="16" spans="2:12" x14ac:dyDescent="0.25">
      <c r="B16" s="31" t="s">
        <v>21</v>
      </c>
      <c r="C16" s="31"/>
      <c r="D16" s="31"/>
      <c r="E16" s="31"/>
      <c r="F16" s="9"/>
      <c r="G16" s="9"/>
      <c r="H16" s="9"/>
      <c r="I16" s="9"/>
    </row>
    <row r="17" spans="2:9" x14ac:dyDescent="0.25">
      <c r="B17" s="14" t="s">
        <v>22</v>
      </c>
      <c r="C17" s="13">
        <f>C14/100*10</f>
        <v>20250</v>
      </c>
      <c r="D17" s="13">
        <f>D14/100*5</f>
        <v>7750</v>
      </c>
      <c r="E17" s="13"/>
      <c r="F17" s="9"/>
      <c r="G17" s="9"/>
      <c r="H17" s="9"/>
      <c r="I17" s="9"/>
    </row>
    <row r="18" spans="2:9" x14ac:dyDescent="0.25">
      <c r="B18" s="14" t="s">
        <v>23</v>
      </c>
      <c r="C18" s="13">
        <f>C14/1000*100</f>
        <v>20250</v>
      </c>
      <c r="D18" s="13">
        <f>D14/1000*100</f>
        <v>15500</v>
      </c>
      <c r="E18" s="13"/>
      <c r="F18" s="9"/>
      <c r="G18" s="9"/>
      <c r="H18" s="9"/>
      <c r="I18" s="9"/>
    </row>
    <row r="19" spans="2:9" x14ac:dyDescent="0.25">
      <c r="B19" s="14" t="s">
        <v>24</v>
      </c>
      <c r="C19" s="13">
        <f>C10*$E$19</f>
        <v>59800</v>
      </c>
      <c r="D19" s="13">
        <f>D10*$E$19</f>
        <v>89700</v>
      </c>
      <c r="E19" s="13">
        <f>(2*(3000)+2*(2000))*13*1.15</f>
        <v>149500</v>
      </c>
      <c r="F19" s="9"/>
      <c r="G19" s="9"/>
      <c r="H19" s="9"/>
      <c r="I19" s="9"/>
    </row>
    <row r="20" spans="2:9" x14ac:dyDescent="0.25">
      <c r="B20" s="14" t="s">
        <v>25</v>
      </c>
      <c r="C20" s="13">
        <f>C15*$E$20</f>
        <v>20288.352272727272</v>
      </c>
      <c r="D20" s="13">
        <f>D15*$E$20</f>
        <v>15529.356060606058</v>
      </c>
      <c r="E20" s="13">
        <f>(E14-25000*12)*(0.5/12*13*1.15)</f>
        <v>35817.708333333328</v>
      </c>
      <c r="F20" s="9"/>
      <c r="G20" s="9"/>
      <c r="H20" s="9"/>
      <c r="I20" s="9"/>
    </row>
    <row r="21" spans="2:9" x14ac:dyDescent="0.25">
      <c r="B21" s="14" t="s">
        <v>26</v>
      </c>
      <c r="C21" s="13">
        <f>(C14*50)/1000*0.6</f>
        <v>6075</v>
      </c>
      <c r="D21" s="13">
        <f>(D14*50)/1000*0.6</f>
        <v>4650</v>
      </c>
      <c r="E21" s="13"/>
      <c r="F21" s="9"/>
      <c r="G21" s="9"/>
      <c r="H21" s="9"/>
      <c r="I21" s="9"/>
    </row>
    <row r="22" spans="2:9" x14ac:dyDescent="0.25">
      <c r="B22" s="14" t="s">
        <v>21</v>
      </c>
      <c r="C22" s="13">
        <f>SUM(C17:C21)</f>
        <v>126663.35227272726</v>
      </c>
      <c r="D22" s="13">
        <f>SUM(D17:D21)</f>
        <v>133129.35606060608</v>
      </c>
      <c r="E22" s="13">
        <f>SUM(C22:D22)</f>
        <v>259792.70833333334</v>
      </c>
      <c r="F22" s="9"/>
      <c r="G22" s="9"/>
      <c r="H22" s="9"/>
      <c r="I22" s="9"/>
    </row>
    <row r="23" spans="2:9" x14ac:dyDescent="0.25">
      <c r="B23" s="32" t="s">
        <v>27</v>
      </c>
      <c r="C23" s="32"/>
      <c r="D23" s="32"/>
      <c r="E23" s="32"/>
      <c r="F23" s="9"/>
      <c r="G23" s="9"/>
      <c r="H23" s="9"/>
      <c r="I23" s="9"/>
    </row>
    <row r="24" spans="2:9" x14ac:dyDescent="0.25">
      <c r="B24" s="15" t="s">
        <v>28</v>
      </c>
      <c r="C24" s="13">
        <f>C10*$E$24</f>
        <v>71760</v>
      </c>
      <c r="D24" s="13">
        <f>D10*$E$24</f>
        <v>107640</v>
      </c>
      <c r="E24" s="13">
        <f>(5000+2*3500)*13*1.15</f>
        <v>179400</v>
      </c>
      <c r="F24" s="9"/>
      <c r="G24" s="9"/>
      <c r="H24" s="9"/>
      <c r="I24" s="9"/>
    </row>
    <row r="25" spans="2:9" x14ac:dyDescent="0.25">
      <c r="B25" s="15" t="s">
        <v>29</v>
      </c>
      <c r="C25" s="13">
        <f>$E$25*C15</f>
        <v>25228.125</v>
      </c>
      <c r="D25" s="13">
        <f>$E$25*D15</f>
        <v>19310.416666666664</v>
      </c>
      <c r="E25" s="13">
        <f>(E14)*(0.1/12*13*1.15)</f>
        <v>44538.541666666664</v>
      </c>
      <c r="F25" s="9"/>
      <c r="G25" s="9"/>
      <c r="H25" s="9"/>
      <c r="I25" s="9"/>
    </row>
    <row r="26" spans="2:9" x14ac:dyDescent="0.25">
      <c r="B26" s="15" t="s">
        <v>30</v>
      </c>
      <c r="C26" s="13">
        <f>C10*$E$26</f>
        <v>2000</v>
      </c>
      <c r="D26" s="13">
        <f>D10*$E$26</f>
        <v>3000</v>
      </c>
      <c r="E26" s="13">
        <v>5000</v>
      </c>
      <c r="F26" s="9"/>
      <c r="G26" s="9"/>
      <c r="H26" s="9"/>
      <c r="I26" s="9"/>
    </row>
    <row r="27" spans="2:9" x14ac:dyDescent="0.25">
      <c r="B27" s="15" t="s">
        <v>31</v>
      </c>
      <c r="C27" s="13">
        <f>C10*$E$27</f>
        <v>91575.416666666672</v>
      </c>
      <c r="D27" s="13">
        <f>D10*$E$27</f>
        <v>137363.125</v>
      </c>
      <c r="E27" s="13">
        <f>SUM(E24:E26)</f>
        <v>228938.54166666666</v>
      </c>
      <c r="F27" s="9"/>
      <c r="G27" s="9"/>
      <c r="H27" s="9"/>
      <c r="I27" s="9"/>
    </row>
    <row r="28" spans="2:9" x14ac:dyDescent="0.25">
      <c r="B28" s="16" t="s">
        <v>32</v>
      </c>
      <c r="C28" s="21">
        <f>E28*C10</f>
        <v>195492.5</v>
      </c>
      <c r="D28" s="21">
        <f>E28*D10</f>
        <v>293238.75</v>
      </c>
      <c r="E28" s="17">
        <f>E22+E27</f>
        <v>488731.25</v>
      </c>
      <c r="F28" s="9"/>
      <c r="G28" s="9"/>
      <c r="H28" s="9"/>
      <c r="I28" s="9"/>
    </row>
    <row r="29" spans="2:9" x14ac:dyDescent="0.25">
      <c r="B29" s="9"/>
      <c r="C29" s="9"/>
      <c r="D29" s="9"/>
      <c r="E29" s="18"/>
      <c r="F29" s="9"/>
      <c r="G29" s="9"/>
      <c r="H29" s="9"/>
      <c r="I29" s="9"/>
    </row>
    <row r="30" spans="2:9" x14ac:dyDescent="0.25">
      <c r="B30" s="33" t="s">
        <v>33</v>
      </c>
      <c r="C30" s="33"/>
      <c r="D30" s="33"/>
      <c r="E30" s="33"/>
      <c r="F30" s="9"/>
      <c r="G30" s="9"/>
      <c r="H30" s="9"/>
      <c r="I30" s="9"/>
    </row>
    <row r="31" spans="2:9" x14ac:dyDescent="0.25">
      <c r="B31" s="14" t="s">
        <v>34</v>
      </c>
      <c r="C31" s="13">
        <f>C10*$E$31</f>
        <v>83720</v>
      </c>
      <c r="D31" s="13">
        <f>D10*$E$31</f>
        <v>125579.99999999997</v>
      </c>
      <c r="E31" s="13">
        <f>(7000+2*3500)*13*1.15</f>
        <v>209299.99999999997</v>
      </c>
      <c r="F31" s="9"/>
      <c r="G31" s="9"/>
      <c r="H31" s="9"/>
      <c r="I31" s="9"/>
    </row>
    <row r="32" spans="2:9" x14ac:dyDescent="0.25">
      <c r="B32" s="14" t="s">
        <v>35</v>
      </c>
      <c r="C32" s="13">
        <f>C10*$E$32</f>
        <v>2400</v>
      </c>
      <c r="D32" s="13">
        <f>D10*$E$32</f>
        <v>3600</v>
      </c>
      <c r="E32" s="13">
        <f>500*12</f>
        <v>6000</v>
      </c>
      <c r="F32" s="9"/>
      <c r="G32" s="9"/>
      <c r="H32" s="9"/>
      <c r="I32" s="9"/>
    </row>
    <row r="33" spans="2:9" x14ac:dyDescent="0.25">
      <c r="B33" s="14" t="s">
        <v>36</v>
      </c>
      <c r="C33" s="13">
        <f>C10*E33</f>
        <v>2000</v>
      </c>
      <c r="D33" s="13">
        <f>D10*E33</f>
        <v>3000</v>
      </c>
      <c r="E33" s="13">
        <v>5000</v>
      </c>
      <c r="F33" s="9"/>
      <c r="G33" s="9"/>
      <c r="H33" s="9"/>
      <c r="I33" s="9"/>
    </row>
    <row r="34" spans="2:9" x14ac:dyDescent="0.25">
      <c r="B34" s="14" t="s">
        <v>37</v>
      </c>
      <c r="C34" s="13">
        <f>C10*E34</f>
        <v>2400</v>
      </c>
      <c r="D34" s="13">
        <f>D10*E34</f>
        <v>3600</v>
      </c>
      <c r="E34" s="13">
        <f>500*12</f>
        <v>6000</v>
      </c>
      <c r="F34" s="9"/>
      <c r="G34" s="9"/>
      <c r="H34" s="9"/>
      <c r="I34" s="9"/>
    </row>
    <row r="35" spans="2:9" x14ac:dyDescent="0.25">
      <c r="B35" s="14" t="s">
        <v>38</v>
      </c>
      <c r="C35" s="13">
        <f>E35*C10</f>
        <v>4000</v>
      </c>
      <c r="D35" s="13">
        <f>E35*D10</f>
        <v>6000</v>
      </c>
      <c r="E35" s="13">
        <v>10000</v>
      </c>
      <c r="F35" s="9"/>
      <c r="G35" s="9"/>
      <c r="H35" s="9"/>
      <c r="I35" s="9"/>
    </row>
    <row r="36" spans="2:9" x14ac:dyDescent="0.25">
      <c r="B36" s="19" t="s">
        <v>39</v>
      </c>
      <c r="C36" s="13">
        <f>SUM(C31:C35)</f>
        <v>94520</v>
      </c>
      <c r="D36" s="13">
        <f>SUM(D31:D35)</f>
        <v>141779.99999999997</v>
      </c>
      <c r="E36" s="22">
        <f>SUM(E31:E35)</f>
        <v>236299.99999999997</v>
      </c>
      <c r="F36" s="9"/>
      <c r="G36" s="9"/>
      <c r="H36" s="9"/>
      <c r="I36" s="9"/>
    </row>
    <row r="37" spans="2:9" x14ac:dyDescent="0.25">
      <c r="B37" s="9"/>
      <c r="C37" s="9"/>
      <c r="D37" s="9"/>
      <c r="E37" s="9"/>
      <c r="F37" s="9"/>
      <c r="G37" s="9"/>
      <c r="H37" s="9"/>
      <c r="I37" s="9"/>
    </row>
    <row r="38" spans="2:9" x14ac:dyDescent="0.25">
      <c r="B38" s="34" t="s">
        <v>40</v>
      </c>
      <c r="C38" s="34"/>
      <c r="D38" s="34"/>
      <c r="E38" s="34"/>
      <c r="F38" s="9"/>
      <c r="G38" s="9"/>
      <c r="H38" s="9"/>
      <c r="I38" s="9"/>
    </row>
    <row r="39" spans="2:9" x14ac:dyDescent="0.25">
      <c r="B39" s="15" t="s">
        <v>41</v>
      </c>
      <c r="C39" s="13">
        <f>C10*E39</f>
        <v>20000</v>
      </c>
      <c r="D39" s="13">
        <f>D10*E39</f>
        <v>30000</v>
      </c>
      <c r="E39" s="13">
        <v>50000</v>
      </c>
      <c r="F39" s="9"/>
      <c r="G39" s="9"/>
      <c r="H39" s="9"/>
      <c r="I39" s="9"/>
    </row>
    <row r="40" spans="2:9" x14ac:dyDescent="0.25">
      <c r="B40" s="15" t="s">
        <v>42</v>
      </c>
      <c r="C40" s="13">
        <f>C10*E40</f>
        <v>20000</v>
      </c>
      <c r="D40" s="13">
        <f>D10*E40</f>
        <v>30000</v>
      </c>
      <c r="E40" s="13">
        <v>50000</v>
      </c>
      <c r="F40" s="9"/>
      <c r="G40" s="9"/>
      <c r="H40" s="9"/>
      <c r="I40" s="9"/>
    </row>
    <row r="41" spans="2:9" x14ac:dyDescent="0.25">
      <c r="B41" s="20" t="s">
        <v>40</v>
      </c>
      <c r="C41" s="13">
        <f>SUM(C39:C40)</f>
        <v>40000</v>
      </c>
      <c r="D41" s="13">
        <f>SUM(D39:D40)</f>
        <v>60000</v>
      </c>
      <c r="E41" s="13">
        <f>SUM(E39:E40)</f>
        <v>100000</v>
      </c>
      <c r="F41" s="9"/>
      <c r="G41" s="9"/>
      <c r="H41" s="9"/>
      <c r="I41" s="9"/>
    </row>
    <row r="42" spans="2:9" x14ac:dyDescent="0.25">
      <c r="B42" s="9"/>
      <c r="C42" s="9"/>
      <c r="D42" s="9"/>
      <c r="E42" s="9"/>
      <c r="F42" s="9"/>
      <c r="G42" s="9"/>
      <c r="H42" s="9"/>
      <c r="I42" s="9"/>
    </row>
    <row r="43" spans="2:9" x14ac:dyDescent="0.25">
      <c r="B43" s="35" t="s">
        <v>43</v>
      </c>
      <c r="C43" s="35"/>
      <c r="D43" s="35"/>
      <c r="E43" s="35"/>
      <c r="F43" s="9"/>
      <c r="G43" s="9"/>
      <c r="H43" s="9"/>
      <c r="I43" s="9"/>
    </row>
    <row r="44" spans="2:9" x14ac:dyDescent="0.25">
      <c r="B44" s="13" t="s">
        <v>43</v>
      </c>
      <c r="C44" s="13">
        <f>C10*E44</f>
        <v>8000</v>
      </c>
      <c r="D44" s="13">
        <f>D10*E44</f>
        <v>12000</v>
      </c>
      <c r="E44" s="13">
        <v>20000</v>
      </c>
      <c r="F44" s="9"/>
      <c r="G44" s="9"/>
      <c r="H44" s="9"/>
      <c r="I44" s="9"/>
    </row>
    <row r="45" spans="2:9" x14ac:dyDescent="0.25">
      <c r="B45" s="9"/>
      <c r="C45" s="9"/>
      <c r="D45" s="9"/>
      <c r="E45" s="9"/>
      <c r="F45" s="9"/>
      <c r="G45" s="9"/>
      <c r="H45" s="9"/>
      <c r="I45" s="9"/>
    </row>
    <row r="46" spans="2:9" x14ac:dyDescent="0.25">
      <c r="B46" s="13" t="s">
        <v>44</v>
      </c>
      <c r="C46" s="13"/>
      <c r="D46" s="13"/>
      <c r="E46" s="13">
        <f>K11</f>
        <v>194000</v>
      </c>
      <c r="F46" s="9"/>
      <c r="G46" s="9"/>
      <c r="H46" s="9"/>
      <c r="I46" s="9"/>
    </row>
    <row r="47" spans="2:9" x14ac:dyDescent="0.25">
      <c r="B47" s="9"/>
      <c r="C47" s="9"/>
      <c r="D47" s="9"/>
      <c r="E47" s="9"/>
      <c r="F47" s="9"/>
      <c r="G47" s="9"/>
      <c r="H47" s="9"/>
      <c r="I47" s="9"/>
    </row>
    <row r="48" spans="2:9" x14ac:dyDescent="0.25">
      <c r="B48" s="9" t="s">
        <v>27</v>
      </c>
      <c r="C48" s="9">
        <f>$E$48*C10</f>
        <v>202304.58333333334</v>
      </c>
      <c r="D48" s="9">
        <f>$E$48*D10</f>
        <v>303456.875</v>
      </c>
      <c r="E48" s="9">
        <f>(E36+E41+E44+E46)-E25</f>
        <v>505761.45833333331</v>
      </c>
      <c r="F48" s="9"/>
      <c r="G48" s="9"/>
      <c r="H48" s="9"/>
      <c r="I48" s="9"/>
    </row>
    <row r="49" spans="2:9" x14ac:dyDescent="0.25">
      <c r="B49" s="9" t="s">
        <v>45</v>
      </c>
      <c r="C49" s="9">
        <f>C22+C48+C25</f>
        <v>354196.06060606061</v>
      </c>
      <c r="D49" s="9">
        <f>D22+D48+D25</f>
        <v>455896.64772727276</v>
      </c>
      <c r="E49" s="9">
        <f>SUM(C49:D49)</f>
        <v>810092.70833333337</v>
      </c>
      <c r="F49" s="9"/>
      <c r="G49" s="9"/>
      <c r="H49" s="9"/>
      <c r="I49" s="9"/>
    </row>
    <row r="50" spans="2:9" x14ac:dyDescent="0.25">
      <c r="B50" s="9" t="s">
        <v>46</v>
      </c>
      <c r="C50" s="9">
        <f>C49/C14</f>
        <v>1.7491163486719041</v>
      </c>
      <c r="D50" s="9">
        <f>D49/D14</f>
        <v>2.9412686950146631</v>
      </c>
      <c r="E50" s="9"/>
      <c r="F50" s="9"/>
      <c r="G50" s="9"/>
      <c r="H50" s="9"/>
      <c r="I50" s="9"/>
    </row>
    <row r="51" spans="2:9" x14ac:dyDescent="0.25">
      <c r="B51" s="9" t="s">
        <v>47</v>
      </c>
      <c r="C51" s="9">
        <f>(C22)/C14</f>
        <v>0.62549803591470254</v>
      </c>
      <c r="D51" s="9">
        <f>(D22)/D14</f>
        <v>0.85889907135874888</v>
      </c>
      <c r="E51" s="9"/>
      <c r="F51" s="9"/>
      <c r="G51" s="9"/>
      <c r="H51" s="9"/>
      <c r="I51" s="9"/>
    </row>
    <row r="52" spans="2:9" x14ac:dyDescent="0.25">
      <c r="B52" s="9" t="s">
        <v>49</v>
      </c>
      <c r="C52" s="9">
        <f>C8-C50</f>
        <v>3.2508836513280959</v>
      </c>
      <c r="D52" s="9">
        <f>D8-D50</f>
        <v>7.0587313049853364</v>
      </c>
      <c r="E52" s="9"/>
      <c r="F52" s="9"/>
      <c r="G52" s="9"/>
      <c r="H52" s="9"/>
      <c r="I52" s="9"/>
    </row>
    <row r="53" spans="2:9" x14ac:dyDescent="0.25">
      <c r="B53" s="9" t="s">
        <v>50</v>
      </c>
      <c r="C53" s="9">
        <f>C56/(C8-C55)</f>
        <v>52115.426604663575</v>
      </c>
      <c r="D53" s="9">
        <f>D56/(D8-D55)</f>
        <v>38961.709577836198</v>
      </c>
      <c r="E53" s="9"/>
      <c r="F53" s="9"/>
      <c r="G53" s="9"/>
      <c r="H53" s="9"/>
      <c r="I53" s="9"/>
    </row>
    <row r="54" spans="2:9" x14ac:dyDescent="0.25">
      <c r="B54" s="9" t="s">
        <v>48</v>
      </c>
      <c r="C54" s="9">
        <f>(C22-C19+C25)</f>
        <v>92091.477272727265</v>
      </c>
      <c r="D54" s="9">
        <f>(D22-D19+D25)</f>
        <v>62739.772727272742</v>
      </c>
      <c r="E54" s="9"/>
      <c r="F54" s="9"/>
      <c r="G54" s="9"/>
      <c r="H54" s="9"/>
      <c r="I54" s="9"/>
    </row>
    <row r="55" spans="2:9" x14ac:dyDescent="0.25">
      <c r="B55" s="9" t="s">
        <v>51</v>
      </c>
      <c r="C55" s="9">
        <f>C54/C14</f>
        <v>0.45477272727272722</v>
      </c>
      <c r="D55" s="9">
        <f>D54/D14</f>
        <v>0.4047727272727274</v>
      </c>
      <c r="E55" s="9"/>
      <c r="F55" s="9"/>
      <c r="G55" s="9"/>
      <c r="H55" s="9"/>
      <c r="I55" s="9"/>
    </row>
    <row r="56" spans="2:9" x14ac:dyDescent="0.25">
      <c r="B56" s="9" t="s">
        <v>52</v>
      </c>
      <c r="C56" s="9">
        <f>C48+C19-C25</f>
        <v>236876.45833333334</v>
      </c>
      <c r="D56" s="9">
        <f>D48+D19-D25</f>
        <v>373846.45833333331</v>
      </c>
      <c r="E56" s="9"/>
      <c r="F56" s="9"/>
      <c r="G56" s="9"/>
      <c r="H56" s="9"/>
      <c r="I56" s="9"/>
    </row>
    <row r="57" spans="2:9" x14ac:dyDescent="0.25">
      <c r="B57" s="9"/>
      <c r="C57" s="9"/>
      <c r="D57" s="9"/>
      <c r="E57" s="9"/>
      <c r="F57" s="9"/>
      <c r="G57" s="9"/>
      <c r="H57" s="9"/>
      <c r="I57" s="9"/>
    </row>
    <row r="58" spans="2:9" x14ac:dyDescent="0.25">
      <c r="B58" s="23" t="s">
        <v>61</v>
      </c>
      <c r="C58" s="23"/>
      <c r="D58" s="23"/>
      <c r="E58" s="23"/>
      <c r="F58" s="9"/>
      <c r="G58" s="9"/>
      <c r="H58" s="9"/>
      <c r="I58" s="9"/>
    </row>
    <row r="59" spans="2:9" x14ac:dyDescent="0.25">
      <c r="B59" s="24" t="s">
        <v>62</v>
      </c>
      <c r="C59" s="24"/>
      <c r="D59" s="24"/>
      <c r="E59" s="24"/>
      <c r="F59" s="9"/>
      <c r="G59" s="9"/>
      <c r="H59" s="9"/>
      <c r="I59" s="9"/>
    </row>
    <row r="60" spans="2:9" x14ac:dyDescent="0.25">
      <c r="B60" s="13" t="s">
        <v>72</v>
      </c>
      <c r="C60" s="13"/>
      <c r="D60" s="13"/>
      <c r="E60" s="13">
        <f>E9</f>
        <v>2500000</v>
      </c>
      <c r="F60" s="9"/>
      <c r="G60" s="9"/>
      <c r="H60" s="9"/>
      <c r="I60" s="9"/>
    </row>
    <row r="61" spans="2:9" x14ac:dyDescent="0.25">
      <c r="B61" s="13" t="s">
        <v>73</v>
      </c>
      <c r="C61" s="13"/>
      <c r="D61" s="13"/>
      <c r="E61" s="13">
        <f>E22+E27</f>
        <v>488731.25</v>
      </c>
      <c r="F61" s="9"/>
      <c r="G61" s="9"/>
      <c r="H61" s="9"/>
      <c r="I61" s="9"/>
    </row>
    <row r="62" spans="2:9" x14ac:dyDescent="0.25">
      <c r="B62" s="13" t="s">
        <v>74</v>
      </c>
      <c r="C62" s="13"/>
      <c r="D62" s="13"/>
      <c r="E62" s="13">
        <f>E60-E61</f>
        <v>2011268.75</v>
      </c>
      <c r="F62" s="9"/>
      <c r="G62" s="9"/>
      <c r="H62" s="9"/>
      <c r="I62" s="9"/>
    </row>
    <row r="63" spans="2:9" x14ac:dyDescent="0.25">
      <c r="B63" s="25" t="s">
        <v>63</v>
      </c>
      <c r="C63" s="25"/>
      <c r="D63" s="25"/>
      <c r="E63" s="25"/>
      <c r="F63" s="9"/>
      <c r="G63" s="9"/>
      <c r="H63" s="9"/>
      <c r="I63" s="9"/>
    </row>
    <row r="64" spans="2:9" x14ac:dyDescent="0.25">
      <c r="B64" s="13" t="s">
        <v>64</v>
      </c>
      <c r="C64" s="13"/>
      <c r="D64" s="13"/>
      <c r="E64" s="13">
        <f>E36</f>
        <v>236299.99999999997</v>
      </c>
      <c r="F64" s="9"/>
      <c r="G64" s="9"/>
      <c r="H64" s="9"/>
      <c r="I64" s="9"/>
    </row>
    <row r="65" spans="2:9" x14ac:dyDescent="0.25">
      <c r="B65" s="13" t="s">
        <v>65</v>
      </c>
      <c r="C65" s="13"/>
      <c r="D65" s="13"/>
      <c r="E65" s="13">
        <f>E41</f>
        <v>100000</v>
      </c>
      <c r="F65" s="9"/>
      <c r="G65" s="9"/>
      <c r="H65" s="9"/>
      <c r="I65" s="9"/>
    </row>
    <row r="66" spans="2:9" x14ac:dyDescent="0.25">
      <c r="B66" s="13" t="s">
        <v>66</v>
      </c>
      <c r="C66" s="13"/>
      <c r="D66" s="13"/>
      <c r="E66" s="13">
        <f>E44</f>
        <v>20000</v>
      </c>
      <c r="F66" s="9"/>
      <c r="G66" s="9"/>
      <c r="H66" s="9"/>
      <c r="I66" s="9"/>
    </row>
    <row r="67" spans="2:9" x14ac:dyDescent="0.25">
      <c r="B67" s="13" t="s">
        <v>67</v>
      </c>
      <c r="C67" s="13"/>
      <c r="D67" s="13"/>
      <c r="E67" s="13">
        <f>E46</f>
        <v>194000</v>
      </c>
      <c r="F67" s="9"/>
      <c r="G67" s="9"/>
      <c r="H67" s="9"/>
      <c r="I67" s="9"/>
    </row>
    <row r="68" spans="2:9" x14ac:dyDescent="0.25">
      <c r="B68" s="13" t="s">
        <v>68</v>
      </c>
      <c r="C68" s="13"/>
      <c r="D68" s="13"/>
      <c r="E68" s="13">
        <f>SUM(E64:E67)</f>
        <v>550300</v>
      </c>
      <c r="F68" s="9"/>
      <c r="G68" s="9"/>
      <c r="H68" s="9"/>
      <c r="I68" s="9"/>
    </row>
    <row r="69" spans="2:9" x14ac:dyDescent="0.25">
      <c r="B69" s="13" t="s">
        <v>71</v>
      </c>
      <c r="C69" s="13"/>
      <c r="D69" s="13"/>
      <c r="E69" s="13">
        <f>E62-E68</f>
        <v>1460968.75</v>
      </c>
      <c r="F69" s="9"/>
      <c r="G69" s="9"/>
      <c r="H69" s="9"/>
      <c r="I69" s="9"/>
    </row>
    <row r="70" spans="2:9" x14ac:dyDescent="0.25">
      <c r="B70" s="13" t="s">
        <v>70</v>
      </c>
      <c r="C70" s="13"/>
      <c r="D70" s="13">
        <v>0.25</v>
      </c>
      <c r="E70" s="13">
        <f>E69*D70</f>
        <v>365242.1875</v>
      </c>
      <c r="F70" s="9"/>
      <c r="G70" s="9"/>
      <c r="H70" s="9"/>
      <c r="I70" s="9"/>
    </row>
    <row r="71" spans="2:9" x14ac:dyDescent="0.25">
      <c r="B71" s="13" t="s">
        <v>69</v>
      </c>
      <c r="C71" s="13"/>
      <c r="D71" s="13"/>
      <c r="E71" s="13">
        <f>E69-E70</f>
        <v>1095726.5625</v>
      </c>
      <c r="F71" s="9"/>
      <c r="G71" s="9"/>
      <c r="H71" s="9"/>
      <c r="I71" s="9"/>
    </row>
    <row r="72" spans="2:9" x14ac:dyDescent="0.25">
      <c r="B72" s="9"/>
      <c r="C72" s="9"/>
      <c r="D72" s="9"/>
      <c r="E72" s="9"/>
      <c r="F72" s="9"/>
      <c r="G72" s="9"/>
      <c r="H72" s="9"/>
      <c r="I72" s="9"/>
    </row>
    <row r="73" spans="2:9" x14ac:dyDescent="0.25">
      <c r="B73" s="9"/>
      <c r="C73" s="9"/>
      <c r="D73" s="9"/>
      <c r="E73" s="9"/>
      <c r="F73" s="9"/>
      <c r="G73" s="9"/>
      <c r="H73" s="9"/>
      <c r="I73" s="9"/>
    </row>
    <row r="74" spans="2:9" x14ac:dyDescent="0.25">
      <c r="B74" s="9"/>
      <c r="C74" s="9"/>
      <c r="D74" s="9"/>
      <c r="E74" s="9"/>
      <c r="F74" s="9"/>
      <c r="G74" s="9"/>
      <c r="H74" s="9"/>
      <c r="I74" s="9"/>
    </row>
    <row r="75" spans="2:9" x14ac:dyDescent="0.25">
      <c r="B75" s="9"/>
      <c r="C75" s="9"/>
      <c r="D75" s="9"/>
      <c r="E75" s="9"/>
      <c r="F75" s="9"/>
      <c r="G75" s="9"/>
      <c r="H75" s="9"/>
      <c r="I75" s="9"/>
    </row>
    <row r="76" spans="2:9" x14ac:dyDescent="0.25">
      <c r="B76" s="9"/>
      <c r="C76" s="9"/>
      <c r="D76" s="9"/>
      <c r="E76" s="9"/>
      <c r="F76" s="9"/>
      <c r="G76" s="9"/>
      <c r="H76" s="9"/>
      <c r="I76" s="9"/>
    </row>
    <row r="77" spans="2:9" x14ac:dyDescent="0.25">
      <c r="B77" s="9"/>
      <c r="C77" s="9"/>
      <c r="D77" s="9"/>
      <c r="E77" s="9"/>
      <c r="F77" s="9"/>
      <c r="G77" s="9"/>
      <c r="H77" s="9"/>
      <c r="I77" s="9"/>
    </row>
    <row r="78" spans="2:9" x14ac:dyDescent="0.25">
      <c r="B78" s="9"/>
      <c r="C78" s="9"/>
      <c r="D78" s="9"/>
      <c r="E78" s="9"/>
      <c r="F78" s="9"/>
      <c r="G78" s="9"/>
      <c r="H78" s="9"/>
      <c r="I78" s="9"/>
    </row>
    <row r="79" spans="2:9" x14ac:dyDescent="0.25">
      <c r="B79" s="9"/>
      <c r="C79" s="9"/>
      <c r="D79" s="9"/>
      <c r="E79" s="9"/>
      <c r="F79" s="9"/>
      <c r="G79" s="9"/>
      <c r="H79" s="9"/>
      <c r="I79" s="9"/>
    </row>
    <row r="80" spans="2:9" x14ac:dyDescent="0.25">
      <c r="B80" s="9"/>
      <c r="C80" s="9"/>
      <c r="D80" s="9"/>
      <c r="E80" s="9"/>
      <c r="F80" s="9"/>
      <c r="G80" s="9"/>
      <c r="H80" s="9"/>
      <c r="I80" s="9"/>
    </row>
    <row r="81" spans="2:9" x14ac:dyDescent="0.25">
      <c r="B81" s="9"/>
      <c r="C81" s="9"/>
      <c r="D81" s="9"/>
      <c r="E81" s="9"/>
      <c r="F81" s="9"/>
      <c r="G81" s="9"/>
      <c r="H81" s="9"/>
      <c r="I81" s="9"/>
    </row>
    <row r="82" spans="2:9" x14ac:dyDescent="0.25">
      <c r="B82" s="9"/>
      <c r="C82" s="9"/>
      <c r="D82" s="9"/>
      <c r="E82" s="9"/>
      <c r="F82" s="9"/>
      <c r="G82" s="9"/>
      <c r="H82" s="9"/>
      <c r="I82" s="9"/>
    </row>
    <row r="83" spans="2:9" x14ac:dyDescent="0.25">
      <c r="B83" s="9"/>
      <c r="C83" s="9"/>
      <c r="D83" s="9"/>
      <c r="E83" s="9"/>
      <c r="F83" s="9"/>
      <c r="G83" s="9"/>
      <c r="H83" s="9"/>
      <c r="I83" s="9"/>
    </row>
    <row r="84" spans="2:9" x14ac:dyDescent="0.25">
      <c r="B84" s="9"/>
      <c r="C84" s="9"/>
      <c r="D84" s="9"/>
      <c r="E84" s="9"/>
      <c r="F84" s="9"/>
      <c r="G84" s="9"/>
      <c r="H84" s="9"/>
      <c r="I84" s="9"/>
    </row>
    <row r="85" spans="2:9" x14ac:dyDescent="0.25">
      <c r="B85" s="9"/>
      <c r="C85" s="9"/>
      <c r="D85" s="9"/>
      <c r="E85" s="9"/>
      <c r="F85" s="9"/>
      <c r="G85" s="9"/>
      <c r="H85" s="9"/>
      <c r="I85" s="9"/>
    </row>
    <row r="86" spans="2:9" x14ac:dyDescent="0.25">
      <c r="B86" s="9"/>
      <c r="C86" s="9"/>
      <c r="D86" s="9"/>
      <c r="E86" s="9"/>
      <c r="F86" s="9"/>
      <c r="G86" s="9"/>
      <c r="H86" s="9"/>
      <c r="I86" s="9"/>
    </row>
    <row r="87" spans="2:9" x14ac:dyDescent="0.25">
      <c r="B87" s="9"/>
      <c r="C87" s="9"/>
      <c r="D87" s="9"/>
      <c r="E87" s="9"/>
      <c r="F87" s="9"/>
      <c r="G87" s="9"/>
      <c r="H87" s="9"/>
      <c r="I87" s="9"/>
    </row>
    <row r="88" spans="2:9" x14ac:dyDescent="0.25">
      <c r="B88" s="9"/>
      <c r="C88" s="9"/>
      <c r="D88" s="9"/>
      <c r="E88" s="9"/>
      <c r="F88" s="9"/>
      <c r="G88" s="9"/>
      <c r="H88" s="9"/>
      <c r="I88" s="9"/>
    </row>
    <row r="89" spans="2:9" x14ac:dyDescent="0.25">
      <c r="B89" s="9"/>
      <c r="C89" s="9"/>
      <c r="D89" s="9"/>
      <c r="E89" s="9"/>
      <c r="F89" s="9"/>
      <c r="G89" s="9"/>
      <c r="H89" s="9"/>
      <c r="I89" s="9"/>
    </row>
    <row r="90" spans="2:9" x14ac:dyDescent="0.25">
      <c r="B90" s="9"/>
      <c r="C90" s="9"/>
      <c r="D90" s="9"/>
      <c r="E90" s="9"/>
      <c r="F90" s="9"/>
      <c r="G90" s="9"/>
      <c r="H90" s="9"/>
      <c r="I90" s="9"/>
    </row>
    <row r="91" spans="2:9" x14ac:dyDescent="0.25">
      <c r="B91" s="9"/>
      <c r="C91" s="9"/>
      <c r="D91" s="9"/>
      <c r="E91" s="9"/>
      <c r="F91" s="9"/>
      <c r="G91" s="9"/>
      <c r="H91" s="9"/>
      <c r="I91" s="9"/>
    </row>
    <row r="92" spans="2:9" x14ac:dyDescent="0.25">
      <c r="B92" s="9"/>
      <c r="C92" s="9"/>
      <c r="D92" s="9"/>
      <c r="E92" s="9"/>
      <c r="F92" s="9"/>
      <c r="G92" s="9"/>
      <c r="H92" s="9"/>
      <c r="I92" s="9"/>
    </row>
    <row r="93" spans="2:9" x14ac:dyDescent="0.25">
      <c r="B93" s="9"/>
      <c r="C93" s="9"/>
      <c r="D93" s="9"/>
      <c r="E93" s="9"/>
      <c r="F93" s="9"/>
      <c r="G93" s="9"/>
      <c r="H93" s="9"/>
      <c r="I93" s="9"/>
    </row>
    <row r="94" spans="2:9" x14ac:dyDescent="0.25">
      <c r="B94" s="9"/>
      <c r="C94" s="9"/>
      <c r="D94" s="9"/>
      <c r="E94" s="9"/>
      <c r="F94" s="9"/>
      <c r="G94" s="9"/>
      <c r="H94" s="9"/>
      <c r="I94" s="9"/>
    </row>
    <row r="95" spans="2:9" x14ac:dyDescent="0.25">
      <c r="B95" s="9"/>
      <c r="C95" s="9"/>
      <c r="D95" s="9"/>
      <c r="E95" s="9"/>
      <c r="F95" s="9"/>
      <c r="G95" s="9"/>
      <c r="H95" s="9"/>
      <c r="I95" s="9"/>
    </row>
    <row r="96" spans="2:9" x14ac:dyDescent="0.25">
      <c r="B96" s="9"/>
      <c r="C96" s="9"/>
      <c r="D96" s="9"/>
      <c r="E96" s="9"/>
      <c r="F96" s="9"/>
      <c r="G96" s="9"/>
      <c r="H96" s="9"/>
      <c r="I96" s="9"/>
    </row>
    <row r="97" spans="2:9" x14ac:dyDescent="0.25">
      <c r="B97" s="9"/>
      <c r="C97" s="9"/>
      <c r="D97" s="9"/>
      <c r="E97" s="9"/>
      <c r="F97" s="9"/>
      <c r="G97" s="9"/>
      <c r="H97" s="9"/>
      <c r="I97" s="9"/>
    </row>
    <row r="98" spans="2:9" x14ac:dyDescent="0.25">
      <c r="B98" s="9"/>
      <c r="C98" s="9"/>
      <c r="D98" s="9"/>
      <c r="E98" s="9"/>
      <c r="F98" s="9"/>
      <c r="G98" s="9"/>
      <c r="H98" s="9"/>
      <c r="I98" s="9"/>
    </row>
    <row r="99" spans="2:9" x14ac:dyDescent="0.25">
      <c r="B99" s="9"/>
      <c r="C99" s="9"/>
      <c r="D99" s="9"/>
      <c r="E99" s="9"/>
      <c r="F99" s="9"/>
      <c r="G99" s="9"/>
      <c r="H99" s="9"/>
      <c r="I99" s="9"/>
    </row>
    <row r="100" spans="2:9" x14ac:dyDescent="0.25">
      <c r="B100" s="9"/>
      <c r="C100" s="9"/>
      <c r="D100" s="9"/>
      <c r="E100" s="9"/>
      <c r="F100" s="9"/>
      <c r="G100" s="9"/>
      <c r="H100" s="9"/>
      <c r="I100" s="9"/>
    </row>
    <row r="101" spans="2:9" x14ac:dyDescent="0.25">
      <c r="B101" s="9"/>
      <c r="C101" s="9"/>
      <c r="D101" s="9"/>
      <c r="E101" s="9"/>
      <c r="F101" s="9"/>
      <c r="G101" s="9"/>
      <c r="H101" s="9"/>
      <c r="I101" s="9"/>
    </row>
    <row r="102" spans="2:9" x14ac:dyDescent="0.25">
      <c r="B102" s="9"/>
      <c r="C102" s="9"/>
      <c r="D102" s="9"/>
      <c r="E102" s="9"/>
      <c r="F102" s="9"/>
      <c r="G102" s="9"/>
      <c r="H102" s="9"/>
      <c r="I102" s="9"/>
    </row>
    <row r="103" spans="2:9" x14ac:dyDescent="0.25">
      <c r="B103" s="9"/>
      <c r="C103" s="9"/>
      <c r="D103" s="9"/>
      <c r="E103" s="9"/>
      <c r="F103" s="9"/>
      <c r="G103" s="9"/>
      <c r="H103" s="9"/>
      <c r="I103" s="9"/>
    </row>
    <row r="104" spans="2:9" x14ac:dyDescent="0.25">
      <c r="B104" s="9"/>
      <c r="C104" s="9"/>
      <c r="D104" s="9"/>
      <c r="E104" s="9"/>
      <c r="F104" s="9"/>
      <c r="G104" s="9"/>
      <c r="H104" s="9"/>
      <c r="I104" s="9"/>
    </row>
    <row r="105" spans="2:9" x14ac:dyDescent="0.25">
      <c r="B105" s="9"/>
      <c r="C105" s="9"/>
      <c r="D105" s="9"/>
      <c r="E105" s="9"/>
      <c r="F105" s="9"/>
      <c r="G105" s="9"/>
      <c r="H105" s="9"/>
      <c r="I105" s="9"/>
    </row>
    <row r="106" spans="2:9" x14ac:dyDescent="0.25">
      <c r="B106" s="9"/>
      <c r="C106" s="9"/>
      <c r="D106" s="9"/>
      <c r="E106" s="9"/>
      <c r="F106" s="9"/>
      <c r="G106" s="9"/>
      <c r="H106" s="9"/>
      <c r="I106" s="9"/>
    </row>
    <row r="107" spans="2:9" x14ac:dyDescent="0.25">
      <c r="B107" s="9"/>
      <c r="C107" s="9"/>
      <c r="D107" s="9"/>
      <c r="E107" s="9"/>
      <c r="F107" s="9"/>
      <c r="G107" s="9"/>
      <c r="H107" s="9"/>
      <c r="I107" s="9"/>
    </row>
    <row r="108" spans="2:9" x14ac:dyDescent="0.25">
      <c r="B108" s="9"/>
      <c r="C108" s="9"/>
      <c r="D108" s="9"/>
      <c r="E108" s="9"/>
      <c r="F108" s="9"/>
      <c r="G108" s="9"/>
      <c r="H108" s="9"/>
      <c r="I108" s="9"/>
    </row>
    <row r="109" spans="2:9" x14ac:dyDescent="0.25">
      <c r="B109" s="9"/>
      <c r="C109" s="9"/>
      <c r="D109" s="9"/>
      <c r="E109" s="9"/>
      <c r="F109" s="9"/>
      <c r="G109" s="9"/>
      <c r="H109" s="9"/>
      <c r="I109" s="9"/>
    </row>
    <row r="110" spans="2:9" x14ac:dyDescent="0.25">
      <c r="B110" s="9"/>
      <c r="C110" s="9"/>
      <c r="D110" s="9"/>
      <c r="E110" s="9"/>
      <c r="F110" s="9"/>
      <c r="G110" s="9"/>
      <c r="H110" s="9"/>
      <c r="I110" s="9"/>
    </row>
    <row r="111" spans="2:9" x14ac:dyDescent="0.25">
      <c r="B111" s="9"/>
      <c r="C111" s="9"/>
      <c r="D111" s="9"/>
      <c r="E111" s="9"/>
      <c r="F111" s="9"/>
      <c r="G111" s="9"/>
      <c r="H111" s="9"/>
      <c r="I111" s="9"/>
    </row>
    <row r="112" spans="2:9" x14ac:dyDescent="0.25">
      <c r="B112" s="9"/>
      <c r="C112" s="9"/>
      <c r="D112" s="9"/>
      <c r="E112" s="9"/>
      <c r="F112" s="9"/>
      <c r="G112" s="9"/>
      <c r="H112" s="9"/>
      <c r="I112" s="9"/>
    </row>
    <row r="113" spans="2:9" x14ac:dyDescent="0.25">
      <c r="B113" s="9"/>
      <c r="C113" s="9"/>
      <c r="D113" s="9"/>
      <c r="E113" s="9"/>
      <c r="F113" s="9"/>
      <c r="G113" s="9"/>
      <c r="H113" s="9"/>
      <c r="I113" s="9"/>
    </row>
  </sheetData>
  <mergeCells count="13">
    <mergeCell ref="B58:E58"/>
    <mergeCell ref="B59:E59"/>
    <mergeCell ref="B63:E63"/>
    <mergeCell ref="G2:I2"/>
    <mergeCell ref="C3:E3"/>
    <mergeCell ref="G3:I3"/>
    <mergeCell ref="C4:D4"/>
    <mergeCell ref="B16:E16"/>
    <mergeCell ref="B23:E23"/>
    <mergeCell ref="B30:E30"/>
    <mergeCell ref="B38:E38"/>
    <mergeCell ref="B43:E43"/>
    <mergeCell ref="C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Leonardo Mogiano Gutierrez</dc:creator>
  <cp:lastModifiedBy>Moises Leonardo Mogiano Gutierrez</cp:lastModifiedBy>
  <dcterms:created xsi:type="dcterms:W3CDTF">2021-10-16T06:57:47Z</dcterms:created>
  <dcterms:modified xsi:type="dcterms:W3CDTF">2021-10-22T01:29:04Z</dcterms:modified>
</cp:coreProperties>
</file>