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60" windowHeight="88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" l="1"/>
  <c r="G75" i="1" l="1"/>
  <c r="G76" i="1"/>
  <c r="G74" i="1"/>
  <c r="B146" i="1" l="1"/>
  <c r="F126" i="1"/>
  <c r="E126" i="1"/>
  <c r="D126" i="1"/>
  <c r="C126" i="1"/>
  <c r="F118" i="1"/>
  <c r="E118" i="1"/>
  <c r="D118" i="1"/>
  <c r="C118" i="1"/>
  <c r="F81" i="1"/>
  <c r="F99" i="1" s="1"/>
  <c r="E81" i="1"/>
  <c r="E99" i="1" s="1"/>
  <c r="D81" i="1"/>
  <c r="D99" i="1" s="1"/>
  <c r="C81" i="1"/>
  <c r="C99" i="1" s="1"/>
  <c r="E25" i="1"/>
  <c r="E35" i="1"/>
  <c r="E20" i="1"/>
  <c r="D4" i="1"/>
  <c r="E13" i="1"/>
  <c r="B8" i="1"/>
  <c r="B9" i="1" s="1"/>
  <c r="B14" i="1" s="1"/>
  <c r="D8" i="1"/>
  <c r="E22" i="1"/>
  <c r="C8" i="1"/>
  <c r="B4" i="1"/>
  <c r="F131" i="1"/>
  <c r="F115" i="1"/>
  <c r="E115" i="1"/>
  <c r="D115" i="1"/>
  <c r="C115" i="1"/>
  <c r="B11" i="1" l="1"/>
  <c r="B12" i="1"/>
  <c r="F80" i="1"/>
  <c r="E80" i="1"/>
  <c r="D80" i="1"/>
  <c r="C80" i="1"/>
  <c r="F79" i="1"/>
  <c r="F97" i="1" s="1"/>
  <c r="E79" i="1"/>
  <c r="E97" i="1" s="1"/>
  <c r="D79" i="1"/>
  <c r="D97" i="1" s="1"/>
  <c r="C79" i="1"/>
  <c r="E88" i="1" l="1"/>
  <c r="E98" i="1"/>
  <c r="E100" i="1" s="1"/>
  <c r="E103" i="1" s="1"/>
  <c r="D88" i="1"/>
  <c r="E84" i="1" s="1"/>
  <c r="D98" i="1"/>
  <c r="D100" i="1" s="1"/>
  <c r="D103" i="1" s="1"/>
  <c r="F88" i="1"/>
  <c r="F98" i="1"/>
  <c r="F100" i="1" s="1"/>
  <c r="C87" i="1"/>
  <c r="C92" i="1" s="1"/>
  <c r="C97" i="1"/>
  <c r="C98" i="1"/>
  <c r="F84" i="1"/>
  <c r="D87" i="1"/>
  <c r="E83" i="1" s="1"/>
  <c r="D89" i="1"/>
  <c r="E85" i="1" s="1"/>
  <c r="E87" i="1"/>
  <c r="F83" i="1" s="1"/>
  <c r="E89" i="1"/>
  <c r="F85" i="1" s="1"/>
  <c r="F87" i="1"/>
  <c r="F89" i="1"/>
  <c r="D83" i="1"/>
  <c r="C88" i="1"/>
  <c r="D84" i="1" s="1"/>
  <c r="C89" i="1"/>
  <c r="D85" i="1" s="1"/>
  <c r="B140" i="1"/>
  <c r="B141" i="1" s="1"/>
  <c r="B144" i="1"/>
  <c r="E145" i="1" l="1"/>
  <c r="E135" i="1" s="1"/>
  <c r="C145" i="1"/>
  <c r="C135" i="1" s="1"/>
  <c r="C100" i="1"/>
  <c r="C112" i="1"/>
  <c r="C106" i="1"/>
  <c r="C103" i="1"/>
  <c r="G100" i="1"/>
  <c r="C93" i="1"/>
  <c r="D145" i="1"/>
  <c r="D135" i="1" s="1"/>
  <c r="F145" i="1"/>
  <c r="F135" i="1" s="1"/>
  <c r="C146" i="1"/>
  <c r="C134" i="1" s="1"/>
  <c r="F130" i="1"/>
  <c r="E130" i="1"/>
  <c r="D130" i="1"/>
  <c r="C130" i="1"/>
  <c r="E131" i="1"/>
  <c r="D131" i="1"/>
  <c r="C131" i="1"/>
  <c r="F127" i="1"/>
  <c r="E127" i="1"/>
  <c r="D127" i="1"/>
  <c r="C127" i="1"/>
  <c r="F125" i="1"/>
  <c r="E125" i="1"/>
  <c r="D125" i="1"/>
  <c r="C125" i="1"/>
  <c r="F124" i="1"/>
  <c r="E124" i="1"/>
  <c r="E128" i="1" s="1"/>
  <c r="D124" i="1"/>
  <c r="D128" i="1" s="1"/>
  <c r="C124" i="1"/>
  <c r="C128" i="1" s="1"/>
  <c r="F120" i="1"/>
  <c r="E120" i="1"/>
  <c r="D120" i="1"/>
  <c r="C120" i="1"/>
  <c r="F119" i="1"/>
  <c r="E119" i="1"/>
  <c r="D119" i="1"/>
  <c r="D121" i="1" s="1"/>
  <c r="C119" i="1"/>
  <c r="C121" i="1" s="1"/>
  <c r="C107" i="1" l="1"/>
  <c r="C113" i="1"/>
  <c r="C144" i="1"/>
  <c r="F128" i="1"/>
  <c r="C132" i="1"/>
  <c r="E132" i="1"/>
  <c r="D132" i="1"/>
  <c r="F132" i="1"/>
  <c r="E121" i="1"/>
  <c r="F121" i="1"/>
  <c r="G121" i="1" l="1"/>
  <c r="D144" i="1"/>
  <c r="D146" i="1"/>
  <c r="D134" i="1" s="1"/>
  <c r="E144" i="1" l="1"/>
  <c r="F144" i="1" s="1"/>
  <c r="E146" i="1"/>
  <c r="E134" i="1" s="1"/>
  <c r="D92" i="1"/>
  <c r="D93" i="1"/>
  <c r="E92" i="1"/>
  <c r="E112" i="1" s="1"/>
  <c r="E93" i="1"/>
  <c r="E94" i="1"/>
  <c r="F92" i="1"/>
  <c r="F112" i="1" s="1"/>
  <c r="F93" i="1"/>
  <c r="F94" i="1"/>
  <c r="D94" i="1"/>
  <c r="C94" i="1"/>
  <c r="E60" i="1"/>
  <c r="C108" i="1" l="1"/>
  <c r="C114" i="1"/>
  <c r="D113" i="1"/>
  <c r="D107" i="1"/>
  <c r="D114" i="1"/>
  <c r="D108" i="1"/>
  <c r="E108" i="1"/>
  <c r="E114" i="1"/>
  <c r="D112" i="1"/>
  <c r="C109" i="1"/>
  <c r="F113" i="1"/>
  <c r="F107" i="1"/>
  <c r="F114" i="1"/>
  <c r="F108" i="1"/>
  <c r="E107" i="1"/>
  <c r="E113" i="1"/>
  <c r="F106" i="1"/>
  <c r="C111" i="1"/>
  <c r="D106" i="1"/>
  <c r="E109" i="1"/>
  <c r="E106" i="1"/>
  <c r="E111" i="1"/>
  <c r="F146" i="1"/>
  <c r="F134" i="1" s="1"/>
  <c r="F103" i="1"/>
  <c r="E110" i="1"/>
  <c r="C110" i="1"/>
  <c r="C4" i="1"/>
  <c r="C9" i="1"/>
  <c r="D9" i="1"/>
  <c r="E23" i="1"/>
  <c r="E24" i="1"/>
  <c r="K30" i="1"/>
  <c r="L30" i="1" s="1"/>
  <c r="K31" i="1"/>
  <c r="L31" i="1" s="1"/>
  <c r="K32" i="1"/>
  <c r="L32" i="1" s="1"/>
  <c r="K33" i="1"/>
  <c r="L33" i="1" s="1"/>
  <c r="E59" i="1"/>
  <c r="F116" i="1" l="1"/>
  <c r="C14" i="1"/>
  <c r="C11" i="1"/>
  <c r="D116" i="1"/>
  <c r="C116" i="1"/>
  <c r="D14" i="1"/>
  <c r="D11" i="1"/>
  <c r="D12" i="1"/>
  <c r="C12" i="1"/>
  <c r="E116" i="1"/>
  <c r="E4" i="1"/>
  <c r="D5" i="1" s="1"/>
  <c r="E9" i="1"/>
  <c r="E30" i="1"/>
  <c r="L34" i="1"/>
  <c r="E38" i="1" l="1"/>
  <c r="C138" i="1"/>
  <c r="C139" i="1" s="1"/>
  <c r="E53" i="1"/>
  <c r="B5" i="1"/>
  <c r="B13" i="1" s="1"/>
  <c r="E61" i="1"/>
  <c r="D138" i="1"/>
  <c r="D139" i="1" s="1"/>
  <c r="D140" i="1" s="1"/>
  <c r="F138" i="1"/>
  <c r="F139" i="1" s="1"/>
  <c r="F140" i="1" s="1"/>
  <c r="E138" i="1"/>
  <c r="E139" i="1" s="1"/>
  <c r="E140" i="1" s="1"/>
  <c r="E40" i="1"/>
  <c r="C5" i="1"/>
  <c r="C13" i="1" s="1"/>
  <c r="D13" i="1"/>
  <c r="E58" i="1"/>
  <c r="C141" i="1" l="1"/>
  <c r="C140" i="1"/>
  <c r="D141" i="1"/>
  <c r="E141" i="1" s="1"/>
  <c r="F141" i="1" s="1"/>
  <c r="E62" i="1"/>
  <c r="B40" i="1"/>
  <c r="B46" i="1" s="1"/>
  <c r="B15" i="1"/>
  <c r="D20" i="1"/>
  <c r="C20" i="1"/>
  <c r="E5" i="1"/>
  <c r="B20" i="1"/>
  <c r="D40" i="1"/>
  <c r="C40" i="1"/>
  <c r="C15" i="1" l="1"/>
  <c r="C46" i="1"/>
  <c r="D15" i="1"/>
  <c r="D46" i="1"/>
  <c r="E15" i="1" l="1"/>
  <c r="E54" i="1" s="1"/>
  <c r="E55" i="1" s="1"/>
  <c r="E63" i="1" s="1"/>
  <c r="E64" i="1" s="1"/>
  <c r="E41" i="1" l="1"/>
  <c r="E65" i="1"/>
  <c r="C44" i="1" l="1"/>
  <c r="C45" i="1" s="1"/>
  <c r="C48" i="1" s="1"/>
  <c r="D44" i="1"/>
  <c r="D45" i="1" s="1"/>
  <c r="D48" i="1" s="1"/>
  <c r="E42" i="1"/>
  <c r="B44" i="1"/>
  <c r="B45" i="1" s="1"/>
  <c r="D43" i="1"/>
  <c r="B43" i="1"/>
  <c r="C43" i="1"/>
  <c r="B48" i="1" l="1"/>
  <c r="B49" i="1"/>
  <c r="C49" i="1"/>
  <c r="D49" i="1"/>
</calcChain>
</file>

<file path=xl/sharedStrings.xml><?xml version="1.0" encoding="utf-8"?>
<sst xmlns="http://schemas.openxmlformats.org/spreadsheetml/2006/main" count="134" uniqueCount="118">
  <si>
    <t>PRODUCTOS</t>
  </si>
  <si>
    <t>Ventas</t>
  </si>
  <si>
    <t>Precio</t>
  </si>
  <si>
    <t>Ingresos</t>
  </si>
  <si>
    <t>Participación</t>
  </si>
  <si>
    <t>Inventario inicial</t>
  </si>
  <si>
    <t>Inventario final</t>
  </si>
  <si>
    <t>Producción</t>
  </si>
  <si>
    <t>Materia prima</t>
  </si>
  <si>
    <t>Mano de obra</t>
  </si>
  <si>
    <t>Energía eléctrica</t>
  </si>
  <si>
    <t>COSTOS DIRECTOS</t>
  </si>
  <si>
    <t>QUEQUES</t>
  </si>
  <si>
    <t>Gerente</t>
  </si>
  <si>
    <t>Secretaria</t>
  </si>
  <si>
    <t>Contador</t>
  </si>
  <si>
    <t>Repartidor</t>
  </si>
  <si>
    <t>Limpieza</t>
  </si>
  <si>
    <t>COSTOS INDIRECTOS</t>
  </si>
  <si>
    <t>Mantenimiento</t>
  </si>
  <si>
    <t>Respuestos</t>
  </si>
  <si>
    <t>Material de escritorio</t>
  </si>
  <si>
    <t>Servicios</t>
  </si>
  <si>
    <t>Alquiler y otros</t>
  </si>
  <si>
    <t>COSTOS ADMINISTRATIVOS</t>
  </si>
  <si>
    <t>Publicidad</t>
  </si>
  <si>
    <t>Promoción</t>
  </si>
  <si>
    <t>Distribución</t>
  </si>
  <si>
    <t>COSTOS COMERCIALES</t>
  </si>
  <si>
    <t>COSTOS FINANCIEROS</t>
  </si>
  <si>
    <t>Depreciación</t>
  </si>
  <si>
    <t>EDIFICIOS</t>
  </si>
  <si>
    <t>VEHICULOS</t>
  </si>
  <si>
    <t>MAQUINARIAS</t>
  </si>
  <si>
    <t>MUEBLES</t>
  </si>
  <si>
    <t>%</t>
  </si>
  <si>
    <t>AÑOS</t>
  </si>
  <si>
    <t>VALOR REDISUAL</t>
  </si>
  <si>
    <t>DEPRECIACIÓN</t>
  </si>
  <si>
    <t>COSTOS INDIRECTOS FABRICACIÓN</t>
  </si>
  <si>
    <t>COSTOS DIRECTOS DE FABRICACIÓN</t>
  </si>
  <si>
    <t>COSTOS TOTALES</t>
  </si>
  <si>
    <t>COSTO DIRECTO UNITARIO</t>
  </si>
  <si>
    <t>COSTOS VARIABLES</t>
  </si>
  <si>
    <t>COSTO VARIABLE UNITARIO</t>
  </si>
  <si>
    <t>Margen de contribución</t>
  </si>
  <si>
    <t>Cantidad de equilibrio</t>
  </si>
  <si>
    <t>COSTOS FIJOS</t>
  </si>
  <si>
    <t>ESTADO DE RESULTADO:</t>
  </si>
  <si>
    <t>INGRESOS:</t>
  </si>
  <si>
    <t>Costos de fabricación</t>
  </si>
  <si>
    <t>EGRESOS:</t>
  </si>
  <si>
    <t>Costos administrativos</t>
  </si>
  <si>
    <t>Costos comerciales</t>
  </si>
  <si>
    <t>Costos financieros</t>
  </si>
  <si>
    <t>Utilidad Bruta</t>
  </si>
  <si>
    <t>Utilidad neta</t>
  </si>
  <si>
    <t>Impuestos</t>
  </si>
  <si>
    <t>Los costos variables superan las ventas y se debe conducir a suspender la producción.</t>
  </si>
  <si>
    <t>Los costos totales superan a los ingresos totales.</t>
  </si>
  <si>
    <t>TOTAL</t>
  </si>
  <si>
    <t>TOTAL EGRESOS</t>
  </si>
  <si>
    <t>TOTAL INGRESOS</t>
  </si>
  <si>
    <t>Insumos</t>
  </si>
  <si>
    <t>Queques</t>
  </si>
  <si>
    <t>INV. Inicial Queques</t>
  </si>
  <si>
    <t>Inv. Final Queques</t>
  </si>
  <si>
    <t>PRODUCCION</t>
  </si>
  <si>
    <t>Caja y Banco</t>
  </si>
  <si>
    <t xml:space="preserve">Prestamo banco </t>
  </si>
  <si>
    <t>EGRESOS</t>
  </si>
  <si>
    <t xml:space="preserve">Materia Prima queques </t>
  </si>
  <si>
    <t>Insumo queque</t>
  </si>
  <si>
    <t>COSTO FINANCIERO</t>
  </si>
  <si>
    <t>INVERSIONES</t>
  </si>
  <si>
    <t xml:space="preserve">DEPRECIACION </t>
  </si>
  <si>
    <t xml:space="preserve">RESULTADO </t>
  </si>
  <si>
    <t>RESULTADO ACUMULADO</t>
  </si>
  <si>
    <t>CAPITAL</t>
  </si>
  <si>
    <t>AMORTIZACION</t>
  </si>
  <si>
    <t xml:space="preserve">TOTAL VENTA </t>
  </si>
  <si>
    <t>INGRESOS</t>
  </si>
  <si>
    <t>TOTAL DE INGRESOS</t>
  </si>
  <si>
    <t>PRESTAMO</t>
  </si>
  <si>
    <t>PASTELES</t>
  </si>
  <si>
    <t xml:space="preserve">PRESUPUESTO: Panaderia "Dulce y Salado" </t>
  </si>
  <si>
    <t>Pasteles</t>
  </si>
  <si>
    <t>Galletas</t>
  </si>
  <si>
    <t xml:space="preserve">Ventas actuales </t>
  </si>
  <si>
    <t>Ventas planeadas</t>
  </si>
  <si>
    <t>INV. Inicial Pasteles</t>
  </si>
  <si>
    <t>Inv. Inicial Galletas</t>
  </si>
  <si>
    <t>Inv. Final Pasteles</t>
  </si>
  <si>
    <t>Inv. Final Galletas</t>
  </si>
  <si>
    <t>Mano de obra directa</t>
  </si>
  <si>
    <t>TOTAL COSTO DIRECTO</t>
  </si>
  <si>
    <t>Repuestos</t>
  </si>
  <si>
    <t>Personal de limpieza</t>
  </si>
  <si>
    <t>SUELDOS Y SALARIOS</t>
  </si>
  <si>
    <t>COSTO ADMINISTRATIVOS</t>
  </si>
  <si>
    <t>COSTO INDIRECTO DE FABRICACIÓN</t>
  </si>
  <si>
    <t xml:space="preserve">Servicios basicos </t>
  </si>
  <si>
    <t>Promocion y distribucion</t>
  </si>
  <si>
    <t>COSTO COMERCIALES</t>
  </si>
  <si>
    <t>Materia Prima pasteles</t>
  </si>
  <si>
    <t>Materia prima galletas</t>
  </si>
  <si>
    <t>Insumo pasteles</t>
  </si>
  <si>
    <t>Insumo galleta</t>
  </si>
  <si>
    <t>Brownies</t>
  </si>
  <si>
    <t xml:space="preserve">seguros </t>
  </si>
  <si>
    <t>Bs.</t>
  </si>
  <si>
    <t>INTERESES (12% anual)</t>
  </si>
  <si>
    <t>BROWNIES</t>
  </si>
  <si>
    <t>Energia electrica pasteles</t>
  </si>
  <si>
    <t>Energia electrica queques</t>
  </si>
  <si>
    <t>Energia electrica galletas</t>
  </si>
  <si>
    <t>Seguros</t>
  </si>
  <si>
    <t>Alquileres y 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</si>
</sst>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9392B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</cellStyleXfs>
  <cellXfs count="96">
    <xf numFmtId="0" fontId="0" fillId="0" borderId="0" xfId="0"/>
    <xf numFmtId="43" fontId="0" fillId="0" borderId="0" xfId="1" applyFont="1"/>
    <xf numFmtId="43" fontId="1" fillId="6" borderId="1" xfId="6" applyNumberFormat="1" applyBorder="1"/>
    <xf numFmtId="43" fontId="1" fillId="5" borderId="1" xfId="5" applyNumberFormat="1" applyBorder="1"/>
    <xf numFmtId="9" fontId="1" fillId="5" borderId="1" xfId="5" applyNumberFormat="1" applyBorder="1"/>
    <xf numFmtId="43" fontId="2" fillId="4" borderId="1" xfId="4" applyNumberFormat="1" applyBorder="1"/>
    <xf numFmtId="0" fontId="1" fillId="5" borderId="0" xfId="5"/>
    <xf numFmtId="0" fontId="1" fillId="3" borderId="1" xfId="3" applyBorder="1"/>
    <xf numFmtId="43" fontId="1" fillId="2" borderId="1" xfId="2" applyNumberFormat="1" applyBorder="1"/>
    <xf numFmtId="43" fontId="1" fillId="2" borderId="2" xfId="2" applyNumberFormat="1" applyBorder="1"/>
    <xf numFmtId="43" fontId="1" fillId="2" borderId="3" xfId="2" applyNumberFormat="1" applyBorder="1"/>
    <xf numFmtId="43" fontId="1" fillId="2" borderId="4" xfId="2" applyNumberFormat="1" applyBorder="1"/>
    <xf numFmtId="0" fontId="2" fillId="7" borderId="1" xfId="7" applyBorder="1"/>
    <xf numFmtId="0" fontId="1" fillId="3" borderId="6" xfId="3" applyBorder="1"/>
    <xf numFmtId="43" fontId="1" fillId="2" borderId="8" xfId="2" applyNumberFormat="1" applyBorder="1"/>
    <xf numFmtId="43" fontId="1" fillId="2" borderId="9" xfId="2" applyNumberFormat="1" applyBorder="1"/>
    <xf numFmtId="43" fontId="1" fillId="2" borderId="10" xfId="2" applyNumberFormat="1" applyBorder="1"/>
    <xf numFmtId="43" fontId="1" fillId="2" borderId="7" xfId="2" applyNumberFormat="1" applyBorder="1"/>
    <xf numFmtId="43" fontId="1" fillId="2" borderId="11" xfId="2" applyNumberFormat="1" applyBorder="1"/>
    <xf numFmtId="43" fontId="1" fillId="2" borderId="0" xfId="2" applyNumberFormat="1" applyBorder="1"/>
    <xf numFmtId="43" fontId="1" fillId="2" borderId="5" xfId="2" applyNumberFormat="1" applyBorder="1"/>
    <xf numFmtId="43" fontId="1" fillId="2" borderId="12" xfId="2" applyNumberFormat="1" applyBorder="1"/>
    <xf numFmtId="43" fontId="1" fillId="2" borderId="13" xfId="2" applyNumberFormat="1" applyBorder="1"/>
    <xf numFmtId="43" fontId="1" fillId="2" borderId="14" xfId="2" applyNumberFormat="1" applyBorder="1"/>
    <xf numFmtId="0" fontId="2" fillId="4" borderId="6" xfId="4" applyBorder="1"/>
    <xf numFmtId="0" fontId="2" fillId="7" borderId="6" xfId="7" applyBorder="1"/>
    <xf numFmtId="43" fontId="1" fillId="2" borderId="15" xfId="2" applyNumberFormat="1" applyBorder="1"/>
    <xf numFmtId="43" fontId="1" fillId="2" borderId="6" xfId="2" applyNumberFormat="1" applyBorder="1"/>
    <xf numFmtId="0" fontId="1" fillId="6" borderId="0" xfId="6"/>
    <xf numFmtId="43" fontId="1" fillId="6" borderId="7" xfId="6" applyNumberFormat="1" applyBorder="1"/>
    <xf numFmtId="43" fontId="1" fillId="6" borderId="0" xfId="6" applyNumberFormat="1" applyBorder="1"/>
    <xf numFmtId="43" fontId="1" fillId="6" borderId="8" xfId="6" applyNumberFormat="1" applyBorder="1"/>
    <xf numFmtId="43" fontId="1" fillId="6" borderId="9" xfId="6" applyNumberFormat="1" applyBorder="1"/>
    <xf numFmtId="43" fontId="1" fillId="6" borderId="10" xfId="6" applyNumberFormat="1" applyBorder="1"/>
    <xf numFmtId="43" fontId="1" fillId="6" borderId="11" xfId="6" applyNumberFormat="1" applyBorder="1"/>
    <xf numFmtId="43" fontId="1" fillId="6" borderId="5" xfId="6" applyNumberFormat="1" applyBorder="1"/>
    <xf numFmtId="43" fontId="1" fillId="6" borderId="12" xfId="6" applyNumberFormat="1" applyBorder="1"/>
    <xf numFmtId="43" fontId="1" fillId="6" borderId="13" xfId="6" applyNumberFormat="1" applyBorder="1"/>
    <xf numFmtId="43" fontId="1" fillId="6" borderId="14" xfId="6" applyNumberFormat="1" applyBorder="1"/>
    <xf numFmtId="9" fontId="1" fillId="6" borderId="1" xfId="6" applyNumberFormat="1" applyBorder="1" applyAlignment="1">
      <alignment horizontal="center"/>
    </xf>
    <xf numFmtId="43" fontId="2" fillId="4" borderId="7" xfId="4" applyNumberFormat="1" applyBorder="1"/>
    <xf numFmtId="43" fontId="2" fillId="7" borderId="1" xfId="7" applyNumberFormat="1" applyBorder="1"/>
    <xf numFmtId="164" fontId="0" fillId="0" borderId="0" xfId="0" applyNumberFormat="1"/>
    <xf numFmtId="43" fontId="0" fillId="0" borderId="0" xfId="1" applyFont="1" applyAlignment="1"/>
    <xf numFmtId="164" fontId="0" fillId="0" borderId="0" xfId="0" applyNumberFormat="1" applyFill="1"/>
    <xf numFmtId="0" fontId="0" fillId="11" borderId="0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43" fontId="0" fillId="11" borderId="1" xfId="1" applyFont="1" applyFill="1" applyBorder="1"/>
    <xf numFmtId="0" fontId="0" fillId="9" borderId="6" xfId="0" applyFill="1" applyBorder="1"/>
    <xf numFmtId="43" fontId="0" fillId="11" borderId="7" xfId="1" applyFont="1" applyFill="1" applyBorder="1"/>
    <xf numFmtId="0" fontId="0" fillId="11" borderId="2" xfId="0" applyFill="1" applyBorder="1"/>
    <xf numFmtId="0" fontId="0" fillId="11" borderId="4" xfId="0" applyFill="1" applyBorder="1"/>
    <xf numFmtId="0" fontId="0" fillId="11" borderId="3" xfId="0" applyFill="1" applyBorder="1"/>
    <xf numFmtId="0" fontId="2" fillId="10" borderId="2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0" fillId="11" borderId="13" xfId="0" applyFill="1" applyBorder="1"/>
    <xf numFmtId="0" fontId="2" fillId="10" borderId="1" xfId="1" applyNumberFormat="1" applyFont="1" applyFill="1" applyBorder="1" applyAlignment="1">
      <alignment horizontal="center"/>
    </xf>
    <xf numFmtId="0" fontId="2" fillId="10" borderId="2" xfId="0" applyNumberFormat="1" applyFont="1" applyFill="1" applyBorder="1" applyAlignment="1">
      <alignment horizontal="center"/>
    </xf>
    <xf numFmtId="164" fontId="0" fillId="11" borderId="1" xfId="0" applyNumberFormat="1" applyFill="1" applyBorder="1"/>
    <xf numFmtId="0" fontId="0" fillId="11" borderId="7" xfId="0" applyFill="1" applyBorder="1"/>
    <xf numFmtId="0" fontId="0" fillId="8" borderId="1" xfId="0" applyFill="1" applyBorder="1"/>
    <xf numFmtId="164" fontId="0" fillId="11" borderId="7" xfId="0" applyNumberFormat="1" applyFill="1" applyBorder="1"/>
    <xf numFmtId="164" fontId="0" fillId="11" borderId="6" xfId="0" applyNumberFormat="1" applyFill="1" applyBorder="1"/>
    <xf numFmtId="164" fontId="0" fillId="11" borderId="3" xfId="0" applyNumberFormat="1" applyFill="1" applyBorder="1"/>
    <xf numFmtId="164" fontId="0" fillId="11" borderId="4" xfId="0" applyNumberFormat="1" applyFill="1" applyBorder="1"/>
    <xf numFmtId="164" fontId="0" fillId="11" borderId="10" xfId="0" applyNumberFormat="1" applyFill="1" applyBorder="1"/>
    <xf numFmtId="164" fontId="0" fillId="11" borderId="2" xfId="0" applyNumberFormat="1" applyFill="1" applyBorder="1"/>
    <xf numFmtId="164" fontId="0" fillId="11" borderId="12" xfId="0" applyNumberFormat="1" applyFill="1" applyBorder="1"/>
    <xf numFmtId="43" fontId="0" fillId="11" borderId="8" xfId="1" applyFont="1" applyFill="1" applyBorder="1"/>
    <xf numFmtId="43" fontId="0" fillId="11" borderId="9" xfId="1" applyFont="1" applyFill="1" applyBorder="1"/>
    <xf numFmtId="0" fontId="0" fillId="11" borderId="12" xfId="0" applyFill="1" applyBorder="1"/>
    <xf numFmtId="164" fontId="0" fillId="11" borderId="8" xfId="0" applyNumberFormat="1" applyFill="1" applyBorder="1"/>
    <xf numFmtId="0" fontId="0" fillId="11" borderId="9" xfId="0" applyFill="1" applyBorder="1"/>
    <xf numFmtId="0" fontId="0" fillId="11" borderId="5" xfId="0" applyFill="1" applyBorder="1"/>
    <xf numFmtId="164" fontId="0" fillId="11" borderId="15" xfId="0" applyNumberFormat="1" applyFill="1" applyBorder="1"/>
    <xf numFmtId="0" fontId="0" fillId="11" borderId="10" xfId="0" applyFill="1" applyBorder="1"/>
    <xf numFmtId="4" fontId="0" fillId="11" borderId="1" xfId="1" applyNumberFormat="1" applyFont="1" applyFill="1" applyBorder="1"/>
    <xf numFmtId="4" fontId="0" fillId="11" borderId="1" xfId="0" applyNumberFormat="1" applyFill="1" applyBorder="1"/>
    <xf numFmtId="43" fontId="3" fillId="11" borderId="1" xfId="1" applyFont="1" applyFill="1" applyBorder="1"/>
    <xf numFmtId="43" fontId="3" fillId="11" borderId="7" xfId="0" applyNumberFormat="1" applyFont="1" applyFill="1" applyBorder="1"/>
    <xf numFmtId="10" fontId="0" fillId="11" borderId="7" xfId="0" applyNumberFormat="1" applyFill="1" applyBorder="1"/>
    <xf numFmtId="43" fontId="0" fillId="0" borderId="0" xfId="0" applyNumberFormat="1"/>
    <xf numFmtId="43" fontId="5" fillId="11" borderId="13" xfId="1" applyFont="1" applyFill="1" applyBorder="1"/>
    <xf numFmtId="43" fontId="5" fillId="11" borderId="15" xfId="1" applyFont="1" applyFill="1" applyBorder="1"/>
    <xf numFmtId="1" fontId="0" fillId="0" borderId="0" xfId="1" applyNumberFormat="1" applyFont="1"/>
    <xf numFmtId="165" fontId="0" fillId="0" borderId="0" xfId="0" applyNumberFormat="1"/>
    <xf numFmtId="1" fontId="0" fillId="0" borderId="0" xfId="0" applyNumberFormat="1"/>
    <xf numFmtId="1" fontId="0" fillId="11" borderId="1" xfId="1" applyNumberFormat="1" applyFont="1" applyFill="1" applyBorder="1"/>
    <xf numFmtId="43" fontId="1" fillId="6" borderId="3" xfId="6" applyNumberFormat="1" applyBorder="1"/>
    <xf numFmtId="43" fontId="0" fillId="12" borderId="1" xfId="1" applyFont="1" applyFill="1" applyBorder="1"/>
    <xf numFmtId="43" fontId="2" fillId="4" borderId="7" xfId="4" applyNumberFormat="1" applyBorder="1" applyAlignment="1">
      <alignment horizontal="center" vertical="center"/>
    </xf>
    <xf numFmtId="43" fontId="2" fillId="4" borderId="1" xfId="4" applyNumberFormat="1" applyBorder="1" applyAlignment="1">
      <alignment horizontal="center" vertical="center"/>
    </xf>
    <xf numFmtId="0" fontId="4" fillId="0" borderId="0" xfId="0" applyFont="1" applyAlignment="1">
      <alignment horizontal="center"/>
    </xf>
    <xf numFmtId="43" fontId="0" fillId="2" borderId="7" xfId="2" applyNumberFormat="1" applyFont="1" applyBorder="1"/>
  </cellXfs>
  <cellStyles count="8">
    <cellStyle name="20% - Énfasis1" xfId="2" builtinId="30"/>
    <cellStyle name="20% - Énfasis2" xfId="5" builtinId="34"/>
    <cellStyle name="40% - Énfasis1" xfId="3" builtinId="31"/>
    <cellStyle name="40% - Énfasis2" xfId="6" builtinId="35"/>
    <cellStyle name="Énfasis2" xfId="4" builtinId="33"/>
    <cellStyle name="Énfasis5" xfId="7" builtinId="45"/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E93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55"/>
  <sheetViews>
    <sheetView tabSelected="1" zoomScale="80" zoomScaleNormal="80" workbookViewId="0">
      <selection activeCell="E18" sqref="E18"/>
    </sheetView>
  </sheetViews>
  <sheetFormatPr baseColWidth="10" defaultColWidth="9.140625" defaultRowHeight="15" x14ac:dyDescent="0.25"/>
  <cols>
    <col min="1" max="1" width="35.140625" customWidth="1"/>
    <col min="2" max="2" width="16.42578125" customWidth="1"/>
    <col min="3" max="3" width="15.85546875" customWidth="1"/>
    <col min="4" max="5" width="15.28515625" customWidth="1"/>
    <col min="6" max="6" width="14.5703125" customWidth="1"/>
    <col min="7" max="7" width="15.28515625" customWidth="1"/>
    <col min="8" max="8" width="15.140625" customWidth="1"/>
    <col min="9" max="10" width="14" customWidth="1"/>
    <col min="11" max="11" width="17.7109375" customWidth="1"/>
    <col min="12" max="12" width="15.7109375" customWidth="1"/>
    <col min="13" max="13" width="21" customWidth="1"/>
    <col min="14" max="14" width="17" customWidth="1"/>
  </cols>
  <sheetData>
    <row r="1" spans="1:56" x14ac:dyDescent="0.25">
      <c r="A1" s="12" t="s">
        <v>0</v>
      </c>
      <c r="B1" s="41" t="s">
        <v>84</v>
      </c>
      <c r="C1" s="41" t="s">
        <v>12</v>
      </c>
      <c r="D1" s="41" t="s">
        <v>112</v>
      </c>
      <c r="E1" s="41" t="s">
        <v>60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x14ac:dyDescent="0.25">
      <c r="A2" s="7" t="s">
        <v>1</v>
      </c>
      <c r="B2" s="8">
        <v>12000</v>
      </c>
      <c r="C2" s="8">
        <v>70000</v>
      </c>
      <c r="D2" s="8">
        <v>170000</v>
      </c>
      <c r="E2" s="9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 x14ac:dyDescent="0.25">
      <c r="A3" s="7" t="s">
        <v>2</v>
      </c>
      <c r="B3" s="8">
        <v>170</v>
      </c>
      <c r="C3" s="8">
        <v>30</v>
      </c>
      <c r="D3" s="8">
        <v>15</v>
      </c>
      <c r="E3" s="10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x14ac:dyDescent="0.25">
      <c r="A4" s="7" t="s">
        <v>3</v>
      </c>
      <c r="B4" s="8">
        <f>B2*B3</f>
        <v>2040000</v>
      </c>
      <c r="C4" s="8">
        <f t="shared" ref="C4" si="0">C2*C3</f>
        <v>2100000</v>
      </c>
      <c r="D4" s="8">
        <f>D2*D3</f>
        <v>2550000</v>
      </c>
      <c r="E4" s="8">
        <f>SUM(B4:D4)</f>
        <v>6690000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x14ac:dyDescent="0.25">
      <c r="A5" s="7" t="s">
        <v>4</v>
      </c>
      <c r="B5" s="8">
        <f>B4/E4</f>
        <v>0.30493273542600896</v>
      </c>
      <c r="C5" s="8">
        <f>C4/E4</f>
        <v>0.31390134529147984</v>
      </c>
      <c r="D5" s="8">
        <f>D4/E4</f>
        <v>0.3811659192825112</v>
      </c>
      <c r="E5" s="8">
        <f>SUM(B5:D5)</f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spans="1:56" x14ac:dyDescent="0.25"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x14ac:dyDescent="0.25">
      <c r="A7" s="7" t="s">
        <v>5</v>
      </c>
      <c r="B7" s="8">
        <v>50</v>
      </c>
      <c r="C7" s="8">
        <v>60</v>
      </c>
      <c r="D7" s="8">
        <v>100</v>
      </c>
      <c r="E7" s="9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x14ac:dyDescent="0.25">
      <c r="A8" s="7" t="s">
        <v>6</v>
      </c>
      <c r="B8" s="8">
        <f>B2*0.03</f>
        <v>360</v>
      </c>
      <c r="C8" s="8">
        <f>C2*0.03</f>
        <v>2100</v>
      </c>
      <c r="D8" s="8">
        <f>D2*0.03</f>
        <v>5100</v>
      </c>
      <c r="E8" s="10"/>
      <c r="F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x14ac:dyDescent="0.25">
      <c r="A9" s="7" t="s">
        <v>7</v>
      </c>
      <c r="B9" s="8">
        <f>B2-B7+B8</f>
        <v>12310</v>
      </c>
      <c r="C9" s="8">
        <f t="shared" ref="C9:D9" si="1">C2-C7+C8</f>
        <v>72040</v>
      </c>
      <c r="D9" s="8">
        <f t="shared" si="1"/>
        <v>175000</v>
      </c>
      <c r="E9" s="8">
        <f>SUM(B9:D9)</f>
        <v>259350</v>
      </c>
      <c r="F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x14ac:dyDescent="0.25">
      <c r="B10" s="1"/>
      <c r="C10" s="1"/>
      <c r="D10" s="1"/>
      <c r="E10" s="1"/>
      <c r="F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x14ac:dyDescent="0.25">
      <c r="A11" s="7" t="s">
        <v>8</v>
      </c>
      <c r="B11" s="8">
        <f>(B9*50)</f>
        <v>615500</v>
      </c>
      <c r="C11" s="8">
        <f>(C9*6.5)</f>
        <v>468260</v>
      </c>
      <c r="D11" s="8">
        <f>(D9*2.5)</f>
        <v>437500</v>
      </c>
      <c r="E11" s="8"/>
      <c r="F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x14ac:dyDescent="0.25">
      <c r="A12" s="7" t="s">
        <v>63</v>
      </c>
      <c r="B12" s="8">
        <f>B9</f>
        <v>12310</v>
      </c>
      <c r="C12" s="8">
        <f>C9</f>
        <v>72040</v>
      </c>
      <c r="D12" s="8">
        <f>D9/10</f>
        <v>17500</v>
      </c>
      <c r="E12" s="8"/>
      <c r="F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x14ac:dyDescent="0.25">
      <c r="A13" s="7" t="s">
        <v>9</v>
      </c>
      <c r="B13" s="8">
        <f>E13*B5</f>
        <v>82057.399103139018</v>
      </c>
      <c r="C13" s="8">
        <f>E13*C5</f>
        <v>84470.852017937228</v>
      </c>
      <c r="D13" s="8">
        <f>E13*D5</f>
        <v>102571.74887892377</v>
      </c>
      <c r="E13" s="8">
        <f>((2*3000)+(2*3000)+(3*2000))*1.15*13</f>
        <v>269100</v>
      </c>
      <c r="F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x14ac:dyDescent="0.25">
      <c r="A14" s="7" t="s">
        <v>10</v>
      </c>
      <c r="B14" s="8">
        <f>(B9/100)*60*1.2</f>
        <v>8863.1999999999989</v>
      </c>
      <c r="C14" s="8">
        <f>(C9/300)*60*1.2</f>
        <v>17289.599999999999</v>
      </c>
      <c r="D14" s="8">
        <f>(D9/500)*60*1.2</f>
        <v>25200</v>
      </c>
      <c r="E14" s="8"/>
      <c r="F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x14ac:dyDescent="0.25">
      <c r="A15" s="12" t="s">
        <v>40</v>
      </c>
      <c r="B15" s="8">
        <f>SUM(B11:B14)</f>
        <v>718730.59910313901</v>
      </c>
      <c r="C15" s="8">
        <f>SUM(C11:C14)</f>
        <v>642060.4520179372</v>
      </c>
      <c r="D15" s="8">
        <f t="shared" ref="D15" si="2">SUM(D11:D14)</f>
        <v>582771.74887892371</v>
      </c>
      <c r="E15" s="8">
        <f>SUM(B15:D15)</f>
        <v>1943562.7999999998</v>
      </c>
      <c r="F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x14ac:dyDescent="0.25">
      <c r="A17" s="13" t="s">
        <v>16</v>
      </c>
      <c r="B17" s="18"/>
      <c r="C17" s="19"/>
      <c r="D17" s="20"/>
      <c r="E17" s="95">
        <f>2000*13*1.15</f>
        <v>29899.999999999996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x14ac:dyDescent="0.25">
      <c r="A18" s="13" t="s">
        <v>19</v>
      </c>
      <c r="B18" s="18"/>
      <c r="C18" s="19"/>
      <c r="D18" s="20"/>
      <c r="E18" s="17">
        <v>10000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x14ac:dyDescent="0.25">
      <c r="A19" s="13" t="s">
        <v>20</v>
      </c>
      <c r="B19" s="21"/>
      <c r="C19" s="22"/>
      <c r="D19" s="23"/>
      <c r="E19" s="17">
        <v>8000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x14ac:dyDescent="0.25">
      <c r="A20" s="12" t="s">
        <v>39</v>
      </c>
      <c r="B20" s="10">
        <f>E20*B5</f>
        <v>14606.278026905829</v>
      </c>
      <c r="C20" s="10">
        <f>E20*C5</f>
        <v>15035.874439461884</v>
      </c>
      <c r="D20" s="10">
        <f>E20*D5</f>
        <v>18257.847533632288</v>
      </c>
      <c r="E20" s="8">
        <f>SUM(E17:E19)</f>
        <v>47900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x14ac:dyDescent="0.25">
      <c r="A22" s="7" t="s">
        <v>13</v>
      </c>
      <c r="B22" s="15"/>
      <c r="C22" s="15"/>
      <c r="D22" s="15"/>
      <c r="E22" s="8">
        <f>8000*13*1.15</f>
        <v>119599.99999999999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x14ac:dyDescent="0.25">
      <c r="A23" s="7" t="s">
        <v>14</v>
      </c>
      <c r="B23" s="19"/>
      <c r="C23" s="19"/>
      <c r="D23" s="19"/>
      <c r="E23" s="8">
        <f>3500*13*1.15</f>
        <v>52324.999999999993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x14ac:dyDescent="0.25">
      <c r="A24" s="7" t="s">
        <v>15</v>
      </c>
      <c r="B24" s="19"/>
      <c r="C24" s="19"/>
      <c r="D24" s="19"/>
      <c r="E24" s="8">
        <f>4500*13*1.15</f>
        <v>67275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x14ac:dyDescent="0.25">
      <c r="A25" s="7" t="s">
        <v>17</v>
      </c>
      <c r="B25" s="19"/>
      <c r="C25" s="19"/>
      <c r="D25" s="19"/>
      <c r="E25" s="8">
        <f>2*2500*13*1.15</f>
        <v>74750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x14ac:dyDescent="0.25">
      <c r="A26" s="7" t="s">
        <v>21</v>
      </c>
      <c r="B26" s="19"/>
      <c r="C26" s="19"/>
      <c r="D26" s="19"/>
      <c r="E26" s="8">
        <v>4000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x14ac:dyDescent="0.25">
      <c r="A27" s="7" t="s">
        <v>22</v>
      </c>
      <c r="B27" s="19"/>
      <c r="C27" s="19"/>
      <c r="D27" s="19"/>
      <c r="E27" s="8">
        <v>8000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x14ac:dyDescent="0.25">
      <c r="A28" s="7" t="s">
        <v>109</v>
      </c>
      <c r="B28" s="19"/>
      <c r="C28" s="19"/>
      <c r="D28" s="19"/>
      <c r="E28" s="8">
        <v>10000</v>
      </c>
      <c r="F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x14ac:dyDescent="0.25">
      <c r="A29" s="7" t="s">
        <v>23</v>
      </c>
      <c r="B29" s="19"/>
      <c r="C29" s="19"/>
      <c r="D29" s="19"/>
      <c r="E29" s="8">
        <v>20000</v>
      </c>
      <c r="F29" s="1"/>
      <c r="G29" s="91" t="s">
        <v>38</v>
      </c>
      <c r="H29" s="92" t="s">
        <v>110</v>
      </c>
      <c r="I29" s="93" t="s">
        <v>35</v>
      </c>
      <c r="J29" s="93" t="s">
        <v>36</v>
      </c>
      <c r="K29" s="5" t="s">
        <v>37</v>
      </c>
      <c r="L29" s="5" t="s">
        <v>38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x14ac:dyDescent="0.25">
      <c r="A30" s="12" t="s">
        <v>24</v>
      </c>
      <c r="B30" s="22"/>
      <c r="C30" s="22"/>
      <c r="D30" s="22"/>
      <c r="E30" s="8">
        <f>SUM(E22:E29)</f>
        <v>355950</v>
      </c>
      <c r="F30" s="1"/>
      <c r="G30" s="90" t="s">
        <v>31</v>
      </c>
      <c r="H30" s="3">
        <v>1500000</v>
      </c>
      <c r="I30" s="4">
        <v>0.5</v>
      </c>
      <c r="J30" s="3">
        <v>20</v>
      </c>
      <c r="K30" s="3">
        <f>H30*I30</f>
        <v>750000</v>
      </c>
      <c r="L30" s="3">
        <f>(H30-K30)/J30</f>
        <v>37500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x14ac:dyDescent="0.25">
      <c r="B31" s="1"/>
      <c r="C31" s="1"/>
      <c r="D31" s="1"/>
      <c r="E31" s="1"/>
      <c r="F31" s="1"/>
      <c r="G31" s="2" t="s">
        <v>32</v>
      </c>
      <c r="H31" s="3">
        <v>300000</v>
      </c>
      <c r="I31" s="4">
        <v>0.5</v>
      </c>
      <c r="J31" s="3">
        <v>5</v>
      </c>
      <c r="K31" s="3">
        <f t="shared" ref="K31:K33" si="3">H31*I31</f>
        <v>150000</v>
      </c>
      <c r="L31" s="3">
        <f t="shared" ref="L31:L33" si="4">(H31-K31)/J31</f>
        <v>30000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x14ac:dyDescent="0.25">
      <c r="A32" s="13" t="s">
        <v>25</v>
      </c>
      <c r="B32" s="14"/>
      <c r="C32" s="15"/>
      <c r="D32" s="16"/>
      <c r="E32" s="17">
        <v>8000</v>
      </c>
      <c r="F32" s="1"/>
      <c r="G32" s="2" t="s">
        <v>33</v>
      </c>
      <c r="H32" s="3">
        <v>100000</v>
      </c>
      <c r="I32" s="4">
        <v>0.25</v>
      </c>
      <c r="J32" s="3">
        <v>10</v>
      </c>
      <c r="K32" s="3">
        <f t="shared" si="3"/>
        <v>25000</v>
      </c>
      <c r="L32" s="3">
        <f t="shared" si="4"/>
        <v>7500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x14ac:dyDescent="0.25">
      <c r="A33" s="13" t="s">
        <v>26</v>
      </c>
      <c r="B33" s="18"/>
      <c r="C33" s="19"/>
      <c r="D33" s="20"/>
      <c r="E33" s="17">
        <v>6000</v>
      </c>
      <c r="F33" s="1"/>
      <c r="G33" s="2" t="s">
        <v>34</v>
      </c>
      <c r="H33" s="3">
        <v>40000</v>
      </c>
      <c r="I33" s="4">
        <v>0.25</v>
      </c>
      <c r="J33" s="3">
        <v>5</v>
      </c>
      <c r="K33" s="3">
        <f t="shared" si="3"/>
        <v>10000</v>
      </c>
      <c r="L33" s="3">
        <f t="shared" si="4"/>
        <v>6000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x14ac:dyDescent="0.25">
      <c r="A34" s="13" t="s">
        <v>27</v>
      </c>
      <c r="B34" s="18"/>
      <c r="C34" s="19"/>
      <c r="D34" s="20"/>
      <c r="E34" s="17">
        <v>6000</v>
      </c>
      <c r="F34" s="1"/>
      <c r="G34" s="1"/>
      <c r="H34" s="1"/>
      <c r="I34" s="1"/>
      <c r="J34" s="1"/>
      <c r="K34" s="1"/>
      <c r="L34" s="2">
        <f>SUM(L30:L33)</f>
        <v>81000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x14ac:dyDescent="0.25">
      <c r="A35" s="25" t="s">
        <v>28</v>
      </c>
      <c r="B35" s="18"/>
      <c r="C35" s="19"/>
      <c r="D35" s="20"/>
      <c r="E35" s="17">
        <f>SUM(E32:E34)</f>
        <v>20000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x14ac:dyDescent="0.25">
      <c r="A36" s="25" t="s">
        <v>29</v>
      </c>
      <c r="B36" s="21"/>
      <c r="C36" s="22"/>
      <c r="D36" s="23"/>
      <c r="E36" s="17">
        <v>12000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x14ac:dyDescent="0.25">
      <c r="A38" s="12" t="s">
        <v>30</v>
      </c>
      <c r="B38" s="26"/>
      <c r="C38" s="26"/>
      <c r="D38" s="26"/>
      <c r="E38" s="8">
        <f>L34</f>
        <v>81000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x14ac:dyDescent="0.25">
      <c r="A40" s="12" t="s">
        <v>18</v>
      </c>
      <c r="B40" s="9">
        <f>B5*E40</f>
        <v>157604.48430493273</v>
      </c>
      <c r="C40" s="9">
        <f>C5*E40</f>
        <v>162239.91031390135</v>
      </c>
      <c r="D40" s="9">
        <f>D5*E40</f>
        <v>197005.60538116592</v>
      </c>
      <c r="E40" s="8">
        <f>E20+E30+E35+E36+E38</f>
        <v>516850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x14ac:dyDescent="0.25">
      <c r="A41" s="12" t="s">
        <v>11</v>
      </c>
      <c r="B41" s="14"/>
      <c r="C41" s="15"/>
      <c r="D41" s="16"/>
      <c r="E41" s="17">
        <f>E15</f>
        <v>1943562.7999999998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x14ac:dyDescent="0.25">
      <c r="A42" s="12" t="s">
        <v>41</v>
      </c>
      <c r="B42" s="21"/>
      <c r="C42" s="22"/>
      <c r="D42" s="23"/>
      <c r="E42" s="16">
        <f>SUM(E40:E41)</f>
        <v>2460412.7999999998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x14ac:dyDescent="0.25">
      <c r="A43" s="12" t="s">
        <v>42</v>
      </c>
      <c r="B43" s="10">
        <f>E41/B9</f>
        <v>157.88487408610885</v>
      </c>
      <c r="C43" s="10">
        <f>E41/C9</f>
        <v>26.978939478067737</v>
      </c>
      <c r="D43" s="21">
        <f>E41/D9</f>
        <v>11.106073142857142</v>
      </c>
      <c r="E43" s="9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x14ac:dyDescent="0.25">
      <c r="A44" s="12" t="s">
        <v>43</v>
      </c>
      <c r="B44" s="8">
        <f>E41-B13</f>
        <v>1861505.4008968608</v>
      </c>
      <c r="C44" s="8">
        <f>E41-C13</f>
        <v>1859091.9479820626</v>
      </c>
      <c r="D44" s="27">
        <f>E41-D13</f>
        <v>1840991.0511210761</v>
      </c>
      <c r="E44" s="1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x14ac:dyDescent="0.25">
      <c r="A45" s="12" t="s">
        <v>44</v>
      </c>
      <c r="B45" s="8">
        <f>B44/B9</f>
        <v>151.21896026781971</v>
      </c>
      <c r="C45" s="8">
        <f>C44/C9</f>
        <v>25.806384619406753</v>
      </c>
      <c r="D45" s="27">
        <f>D44/D9</f>
        <v>10.519948863549006</v>
      </c>
      <c r="E45" s="1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x14ac:dyDescent="0.25">
      <c r="A46" s="12" t="s">
        <v>47</v>
      </c>
      <c r="B46" s="8">
        <f>B40+B13</f>
        <v>239661.88340807176</v>
      </c>
      <c r="C46" s="8">
        <f>C40+C13</f>
        <v>246710.76233183857</v>
      </c>
      <c r="D46" s="27">
        <f>D40+D13</f>
        <v>299577.35426008969</v>
      </c>
      <c r="E46" s="10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x14ac:dyDescent="0.25">
      <c r="A48" s="12" t="s">
        <v>45</v>
      </c>
      <c r="B48" s="8">
        <f>B3-B45</f>
        <v>18.78103973218029</v>
      </c>
      <c r="C48" s="8">
        <f>C3-C45</f>
        <v>4.193615380593247</v>
      </c>
      <c r="D48" s="8">
        <f>D3-D45</f>
        <v>4.4800511364509941</v>
      </c>
      <c r="E48" s="9"/>
      <c r="F48" s="1" t="s">
        <v>58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x14ac:dyDescent="0.25">
      <c r="A49" s="12" t="s">
        <v>46</v>
      </c>
      <c r="B49" s="8">
        <f>B46/(B3-B45)</f>
        <v>12760.842148553904</v>
      </c>
      <c r="C49" s="8">
        <f>C46/(C3-C45)</f>
        <v>58830.088108113006</v>
      </c>
      <c r="D49" s="8">
        <f>D46/(D3-D45)</f>
        <v>66869.18187666242</v>
      </c>
      <c r="E49" s="10"/>
      <c r="F49" s="1" t="s">
        <v>59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x14ac:dyDescent="0.25">
      <c r="A51" s="6" t="s">
        <v>48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x14ac:dyDescent="0.25">
      <c r="A52" s="6" t="s">
        <v>49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x14ac:dyDescent="0.25">
      <c r="A53" s="24" t="s">
        <v>1</v>
      </c>
      <c r="B53" s="31"/>
      <c r="C53" s="32"/>
      <c r="D53" s="33"/>
      <c r="E53" s="29">
        <f>E4</f>
        <v>6690000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x14ac:dyDescent="0.25">
      <c r="A54" s="24" t="s">
        <v>50</v>
      </c>
      <c r="B54" s="34"/>
      <c r="C54" s="30"/>
      <c r="D54" s="35"/>
      <c r="E54" s="29">
        <f>E15+E20</f>
        <v>1991462.7999999998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x14ac:dyDescent="0.25">
      <c r="A55" s="24" t="s">
        <v>62</v>
      </c>
      <c r="B55" s="36"/>
      <c r="C55" s="37"/>
      <c r="D55" s="38"/>
      <c r="E55" s="40">
        <f>E53-E54</f>
        <v>4698537.2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x14ac:dyDescent="0.25">
      <c r="A57" s="28" t="s">
        <v>51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x14ac:dyDescent="0.25">
      <c r="A58" s="24" t="s">
        <v>52</v>
      </c>
      <c r="B58" s="31"/>
      <c r="C58" s="32"/>
      <c r="D58" s="33"/>
      <c r="E58" s="29">
        <f>E30</f>
        <v>355950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x14ac:dyDescent="0.25">
      <c r="A59" s="24" t="s">
        <v>53</v>
      </c>
      <c r="B59" s="34"/>
      <c r="C59" s="30"/>
      <c r="D59" s="35"/>
      <c r="E59" s="29">
        <f>E35</f>
        <v>20000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x14ac:dyDescent="0.25">
      <c r="A60" s="24" t="s">
        <v>54</v>
      </c>
      <c r="B60" s="34"/>
      <c r="C60" s="30"/>
      <c r="D60" s="35"/>
      <c r="E60" s="29">
        <f>E36</f>
        <v>12000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x14ac:dyDescent="0.25">
      <c r="A61" s="24" t="s">
        <v>30</v>
      </c>
      <c r="B61" s="34"/>
      <c r="C61" s="30"/>
      <c r="D61" s="35"/>
      <c r="E61" s="29">
        <f>E38</f>
        <v>81000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x14ac:dyDescent="0.25">
      <c r="A62" s="24" t="s">
        <v>61</v>
      </c>
      <c r="B62" s="34"/>
      <c r="C62" s="30"/>
      <c r="D62" s="35"/>
      <c r="E62" s="40">
        <f>SUM(E58:E61)</f>
        <v>468950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x14ac:dyDescent="0.25">
      <c r="A63" s="24" t="s">
        <v>55</v>
      </c>
      <c r="B63" s="34"/>
      <c r="C63" s="30"/>
      <c r="D63" s="35"/>
      <c r="E63" s="40">
        <f>E55-E62</f>
        <v>4229587.2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x14ac:dyDescent="0.25">
      <c r="A64" s="24" t="s">
        <v>57</v>
      </c>
      <c r="B64" s="39">
        <v>0.25</v>
      </c>
      <c r="C64" s="30"/>
      <c r="D64" s="35"/>
      <c r="E64" s="29">
        <f>E63*B64</f>
        <v>1057396.8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x14ac:dyDescent="0.25">
      <c r="A65" s="24" t="s">
        <v>56</v>
      </c>
      <c r="B65" s="36"/>
      <c r="C65" s="37"/>
      <c r="D65" s="38"/>
      <c r="E65" s="40">
        <f>E63-E64</f>
        <v>3172190.4000000004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</row>
    <row r="67" spans="1:56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</row>
    <row r="70" spans="1:56" ht="21" x14ac:dyDescent="0.35">
      <c r="A70" s="94" t="s">
        <v>85</v>
      </c>
      <c r="B70" s="94"/>
      <c r="C70" s="94"/>
    </row>
    <row r="73" spans="1:56" x14ac:dyDescent="0.25">
      <c r="A73" s="46" t="s">
        <v>88</v>
      </c>
      <c r="B73" s="55">
        <v>0</v>
      </c>
      <c r="C73" s="56">
        <v>1</v>
      </c>
      <c r="D73" s="56">
        <v>2</v>
      </c>
      <c r="E73" s="56">
        <v>3</v>
      </c>
      <c r="F73" s="56">
        <v>4</v>
      </c>
    </row>
    <row r="74" spans="1:56" x14ac:dyDescent="0.25">
      <c r="A74" s="50" t="s">
        <v>86</v>
      </c>
      <c r="B74" s="52"/>
      <c r="C74" s="51">
        <v>3500</v>
      </c>
      <c r="D74" s="49">
        <v>2500</v>
      </c>
      <c r="E74" s="49">
        <v>2000</v>
      </c>
      <c r="F74" s="49">
        <v>4000</v>
      </c>
      <c r="G74" s="83">
        <f>SUM(C74:F74)</f>
        <v>12000</v>
      </c>
    </row>
    <row r="75" spans="1:56" x14ac:dyDescent="0.25">
      <c r="A75" s="50" t="s">
        <v>64</v>
      </c>
      <c r="B75" s="53"/>
      <c r="C75" s="51">
        <v>18500</v>
      </c>
      <c r="D75" s="49">
        <v>17500</v>
      </c>
      <c r="E75" s="49">
        <v>17000</v>
      </c>
      <c r="F75" s="49">
        <v>17000</v>
      </c>
      <c r="G75" s="83">
        <f t="shared" ref="G75:G76" si="5">SUM(C75:F75)</f>
        <v>70000</v>
      </c>
    </row>
    <row r="76" spans="1:56" x14ac:dyDescent="0.25">
      <c r="A76" s="50" t="s">
        <v>108</v>
      </c>
      <c r="B76" s="54"/>
      <c r="C76" s="51">
        <v>42000</v>
      </c>
      <c r="D76" s="49">
        <v>43000</v>
      </c>
      <c r="E76" s="49">
        <v>44000</v>
      </c>
      <c r="F76" s="49">
        <v>41000</v>
      </c>
      <c r="G76" s="83">
        <f t="shared" si="5"/>
        <v>170000</v>
      </c>
    </row>
    <row r="77" spans="1:56" x14ac:dyDescent="0.25">
      <c r="C77" s="1"/>
      <c r="D77" s="1"/>
      <c r="E77" s="1"/>
      <c r="F77" s="1"/>
    </row>
    <row r="78" spans="1:56" x14ac:dyDescent="0.25">
      <c r="A78" s="46" t="s">
        <v>89</v>
      </c>
      <c r="B78" s="59">
        <v>0</v>
      </c>
      <c r="C78" s="58">
        <v>1</v>
      </c>
      <c r="D78" s="58">
        <v>2</v>
      </c>
      <c r="E78" s="58">
        <v>3</v>
      </c>
      <c r="F78" s="58">
        <v>4</v>
      </c>
    </row>
    <row r="79" spans="1:56" x14ac:dyDescent="0.25">
      <c r="A79" s="50" t="s">
        <v>86</v>
      </c>
      <c r="B79" s="52"/>
      <c r="C79" s="51">
        <f t="shared" ref="C79:F80" si="6">C74*1.05</f>
        <v>3675</v>
      </c>
      <c r="D79" s="51">
        <f t="shared" si="6"/>
        <v>2625</v>
      </c>
      <c r="E79" s="51">
        <f t="shared" si="6"/>
        <v>2100</v>
      </c>
      <c r="F79" s="51">
        <f t="shared" si="6"/>
        <v>4200</v>
      </c>
    </row>
    <row r="80" spans="1:56" x14ac:dyDescent="0.25">
      <c r="A80" s="50" t="s">
        <v>64</v>
      </c>
      <c r="B80" s="53"/>
      <c r="C80" s="51">
        <f t="shared" si="6"/>
        <v>19425</v>
      </c>
      <c r="D80" s="51">
        <f t="shared" si="6"/>
        <v>18375</v>
      </c>
      <c r="E80" s="51">
        <f t="shared" si="6"/>
        <v>17850</v>
      </c>
      <c r="F80" s="51">
        <f t="shared" si="6"/>
        <v>17850</v>
      </c>
    </row>
    <row r="81" spans="1:7" x14ac:dyDescent="0.25">
      <c r="A81" s="50" t="s">
        <v>108</v>
      </c>
      <c r="B81" s="54"/>
      <c r="C81" s="51">
        <f>C76*1.05</f>
        <v>44100</v>
      </c>
      <c r="D81" s="51">
        <f>D76*1.05</f>
        <v>45150</v>
      </c>
      <c r="E81" s="51">
        <f>E76*1.05</f>
        <v>46200</v>
      </c>
      <c r="F81" s="51">
        <f>F76*1.05</f>
        <v>43050</v>
      </c>
    </row>
    <row r="82" spans="1:7" x14ac:dyDescent="0.25">
      <c r="C82" s="1"/>
      <c r="D82" s="1"/>
      <c r="E82" s="1"/>
      <c r="F82" s="1"/>
    </row>
    <row r="83" spans="1:7" x14ac:dyDescent="0.25">
      <c r="A83" s="46" t="s">
        <v>90</v>
      </c>
      <c r="B83" s="74"/>
      <c r="C83" s="89">
        <v>360</v>
      </c>
      <c r="D83" s="89">
        <f t="shared" ref="D83:F85" si="7">C87</f>
        <v>110.25</v>
      </c>
      <c r="E83" s="89">
        <f t="shared" si="7"/>
        <v>78.75</v>
      </c>
      <c r="F83" s="89">
        <f t="shared" si="7"/>
        <v>63</v>
      </c>
      <c r="G83" s="87"/>
    </row>
    <row r="84" spans="1:7" x14ac:dyDescent="0.25">
      <c r="A84" s="46" t="s">
        <v>65</v>
      </c>
      <c r="B84" s="45"/>
      <c r="C84" s="89">
        <v>2100</v>
      </c>
      <c r="D84" s="89">
        <f t="shared" si="7"/>
        <v>582.75</v>
      </c>
      <c r="E84" s="89">
        <f t="shared" si="7"/>
        <v>551.25</v>
      </c>
      <c r="F84" s="89">
        <f t="shared" si="7"/>
        <v>535.5</v>
      </c>
      <c r="G84" s="88"/>
    </row>
    <row r="85" spans="1:7" x14ac:dyDescent="0.25">
      <c r="A85" s="46" t="s">
        <v>91</v>
      </c>
      <c r="B85" s="57"/>
      <c r="C85" s="89">
        <v>5100</v>
      </c>
      <c r="D85" s="89">
        <f t="shared" si="7"/>
        <v>1323</v>
      </c>
      <c r="E85" s="89">
        <f t="shared" si="7"/>
        <v>1354.5</v>
      </c>
      <c r="F85" s="89">
        <f t="shared" si="7"/>
        <v>1386</v>
      </c>
      <c r="G85" s="87"/>
    </row>
    <row r="86" spans="1:7" x14ac:dyDescent="0.25">
      <c r="C86" s="86"/>
      <c r="D86" s="86"/>
      <c r="E86" s="86"/>
      <c r="F86" s="86"/>
    </row>
    <row r="87" spans="1:7" x14ac:dyDescent="0.25">
      <c r="A87" s="46" t="s">
        <v>92</v>
      </c>
      <c r="B87" s="74"/>
      <c r="C87" s="89">
        <f>C79*0.03</f>
        <v>110.25</v>
      </c>
      <c r="D87" s="89">
        <f t="shared" ref="C87:F89" si="8">D79*0.03</f>
        <v>78.75</v>
      </c>
      <c r="E87" s="89">
        <f t="shared" si="8"/>
        <v>63</v>
      </c>
      <c r="F87" s="89">
        <f t="shared" si="8"/>
        <v>126</v>
      </c>
      <c r="G87" s="88"/>
    </row>
    <row r="88" spans="1:7" x14ac:dyDescent="0.25">
      <c r="A88" s="46" t="s">
        <v>66</v>
      </c>
      <c r="B88" s="45"/>
      <c r="C88" s="89">
        <f t="shared" si="8"/>
        <v>582.75</v>
      </c>
      <c r="D88" s="89">
        <f t="shared" si="8"/>
        <v>551.25</v>
      </c>
      <c r="E88" s="89">
        <f t="shared" si="8"/>
        <v>535.5</v>
      </c>
      <c r="F88" s="89">
        <f t="shared" si="8"/>
        <v>535.5</v>
      </c>
      <c r="G88" s="88"/>
    </row>
    <row r="89" spans="1:7" x14ac:dyDescent="0.25">
      <c r="A89" s="46" t="s">
        <v>93</v>
      </c>
      <c r="B89" s="57"/>
      <c r="C89" s="89">
        <f t="shared" si="8"/>
        <v>1323</v>
      </c>
      <c r="D89" s="89">
        <f t="shared" si="8"/>
        <v>1354.5</v>
      </c>
      <c r="E89" s="89">
        <f t="shared" si="8"/>
        <v>1386</v>
      </c>
      <c r="F89" s="89">
        <f t="shared" si="8"/>
        <v>1291.5</v>
      </c>
      <c r="G89" s="88"/>
    </row>
    <row r="90" spans="1:7" x14ac:dyDescent="0.25">
      <c r="C90" s="1"/>
      <c r="D90" s="1"/>
      <c r="E90" s="1"/>
      <c r="F90" s="1"/>
    </row>
    <row r="91" spans="1:7" x14ac:dyDescent="0.25">
      <c r="A91" s="47" t="s">
        <v>67</v>
      </c>
      <c r="C91" s="1"/>
      <c r="D91" s="1"/>
      <c r="E91" s="1"/>
      <c r="F91" s="1"/>
    </row>
    <row r="92" spans="1:7" x14ac:dyDescent="0.25">
      <c r="A92" s="46" t="s">
        <v>86</v>
      </c>
      <c r="B92" s="48"/>
      <c r="C92" s="49">
        <f>C79-C83+C87</f>
        <v>3425.25</v>
      </c>
      <c r="D92" s="49">
        <f t="shared" ref="C92:F94" si="9">D79-D83+D87</f>
        <v>2593.5</v>
      </c>
      <c r="E92" s="49">
        <f t="shared" si="9"/>
        <v>2084.25</v>
      </c>
      <c r="F92" s="49">
        <f t="shared" si="9"/>
        <v>4263</v>
      </c>
      <c r="G92" s="83"/>
    </row>
    <row r="93" spans="1:7" x14ac:dyDescent="0.25">
      <c r="A93" s="46" t="s">
        <v>64</v>
      </c>
      <c r="B93" s="48"/>
      <c r="C93" s="49">
        <f>C80-C84+C88</f>
        <v>17907.75</v>
      </c>
      <c r="D93" s="49">
        <f t="shared" si="9"/>
        <v>18343.5</v>
      </c>
      <c r="E93" s="49">
        <f t="shared" si="9"/>
        <v>17834.25</v>
      </c>
      <c r="F93" s="49">
        <f t="shared" si="9"/>
        <v>17850</v>
      </c>
      <c r="G93" s="83"/>
    </row>
    <row r="94" spans="1:7" x14ac:dyDescent="0.25">
      <c r="A94" s="46" t="s">
        <v>87</v>
      </c>
      <c r="B94" s="48"/>
      <c r="C94" s="49">
        <f t="shared" si="9"/>
        <v>40323</v>
      </c>
      <c r="D94" s="49">
        <f t="shared" si="9"/>
        <v>45181.5</v>
      </c>
      <c r="E94" s="49">
        <f t="shared" si="9"/>
        <v>46231.5</v>
      </c>
      <c r="F94" s="49">
        <f t="shared" si="9"/>
        <v>42955.5</v>
      </c>
      <c r="G94" s="83"/>
    </row>
    <row r="96" spans="1:7" x14ac:dyDescent="0.25">
      <c r="A96" s="62" t="s">
        <v>81</v>
      </c>
    </row>
    <row r="97" spans="1:7" x14ac:dyDescent="0.25">
      <c r="A97" s="50" t="s">
        <v>86</v>
      </c>
      <c r="B97" s="52"/>
      <c r="C97" s="51">
        <f>C79*170</f>
        <v>624750</v>
      </c>
      <c r="D97" s="51">
        <f>D79*170</f>
        <v>446250</v>
      </c>
      <c r="E97" s="51">
        <f>E79*170</f>
        <v>357000</v>
      </c>
      <c r="F97" s="51">
        <f>F79*170</f>
        <v>714000</v>
      </c>
      <c r="G97" s="52"/>
    </row>
    <row r="98" spans="1:7" x14ac:dyDescent="0.25">
      <c r="A98" s="50" t="s">
        <v>64</v>
      </c>
      <c r="B98" s="53"/>
      <c r="C98" s="51">
        <f>C80*30</f>
        <v>582750</v>
      </c>
      <c r="D98" s="51">
        <f>D80*30</f>
        <v>551250</v>
      </c>
      <c r="E98" s="51">
        <f>E80*30</f>
        <v>535500</v>
      </c>
      <c r="F98" s="51">
        <f>F80*30</f>
        <v>535500</v>
      </c>
      <c r="G98" s="53"/>
    </row>
    <row r="99" spans="1:7" x14ac:dyDescent="0.25">
      <c r="A99" s="50" t="s">
        <v>108</v>
      </c>
      <c r="B99" s="53"/>
      <c r="C99" s="63">
        <f>C81*15</f>
        <v>661500</v>
      </c>
      <c r="D99" s="63">
        <f>D81*15</f>
        <v>677250</v>
      </c>
      <c r="E99" s="63">
        <f>E81*15</f>
        <v>693000</v>
      </c>
      <c r="F99" s="63">
        <f>F81*15</f>
        <v>645750</v>
      </c>
      <c r="G99" s="53"/>
    </row>
    <row r="100" spans="1:7" x14ac:dyDescent="0.25">
      <c r="A100" s="50" t="s">
        <v>80</v>
      </c>
      <c r="B100" s="54"/>
      <c r="C100" s="67">
        <f>SUM(C97:C99)</f>
        <v>1869000</v>
      </c>
      <c r="D100" s="68">
        <f>SUM(D97:D99)</f>
        <v>1674750</v>
      </c>
      <c r="E100" s="68">
        <f>SUM(E97:E99)</f>
        <v>1585500</v>
      </c>
      <c r="F100" s="73">
        <f>SUM(F97:F99)</f>
        <v>1895250</v>
      </c>
      <c r="G100" s="66">
        <f>SUM(C100:F100)</f>
        <v>7024500</v>
      </c>
    </row>
    <row r="101" spans="1:7" x14ac:dyDescent="0.25">
      <c r="A101" s="46" t="s">
        <v>68</v>
      </c>
      <c r="B101" s="84">
        <v>100000</v>
      </c>
      <c r="C101" s="70"/>
      <c r="D101" s="71"/>
      <c r="E101" s="71"/>
      <c r="F101" s="71"/>
      <c r="G101" s="53"/>
    </row>
    <row r="102" spans="1:7" x14ac:dyDescent="0.25">
      <c r="A102" s="46" t="s">
        <v>69</v>
      </c>
      <c r="B102" s="85">
        <v>900000</v>
      </c>
      <c r="C102" s="72"/>
      <c r="D102" s="57"/>
      <c r="E102" s="57"/>
      <c r="F102" s="57"/>
      <c r="G102" s="53"/>
    </row>
    <row r="103" spans="1:7" x14ac:dyDescent="0.25">
      <c r="A103" s="46" t="s">
        <v>82</v>
      </c>
      <c r="B103" s="51">
        <v>1000000</v>
      </c>
      <c r="C103" s="65">
        <f>C100</f>
        <v>1869000</v>
      </c>
      <c r="D103" s="65">
        <f>D100</f>
        <v>1674750</v>
      </c>
      <c r="E103" s="65">
        <f>E100</f>
        <v>1585500</v>
      </c>
      <c r="F103" s="69">
        <f>F100</f>
        <v>1895250</v>
      </c>
      <c r="G103" s="54"/>
    </row>
    <row r="105" spans="1:7" x14ac:dyDescent="0.25">
      <c r="A105" s="62" t="s">
        <v>70</v>
      </c>
    </row>
    <row r="106" spans="1:7" x14ac:dyDescent="0.25">
      <c r="A106" s="46" t="s">
        <v>104</v>
      </c>
      <c r="B106" s="74"/>
      <c r="C106" s="60">
        <f>C92*50</f>
        <v>171262.5</v>
      </c>
      <c r="D106" s="60">
        <f>D92*50</f>
        <v>129675</v>
      </c>
      <c r="E106" s="60">
        <f>E92*50</f>
        <v>104212.5</v>
      </c>
      <c r="F106" s="60">
        <f>F92*50</f>
        <v>213150</v>
      </c>
    </row>
    <row r="107" spans="1:7" x14ac:dyDescent="0.25">
      <c r="A107" s="46" t="s">
        <v>71</v>
      </c>
      <c r="B107" s="45"/>
      <c r="C107" s="60">
        <f>C93*6.5</f>
        <v>116400.375</v>
      </c>
      <c r="D107" s="60">
        <f>D93*6.5</f>
        <v>119232.75</v>
      </c>
      <c r="E107" s="60">
        <f>E93*6.5</f>
        <v>115922.625</v>
      </c>
      <c r="F107" s="60">
        <f>F93*6.5</f>
        <v>116025</v>
      </c>
    </row>
    <row r="108" spans="1:7" x14ac:dyDescent="0.25">
      <c r="A108" s="46" t="s">
        <v>105</v>
      </c>
      <c r="B108" s="45"/>
      <c r="C108" s="60">
        <f>C94*2.5</f>
        <v>100807.5</v>
      </c>
      <c r="D108" s="60">
        <f>D94*2.5</f>
        <v>112953.75</v>
      </c>
      <c r="E108" s="60">
        <f>E94*2.5</f>
        <v>115578.75</v>
      </c>
      <c r="F108" s="60">
        <f>F94*2.5</f>
        <v>107388.75</v>
      </c>
    </row>
    <row r="109" spans="1:7" x14ac:dyDescent="0.25">
      <c r="A109" s="46" t="s">
        <v>106</v>
      </c>
      <c r="B109" s="45"/>
      <c r="C109" s="64">
        <f>(C92+D92)</f>
        <v>6018.75</v>
      </c>
      <c r="D109" s="68"/>
      <c r="E109" s="76">
        <f>(E92+F92)</f>
        <v>6347.25</v>
      </c>
      <c r="F109" s="52"/>
    </row>
    <row r="110" spans="1:7" x14ac:dyDescent="0.25">
      <c r="A110" s="46" t="s">
        <v>72</v>
      </c>
      <c r="B110" s="45"/>
      <c r="C110" s="64">
        <f>(C93+D93)</f>
        <v>36251.25</v>
      </c>
      <c r="D110" s="53"/>
      <c r="E110" s="76">
        <f>(E93+F93)</f>
        <v>35684.25</v>
      </c>
      <c r="F110" s="53"/>
    </row>
    <row r="111" spans="1:7" x14ac:dyDescent="0.25">
      <c r="A111" s="46" t="s">
        <v>107</v>
      </c>
      <c r="B111" s="45"/>
      <c r="C111" s="64">
        <f>(C94+D94)/10</f>
        <v>8550.4500000000007</v>
      </c>
      <c r="D111" s="53"/>
      <c r="E111" s="76">
        <f>(E94+F94)/10</f>
        <v>8918.7000000000007</v>
      </c>
      <c r="F111" s="53"/>
    </row>
    <row r="112" spans="1:7" x14ac:dyDescent="0.25">
      <c r="A112" s="46" t="s">
        <v>113</v>
      </c>
      <c r="B112" s="45"/>
      <c r="C112" s="64">
        <f>(C92/100)*60*1.2</f>
        <v>2466.1799999999994</v>
      </c>
      <c r="D112" s="64">
        <f>(D92/100)*60*1.2</f>
        <v>1867.3199999999997</v>
      </c>
      <c r="E112" s="64">
        <f>(E92/100)*60*1.2</f>
        <v>1500.66</v>
      </c>
      <c r="F112" s="64">
        <f>(F92/100)*60*1.2</f>
        <v>3069.36</v>
      </c>
    </row>
    <row r="113" spans="1:7" x14ac:dyDescent="0.25">
      <c r="A113" s="46" t="s">
        <v>114</v>
      </c>
      <c r="B113" s="45"/>
      <c r="C113" s="64">
        <f>(C93/300)*60*1.2</f>
        <v>4297.8599999999997</v>
      </c>
      <c r="D113" s="64">
        <f>(D93/300)*60*1.2</f>
        <v>4402.4400000000005</v>
      </c>
      <c r="E113" s="64">
        <f>(E93/300)*60*1.2</f>
        <v>4280.2199999999993</v>
      </c>
      <c r="F113" s="64">
        <f>(F93/300)*60*1.2</f>
        <v>4284</v>
      </c>
    </row>
    <row r="114" spans="1:7" x14ac:dyDescent="0.25">
      <c r="A114" s="46" t="s">
        <v>115</v>
      </c>
      <c r="B114" s="45"/>
      <c r="C114" s="64">
        <f>(C94/500)*60*1.2</f>
        <v>5806.5119999999997</v>
      </c>
      <c r="D114" s="64">
        <f>(D94/500)*60*1.2</f>
        <v>6506.1359999999995</v>
      </c>
      <c r="E114" s="64">
        <f>(E94/500)*60*1.2</f>
        <v>6657.3359999999993</v>
      </c>
      <c r="F114" s="64">
        <f>(F94/500)*60*1.2</f>
        <v>6185.5919999999996</v>
      </c>
      <c r="G114" s="42"/>
    </row>
    <row r="115" spans="1:7" x14ac:dyDescent="0.25">
      <c r="A115" s="46" t="s">
        <v>94</v>
      </c>
      <c r="B115" s="45"/>
      <c r="C115" s="48">
        <f>((2*3000)+(2*3000)+(3*2000))*1.15*3</f>
        <v>62100</v>
      </c>
      <c r="D115" s="48">
        <f>((2*3000)+(2*3000)+(3*2000))*1.15*3</f>
        <v>62100</v>
      </c>
      <c r="E115" s="48">
        <f>((2*3000)+(2*3000)+(3*2000))*1.15*3</f>
        <v>62100</v>
      </c>
      <c r="F115" s="48">
        <f>((2*3000)+(2*3000)+(3*2000))*1.15*4</f>
        <v>82800</v>
      </c>
    </row>
    <row r="116" spans="1:7" x14ac:dyDescent="0.25">
      <c r="A116" s="46" t="s">
        <v>95</v>
      </c>
      <c r="B116" s="57"/>
      <c r="C116" s="60">
        <f>SUM(C106:C115)</f>
        <v>513961.37699999998</v>
      </c>
      <c r="D116" s="60">
        <f>SUM(D106:D115)</f>
        <v>436737.39600000001</v>
      </c>
      <c r="E116" s="60">
        <f>SUM(E106:E115)</f>
        <v>461202.29099999997</v>
      </c>
      <c r="F116" s="60">
        <f>SUM(F106:F115)</f>
        <v>532902.70200000005</v>
      </c>
    </row>
    <row r="117" spans="1:7" x14ac:dyDescent="0.25">
      <c r="C117" s="44"/>
      <c r="D117" s="44"/>
      <c r="E117" s="44"/>
      <c r="F117" s="44"/>
    </row>
    <row r="118" spans="1:7" x14ac:dyDescent="0.25">
      <c r="A118" s="46" t="s">
        <v>96</v>
      </c>
      <c r="B118" s="74"/>
      <c r="C118" s="48">
        <f>8000/4</f>
        <v>2000</v>
      </c>
      <c r="D118" s="48">
        <f>8000/4</f>
        <v>2000</v>
      </c>
      <c r="E118" s="48">
        <f>8000/4</f>
        <v>2000</v>
      </c>
      <c r="F118" s="48">
        <f>8000/4</f>
        <v>2000</v>
      </c>
      <c r="G118" s="77"/>
    </row>
    <row r="119" spans="1:7" x14ac:dyDescent="0.25">
      <c r="A119" s="46" t="s">
        <v>19</v>
      </c>
      <c r="B119" s="45"/>
      <c r="C119" s="48">
        <f>10000/4</f>
        <v>2500</v>
      </c>
      <c r="D119" s="48">
        <f>10000/4</f>
        <v>2500</v>
      </c>
      <c r="E119" s="48">
        <f>10000/4</f>
        <v>2500</v>
      </c>
      <c r="F119" s="48">
        <f>10000/4</f>
        <v>2500</v>
      </c>
      <c r="G119" s="75"/>
    </row>
    <row r="120" spans="1:7" x14ac:dyDescent="0.25">
      <c r="A120" s="46" t="s">
        <v>97</v>
      </c>
      <c r="B120" s="45"/>
      <c r="C120" s="48">
        <f>2*2500*3*1.15</f>
        <v>17250</v>
      </c>
      <c r="D120" s="48">
        <f>2*2500*3*1.15</f>
        <v>17250</v>
      </c>
      <c r="E120" s="48">
        <f>2*2500*3*1.15</f>
        <v>17250</v>
      </c>
      <c r="F120" s="48">
        <f>2*2500*4*1.15</f>
        <v>23000</v>
      </c>
      <c r="G120" s="75"/>
    </row>
    <row r="121" spans="1:7" x14ac:dyDescent="0.25">
      <c r="A121" s="46" t="s">
        <v>100</v>
      </c>
      <c r="B121" s="57"/>
      <c r="C121" s="48">
        <f>SUM(C118:C120)</f>
        <v>21750</v>
      </c>
      <c r="D121" s="48">
        <f>SUM(D118:D120)</f>
        <v>21750</v>
      </c>
      <c r="E121" s="48">
        <f>SUM(E118:E120)</f>
        <v>21750</v>
      </c>
      <c r="F121" s="48">
        <f>SUM(F118:F120)</f>
        <v>27500</v>
      </c>
      <c r="G121" s="48">
        <f>SUM(C121:F121)</f>
        <v>92750</v>
      </c>
    </row>
    <row r="123" spans="1:7" x14ac:dyDescent="0.25">
      <c r="A123" s="47" t="s">
        <v>98</v>
      </c>
    </row>
    <row r="124" spans="1:7" x14ac:dyDescent="0.25">
      <c r="A124" s="50" t="s">
        <v>21</v>
      </c>
      <c r="B124" s="52"/>
      <c r="C124" s="61">
        <f>4000/4</f>
        <v>1000</v>
      </c>
      <c r="D124" s="48">
        <f>4000/4</f>
        <v>1000</v>
      </c>
      <c r="E124" s="48">
        <f>4000/4</f>
        <v>1000</v>
      </c>
      <c r="F124" s="48">
        <f>4000/4</f>
        <v>1000</v>
      </c>
    </row>
    <row r="125" spans="1:7" x14ac:dyDescent="0.25">
      <c r="A125" s="50" t="s">
        <v>101</v>
      </c>
      <c r="B125" s="53"/>
      <c r="C125" s="61">
        <f>8000/4</f>
        <v>2000</v>
      </c>
      <c r="D125" s="48">
        <f>8000/4</f>
        <v>2000</v>
      </c>
      <c r="E125" s="48">
        <f>8000/4</f>
        <v>2000</v>
      </c>
      <c r="F125" s="48">
        <f>8000/4</f>
        <v>2000</v>
      </c>
    </row>
    <row r="126" spans="1:7" x14ac:dyDescent="0.25">
      <c r="A126" s="50" t="s">
        <v>117</v>
      </c>
      <c r="B126" s="53"/>
      <c r="C126" s="61">
        <f>20000/4</f>
        <v>5000</v>
      </c>
      <c r="D126" s="61">
        <f>20000/4</f>
        <v>5000</v>
      </c>
      <c r="E126" s="61">
        <f>20000/4</f>
        <v>5000</v>
      </c>
      <c r="F126" s="61">
        <f>20000/4</f>
        <v>5000</v>
      </c>
    </row>
    <row r="127" spans="1:7" x14ac:dyDescent="0.25">
      <c r="A127" s="50" t="s">
        <v>116</v>
      </c>
      <c r="B127" s="53"/>
      <c r="C127" s="61">
        <f>10000/4</f>
        <v>2500</v>
      </c>
      <c r="D127" s="48">
        <f>10000/4</f>
        <v>2500</v>
      </c>
      <c r="E127" s="48">
        <f>10000/4</f>
        <v>2500</v>
      </c>
      <c r="F127" s="48">
        <f>10000/4</f>
        <v>2500</v>
      </c>
    </row>
    <row r="128" spans="1:7" x14ac:dyDescent="0.25">
      <c r="A128" s="50" t="s">
        <v>99</v>
      </c>
      <c r="B128" s="54"/>
      <c r="C128" s="61">
        <f>SUM(C124:C127)</f>
        <v>10500</v>
      </c>
      <c r="D128" s="48">
        <f>SUM(D124:D127)</f>
        <v>10500</v>
      </c>
      <c r="E128" s="48">
        <f>SUM(E124:E127)</f>
        <v>10500</v>
      </c>
      <c r="F128" s="48">
        <f>SUM(F124:F127)</f>
        <v>10500</v>
      </c>
    </row>
    <row r="130" spans="1:6" x14ac:dyDescent="0.25">
      <c r="A130" s="46" t="s">
        <v>102</v>
      </c>
      <c r="B130" s="74"/>
      <c r="C130" s="48">
        <f>12000/4</f>
        <v>3000</v>
      </c>
      <c r="D130" s="48">
        <f>12000/4</f>
        <v>3000</v>
      </c>
      <c r="E130" s="48">
        <f>12000/4</f>
        <v>3000</v>
      </c>
      <c r="F130" s="48">
        <f>12000/4</f>
        <v>3000</v>
      </c>
    </row>
    <row r="131" spans="1:6" x14ac:dyDescent="0.25">
      <c r="A131" s="46" t="s">
        <v>25</v>
      </c>
      <c r="B131" s="45"/>
      <c r="C131" s="48">
        <f>8000/4</f>
        <v>2000</v>
      </c>
      <c r="D131" s="48">
        <f>8000/4</f>
        <v>2000</v>
      </c>
      <c r="E131" s="48">
        <f>8000/4</f>
        <v>2000</v>
      </c>
      <c r="F131" s="48">
        <f>8000/4</f>
        <v>2000</v>
      </c>
    </row>
    <row r="132" spans="1:6" x14ac:dyDescent="0.25">
      <c r="A132" s="46" t="s">
        <v>103</v>
      </c>
      <c r="B132" s="57"/>
      <c r="C132" s="48">
        <f>SUM(C130:C131)</f>
        <v>5000</v>
      </c>
      <c r="D132" s="48">
        <f>SUM(D130:D131)</f>
        <v>5000</v>
      </c>
      <c r="E132" s="48">
        <f>SUM(E130:E131)</f>
        <v>5000</v>
      </c>
      <c r="F132" s="48">
        <f>SUM(F130:F131)</f>
        <v>5000</v>
      </c>
    </row>
    <row r="134" spans="1:6" x14ac:dyDescent="0.25">
      <c r="A134" s="50" t="s">
        <v>73</v>
      </c>
      <c r="B134" s="52"/>
      <c r="C134" s="63">
        <f>C146</f>
        <v>27000</v>
      </c>
      <c r="D134" s="60">
        <f>D146</f>
        <v>20250</v>
      </c>
      <c r="E134" s="60">
        <f>E146</f>
        <v>13500</v>
      </c>
      <c r="F134" s="60">
        <f>F146</f>
        <v>6750</v>
      </c>
    </row>
    <row r="135" spans="1:6" x14ac:dyDescent="0.25">
      <c r="A135" s="50" t="s">
        <v>79</v>
      </c>
      <c r="B135" s="54"/>
      <c r="C135" s="63">
        <f>C145</f>
        <v>225000</v>
      </c>
      <c r="D135" s="60">
        <f>D145</f>
        <v>225000</v>
      </c>
      <c r="E135" s="60">
        <f>E145</f>
        <v>225000</v>
      </c>
      <c r="F135" s="60">
        <f>F145</f>
        <v>225000</v>
      </c>
    </row>
    <row r="137" spans="1:6" x14ac:dyDescent="0.25">
      <c r="A137" s="46" t="s">
        <v>74</v>
      </c>
      <c r="B137" s="80">
        <v>1000000</v>
      </c>
      <c r="C137" s="49">
        <v>50000</v>
      </c>
      <c r="D137" s="49">
        <v>50000</v>
      </c>
      <c r="E137" s="49">
        <v>50000</v>
      </c>
      <c r="F137" s="49">
        <v>50000</v>
      </c>
    </row>
    <row r="138" spans="1:6" x14ac:dyDescent="0.25">
      <c r="A138" s="46" t="s">
        <v>75</v>
      </c>
      <c r="B138" s="48"/>
      <c r="C138" s="78">
        <f>-L34/4</f>
        <v>-20250</v>
      </c>
      <c r="D138" s="79">
        <f>-L34/4</f>
        <v>-20250</v>
      </c>
      <c r="E138" s="79">
        <f>-L34/4</f>
        <v>-20250</v>
      </c>
      <c r="F138" s="79">
        <f>-L34/4</f>
        <v>-20250</v>
      </c>
    </row>
    <row r="139" spans="1:6" x14ac:dyDescent="0.25">
      <c r="A139" s="46" t="s">
        <v>61</v>
      </c>
      <c r="B139" s="80">
        <v>1000000</v>
      </c>
      <c r="C139" s="60">
        <f>C116+C121+C128+C132+C134+C135+C137+C138</f>
        <v>832961.37699999998</v>
      </c>
      <c r="D139" s="60">
        <f>D116+D121+D128+D132+D134+D135+D137+D138</f>
        <v>748987.39599999995</v>
      </c>
      <c r="E139" s="60">
        <f>E116+E121+E128+E132+E134+E135+E137+E138</f>
        <v>766702.29099999997</v>
      </c>
      <c r="F139" s="60">
        <f>F116+F121+F128+F132+F134+F135+F137+F138</f>
        <v>837402.70200000005</v>
      </c>
    </row>
    <row r="140" spans="1:6" x14ac:dyDescent="0.25">
      <c r="A140" s="46" t="s">
        <v>76</v>
      </c>
      <c r="B140" s="60">
        <f>B103-B139</f>
        <v>0</v>
      </c>
      <c r="C140" s="60">
        <f>C103-C139</f>
        <v>1036038.623</v>
      </c>
      <c r="D140" s="60">
        <f>D103-D139</f>
        <v>925762.60400000005</v>
      </c>
      <c r="E140" s="60">
        <f>E103-E139</f>
        <v>818797.70900000003</v>
      </c>
      <c r="F140" s="60">
        <f>F103-F139</f>
        <v>1057847.298</v>
      </c>
    </row>
    <row r="141" spans="1:6" x14ac:dyDescent="0.25">
      <c r="A141" s="46" t="s">
        <v>77</v>
      </c>
      <c r="B141" s="60">
        <f>B140</f>
        <v>0</v>
      </c>
      <c r="C141" s="60">
        <f>B141+C140</f>
        <v>1036038.623</v>
      </c>
      <c r="D141" s="60">
        <f>C141+D140</f>
        <v>1961801.227</v>
      </c>
      <c r="E141" s="60">
        <f>D141+E140</f>
        <v>2780598.9359999998</v>
      </c>
      <c r="F141" s="60">
        <f>E141+F140</f>
        <v>3838446.2339999997</v>
      </c>
    </row>
    <row r="143" spans="1:6" x14ac:dyDescent="0.25">
      <c r="A143" s="47" t="s">
        <v>83</v>
      </c>
    </row>
    <row r="144" spans="1:6" x14ac:dyDescent="0.25">
      <c r="A144" s="46" t="s">
        <v>78</v>
      </c>
      <c r="B144" s="81">
        <f>B102</f>
        <v>900000</v>
      </c>
      <c r="C144" s="60">
        <f>B144-C145</f>
        <v>675000</v>
      </c>
      <c r="D144" s="60">
        <f>C144-D145</f>
        <v>450000</v>
      </c>
      <c r="E144" s="60">
        <f>D144-E145</f>
        <v>225000</v>
      </c>
      <c r="F144" s="60">
        <f>E144-F145</f>
        <v>0</v>
      </c>
    </row>
    <row r="145" spans="1:6" x14ac:dyDescent="0.25">
      <c r="A145" s="46" t="s">
        <v>79</v>
      </c>
      <c r="B145" s="61"/>
      <c r="C145" s="60">
        <f>B144/4</f>
        <v>225000</v>
      </c>
      <c r="D145" s="60">
        <f>B144/4</f>
        <v>225000</v>
      </c>
      <c r="E145" s="60">
        <f>B144/4</f>
        <v>225000</v>
      </c>
      <c r="F145" s="60">
        <f>B144/4</f>
        <v>225000</v>
      </c>
    </row>
    <row r="146" spans="1:6" x14ac:dyDescent="0.25">
      <c r="A146" s="46" t="s">
        <v>111</v>
      </c>
      <c r="B146" s="82">
        <f>12%/4</f>
        <v>0.03</v>
      </c>
      <c r="C146" s="60">
        <f>B144*B146</f>
        <v>27000</v>
      </c>
      <c r="D146" s="60">
        <f>C144*B146</f>
        <v>20250</v>
      </c>
      <c r="E146" s="60">
        <f>D144*B146</f>
        <v>13500</v>
      </c>
      <c r="F146" s="60">
        <f>E144*B146</f>
        <v>6750</v>
      </c>
    </row>
    <row r="151" spans="1:6" x14ac:dyDescent="0.25">
      <c r="A151" s="1"/>
      <c r="B151" s="1"/>
      <c r="C151" s="1"/>
      <c r="D151" s="1"/>
      <c r="E151" s="1"/>
    </row>
    <row r="152" spans="1:6" x14ac:dyDescent="0.25">
      <c r="A152" s="43"/>
      <c r="B152" s="1"/>
      <c r="C152" s="1"/>
      <c r="D152" s="1"/>
      <c r="E152" s="1"/>
    </row>
    <row r="153" spans="1:6" x14ac:dyDescent="0.25">
      <c r="A153" s="1"/>
      <c r="B153" s="1"/>
      <c r="C153" s="1"/>
      <c r="D153" s="1"/>
      <c r="E153" s="1"/>
    </row>
    <row r="154" spans="1:6" x14ac:dyDescent="0.25">
      <c r="A154" s="1"/>
      <c r="B154" s="1"/>
      <c r="C154" s="1"/>
      <c r="D154" s="1"/>
      <c r="E154" s="1"/>
    </row>
    <row r="155" spans="1:6" x14ac:dyDescent="0.25">
      <c r="A155" s="1"/>
      <c r="B155" s="1"/>
      <c r="E155" s="42"/>
    </row>
  </sheetData>
  <mergeCells count="1">
    <mergeCell ref="A70:C7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2021-08-24T19:07:45Z</dcterms:modified>
</cp:coreProperties>
</file>