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89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6" i="1"/>
  <c r="I4" i="1"/>
  <c r="I5" i="1"/>
  <c r="I3" i="1"/>
  <c r="C51" i="1" l="1"/>
  <c r="C50" i="1"/>
  <c r="C49" i="1"/>
  <c r="C47" i="1"/>
  <c r="C46" i="1"/>
  <c r="C45" i="1"/>
  <c r="C41" i="1"/>
  <c r="B41" i="1"/>
  <c r="C40" i="1"/>
  <c r="B40" i="1"/>
  <c r="C37" i="1"/>
  <c r="B37" i="1"/>
  <c r="C19" i="1"/>
  <c r="B19" i="1"/>
  <c r="J4" i="1"/>
  <c r="J5" i="1"/>
  <c r="J6" i="1"/>
  <c r="J7" i="1"/>
  <c r="D33" i="1" s="1"/>
  <c r="D31" i="1"/>
  <c r="D28" i="1"/>
  <c r="D26" i="1"/>
  <c r="D24" i="1"/>
  <c r="D23" i="1"/>
  <c r="D22" i="1"/>
  <c r="D17" i="1"/>
  <c r="D21" i="1"/>
  <c r="D20" i="1"/>
  <c r="D18" i="1"/>
  <c r="D19" i="1"/>
  <c r="D15" i="1"/>
  <c r="C17" i="1"/>
  <c r="C16" i="1"/>
  <c r="B16" i="1"/>
  <c r="B15" i="1"/>
  <c r="B17" i="1" s="1"/>
  <c r="C15" i="1"/>
  <c r="B14" i="1"/>
  <c r="C14" i="1"/>
  <c r="D9" i="1"/>
  <c r="D14" i="1"/>
  <c r="C9" i="1"/>
  <c r="C13" i="1" s="1"/>
  <c r="B9" i="1"/>
  <c r="B13" i="1" s="1"/>
  <c r="C5" i="1"/>
  <c r="B5" i="1"/>
  <c r="I7" i="1"/>
  <c r="C52" i="1" l="1"/>
  <c r="C53" i="1" s="1"/>
  <c r="C54" i="1" s="1"/>
  <c r="D34" i="1"/>
  <c r="D5" i="1"/>
  <c r="C6" i="1" s="1"/>
  <c r="C12" i="1"/>
  <c r="B12" i="1"/>
  <c r="C34" i="1" l="1"/>
  <c r="B34" i="1"/>
  <c r="C55" i="1"/>
  <c r="C56" i="1" s="1"/>
  <c r="B6" i="1"/>
  <c r="C42" i="1" l="1"/>
  <c r="C39" i="1" s="1"/>
  <c r="C35" i="1"/>
  <c r="C36" i="1" s="1"/>
  <c r="C38" i="1" s="1"/>
  <c r="B42" i="1"/>
  <c r="B39" i="1" s="1"/>
  <c r="B35" i="1"/>
  <c r="B36" i="1" s="1"/>
  <c r="B38" i="1" s="1"/>
</calcChain>
</file>

<file path=xl/sharedStrings.xml><?xml version="1.0" encoding="utf-8"?>
<sst xmlns="http://schemas.openxmlformats.org/spreadsheetml/2006/main" count="63" uniqueCount="57">
  <si>
    <t>Helados</t>
  </si>
  <si>
    <t>VENTAS</t>
  </si>
  <si>
    <t>PRECIO</t>
  </si>
  <si>
    <t>Ingresos Ventas</t>
  </si>
  <si>
    <t>Inventario Inicial</t>
  </si>
  <si>
    <t>Inventario Final</t>
  </si>
  <si>
    <t>Cremosos</t>
  </si>
  <si>
    <t>Dietéticos</t>
  </si>
  <si>
    <t>DEPRECIACIÓN</t>
  </si>
  <si>
    <t>AÑOS</t>
  </si>
  <si>
    <t>EDIFICIO</t>
  </si>
  <si>
    <t>VEHICULOS</t>
  </si>
  <si>
    <t>MAQUINARIA</t>
  </si>
  <si>
    <t>MUEBLE</t>
  </si>
  <si>
    <t>Producción</t>
  </si>
  <si>
    <t>COSTO DIRECTO</t>
  </si>
  <si>
    <t>MATERIA PRIMA</t>
  </si>
  <si>
    <t>INSUMOS (envases)</t>
  </si>
  <si>
    <t>Mano de obra directa</t>
  </si>
  <si>
    <t>Energia electrica</t>
  </si>
  <si>
    <t>Incentivo a producción</t>
  </si>
  <si>
    <t>Mano de obra indirecta</t>
  </si>
  <si>
    <t>Repuestos y lubric</t>
  </si>
  <si>
    <t>Costo Ind de fabricación</t>
  </si>
  <si>
    <t>Costo de fabricación</t>
  </si>
  <si>
    <t>Salarios</t>
  </si>
  <si>
    <t>Material de escritorio</t>
  </si>
  <si>
    <t>Honorarios contabilidad</t>
  </si>
  <si>
    <t>Servicios</t>
  </si>
  <si>
    <t>Alquiler seguros y otros</t>
  </si>
  <si>
    <t>Costo Administrativo</t>
  </si>
  <si>
    <t>Publicidad y promoción</t>
  </si>
  <si>
    <t>Distribución</t>
  </si>
  <si>
    <t>Costo financiero</t>
  </si>
  <si>
    <t>Costo comercial</t>
  </si>
  <si>
    <t>COSTOS INDIRECTOS</t>
  </si>
  <si>
    <t>COSTO TOTAL</t>
  </si>
  <si>
    <t>Costo total unitario</t>
  </si>
  <si>
    <t>Costo directo unitario</t>
  </si>
  <si>
    <t>Margen de contribución</t>
  </si>
  <si>
    <t>Cantidad de equilibrio (Qe)</t>
  </si>
  <si>
    <t>Costo variable</t>
  </si>
  <si>
    <t>Costo variable unitario</t>
  </si>
  <si>
    <t>Costo fijo</t>
  </si>
  <si>
    <t>ESTADO DE RESULTADOS</t>
  </si>
  <si>
    <t>INGRESOS</t>
  </si>
  <si>
    <t>COSTO DE VENTAS</t>
  </si>
  <si>
    <t>INGRESOS NETOS</t>
  </si>
  <si>
    <t>EGRESOS</t>
  </si>
  <si>
    <t>COSTO ADMINISTRATIVO</t>
  </si>
  <si>
    <t>COSTO DE COMERCIALIZACIÓN</t>
  </si>
  <si>
    <t>COSTO FINANCIERO</t>
  </si>
  <si>
    <t>TOTAL EGRESOS</t>
  </si>
  <si>
    <t>UTILIDADES/PERDIDAS</t>
  </si>
  <si>
    <t>Utilidad neta</t>
  </si>
  <si>
    <t>Impuestos</t>
  </si>
  <si>
    <t>VALOR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</si>
</sst>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C1" zoomScale="80" zoomScaleNormal="80" workbookViewId="0">
      <selection activeCell="J3" sqref="J3"/>
    </sheetView>
  </sheetViews>
  <sheetFormatPr baseColWidth="10" defaultRowHeight="15" x14ac:dyDescent="0.25"/>
  <cols>
    <col min="1" max="1" width="28.7109375" customWidth="1"/>
    <col min="2" max="3" width="16.28515625" customWidth="1"/>
    <col min="4" max="4" width="14.42578125" customWidth="1"/>
    <col min="6" max="6" width="16.7109375" customWidth="1"/>
    <col min="7" max="7" width="17.42578125" customWidth="1"/>
    <col min="8" max="8" width="13.42578125" customWidth="1"/>
    <col min="9" max="9" width="18.28515625" customWidth="1"/>
    <col min="10" max="10" width="15.85546875" customWidth="1"/>
  </cols>
  <sheetData>
    <row r="2" spans="1:10" x14ac:dyDescent="0.25">
      <c r="A2" t="s">
        <v>0</v>
      </c>
      <c r="B2" t="s">
        <v>6</v>
      </c>
      <c r="C2" t="s">
        <v>7</v>
      </c>
      <c r="F2" t="s">
        <v>8</v>
      </c>
      <c r="H2" t="s">
        <v>9</v>
      </c>
      <c r="I2" t="s">
        <v>56</v>
      </c>
      <c r="J2" t="s">
        <v>8</v>
      </c>
    </row>
    <row r="3" spans="1:10" x14ac:dyDescent="0.25">
      <c r="A3" t="s">
        <v>1</v>
      </c>
      <c r="B3" s="1">
        <v>200000</v>
      </c>
      <c r="C3" s="1">
        <v>150000</v>
      </c>
      <c r="D3" s="1"/>
      <c r="F3" t="s">
        <v>10</v>
      </c>
      <c r="G3" s="1">
        <v>1000000</v>
      </c>
      <c r="H3" s="1">
        <v>20</v>
      </c>
      <c r="I3" s="1">
        <f>G3*50%</f>
        <v>500000</v>
      </c>
      <c r="J3" s="1">
        <f>(G3-I3)/H3</f>
        <v>25000</v>
      </c>
    </row>
    <row r="4" spans="1:10" x14ac:dyDescent="0.25">
      <c r="A4" t="s">
        <v>2</v>
      </c>
      <c r="B4" s="1">
        <v>5</v>
      </c>
      <c r="C4" s="1">
        <v>10</v>
      </c>
      <c r="D4" s="1"/>
      <c r="F4" t="s">
        <v>11</v>
      </c>
      <c r="G4" s="1">
        <v>100000</v>
      </c>
      <c r="H4" s="1">
        <v>5</v>
      </c>
      <c r="I4" s="1">
        <f>G4*50%</f>
        <v>50000</v>
      </c>
      <c r="J4" s="1">
        <f t="shared" ref="J4:J6" si="0">(G4-I4)/H4</f>
        <v>10000</v>
      </c>
    </row>
    <row r="5" spans="1:10" x14ac:dyDescent="0.25">
      <c r="A5" t="s">
        <v>3</v>
      </c>
      <c r="B5" s="1">
        <f>B3*B4</f>
        <v>1000000</v>
      </c>
      <c r="C5" s="1">
        <f>C3*C4</f>
        <v>1500000</v>
      </c>
      <c r="D5" s="1">
        <f>SUM(B5:C5)</f>
        <v>2500000</v>
      </c>
      <c r="F5" t="s">
        <v>12</v>
      </c>
      <c r="G5" s="1">
        <v>2000000</v>
      </c>
      <c r="H5" s="1">
        <v>10</v>
      </c>
      <c r="I5" s="1">
        <f>G5*25%</f>
        <v>500000</v>
      </c>
      <c r="J5" s="1">
        <f t="shared" si="0"/>
        <v>150000</v>
      </c>
    </row>
    <row r="6" spans="1:10" x14ac:dyDescent="0.25">
      <c r="B6" s="1">
        <f>B5/D5</f>
        <v>0.4</v>
      </c>
      <c r="C6" s="1">
        <f>C5/D5</f>
        <v>0.6</v>
      </c>
      <c r="D6" s="1"/>
      <c r="F6" t="s">
        <v>13</v>
      </c>
      <c r="G6" s="1">
        <v>50000</v>
      </c>
      <c r="H6" s="1">
        <v>5</v>
      </c>
      <c r="I6" s="1">
        <f>G6*10%</f>
        <v>5000</v>
      </c>
      <c r="J6" s="1">
        <f t="shared" si="0"/>
        <v>9000</v>
      </c>
    </row>
    <row r="7" spans="1:10" x14ac:dyDescent="0.25">
      <c r="A7" t="s">
        <v>4</v>
      </c>
      <c r="B7" s="1">
        <v>10000</v>
      </c>
      <c r="C7" s="1">
        <v>5000</v>
      </c>
      <c r="D7" s="1"/>
      <c r="G7" s="1"/>
      <c r="H7" s="1"/>
      <c r="I7" s="1">
        <f>SUM(I3:I6)</f>
        <v>1055000</v>
      </c>
      <c r="J7" s="1">
        <f>SUM(J3:J6)</f>
        <v>194000</v>
      </c>
    </row>
    <row r="8" spans="1:10" x14ac:dyDescent="0.25">
      <c r="A8" t="s">
        <v>5</v>
      </c>
      <c r="B8" s="1">
        <v>12500</v>
      </c>
      <c r="C8" s="1">
        <v>10000</v>
      </c>
      <c r="D8" s="1"/>
    </row>
    <row r="9" spans="1:10" x14ac:dyDescent="0.25">
      <c r="A9" t="s">
        <v>14</v>
      </c>
      <c r="B9" s="1">
        <f>B3-B7+B8</f>
        <v>202500</v>
      </c>
      <c r="C9" s="1">
        <f>C3-C7+C8</f>
        <v>155000</v>
      </c>
      <c r="D9" s="1">
        <f>SUM(B9:C9)</f>
        <v>357500</v>
      </c>
    </row>
    <row r="10" spans="1:10" x14ac:dyDescent="0.25">
      <c r="B10" s="1"/>
      <c r="C10" s="1"/>
      <c r="D10" s="1"/>
    </row>
    <row r="11" spans="1:10" x14ac:dyDescent="0.25">
      <c r="A11" t="s">
        <v>15</v>
      </c>
      <c r="B11" s="1"/>
      <c r="C11" s="1"/>
      <c r="D11" s="1"/>
    </row>
    <row r="12" spans="1:10" x14ac:dyDescent="0.25">
      <c r="A12" t="s">
        <v>16</v>
      </c>
      <c r="B12" s="1">
        <f>B9/100*10</f>
        <v>20250</v>
      </c>
      <c r="C12" s="1">
        <f>C9/100*5</f>
        <v>7750</v>
      </c>
      <c r="D12" s="1"/>
    </row>
    <row r="13" spans="1:10" x14ac:dyDescent="0.25">
      <c r="A13" t="s">
        <v>17</v>
      </c>
      <c r="B13" s="1">
        <f>B9/1000*100</f>
        <v>20250</v>
      </c>
      <c r="C13" s="1">
        <f>C9/1000*100</f>
        <v>15500</v>
      </c>
      <c r="D13" s="1"/>
    </row>
    <row r="14" spans="1:10" x14ac:dyDescent="0.25">
      <c r="A14" t="s">
        <v>18</v>
      </c>
      <c r="B14" s="1">
        <f>D14*B6</f>
        <v>59800</v>
      </c>
      <c r="C14" s="1">
        <f>D14*C6</f>
        <v>89700</v>
      </c>
      <c r="D14" s="1">
        <f>(2*3000+2*2000)*13*1.15</f>
        <v>149500</v>
      </c>
    </row>
    <row r="15" spans="1:10" x14ac:dyDescent="0.25">
      <c r="A15" t="s">
        <v>20</v>
      </c>
      <c r="B15" s="1">
        <f>D15*B6</f>
        <v>14327.083333333336</v>
      </c>
      <c r="C15" s="1">
        <f>D15*C6</f>
        <v>21490.625</v>
      </c>
      <c r="D15" s="1">
        <f>(D9-25000*12)*0.5/12*13*1.15</f>
        <v>35817.708333333336</v>
      </c>
    </row>
    <row r="16" spans="1:10" x14ac:dyDescent="0.25">
      <c r="A16" t="s">
        <v>19</v>
      </c>
      <c r="B16" s="1">
        <f>50*B9/1000*0.6</f>
        <v>6075</v>
      </c>
      <c r="C16" s="1">
        <f>50*C9/1000*0.6</f>
        <v>4650</v>
      </c>
      <c r="D16" s="1"/>
    </row>
    <row r="17" spans="1:4" x14ac:dyDescent="0.25">
      <c r="A17" t="s">
        <v>15</v>
      </c>
      <c r="B17" s="1">
        <f>SUM(B12:B16)</f>
        <v>120702.08333333334</v>
      </c>
      <c r="C17" s="1">
        <f>SUM(C12:C16)</f>
        <v>139090.625</v>
      </c>
      <c r="D17" s="1">
        <f>SUM(B17:C17)</f>
        <v>259792.70833333334</v>
      </c>
    </row>
    <row r="18" spans="1:4" x14ac:dyDescent="0.25">
      <c r="A18" t="s">
        <v>21</v>
      </c>
      <c r="B18" s="1"/>
      <c r="C18" s="1"/>
      <c r="D18" s="1">
        <f>(5000+2*3500)*13*1.15</f>
        <v>179400</v>
      </c>
    </row>
    <row r="19" spans="1:4" x14ac:dyDescent="0.25">
      <c r="A19" t="s">
        <v>20</v>
      </c>
      <c r="B19" s="1">
        <f>D19*B6</f>
        <v>17815.416666666664</v>
      </c>
      <c r="C19" s="1">
        <f>D19*C6</f>
        <v>26723.124999999993</v>
      </c>
      <c r="D19" s="1">
        <f>D9*0.1/12*13*1.15</f>
        <v>44538.541666666657</v>
      </c>
    </row>
    <row r="20" spans="1:4" x14ac:dyDescent="0.25">
      <c r="A20" t="s">
        <v>22</v>
      </c>
      <c r="B20" s="1"/>
      <c r="C20" s="1"/>
      <c r="D20" s="1">
        <f>5000</f>
        <v>5000</v>
      </c>
    </row>
    <row r="21" spans="1:4" x14ac:dyDescent="0.25">
      <c r="A21" t="s">
        <v>23</v>
      </c>
      <c r="B21" s="1"/>
      <c r="C21" s="1"/>
      <c r="D21" s="1">
        <f>SUM(D18:D20)</f>
        <v>228938.54166666666</v>
      </c>
    </row>
    <row r="22" spans="1:4" x14ac:dyDescent="0.25">
      <c r="A22" t="s">
        <v>24</v>
      </c>
      <c r="B22" s="1"/>
      <c r="C22" s="1"/>
      <c r="D22" s="1">
        <f>D21+D17</f>
        <v>488731.25</v>
      </c>
    </row>
    <row r="23" spans="1:4" x14ac:dyDescent="0.25">
      <c r="A23" t="s">
        <v>25</v>
      </c>
      <c r="B23" s="1"/>
      <c r="C23" s="1"/>
      <c r="D23" s="1">
        <f>(7000+2*3500)*13*1.15</f>
        <v>209299.99999999997</v>
      </c>
    </row>
    <row r="24" spans="1:4" x14ac:dyDescent="0.25">
      <c r="A24" t="s">
        <v>26</v>
      </c>
      <c r="B24" s="1"/>
      <c r="C24" s="1"/>
      <c r="D24" s="1">
        <f>500*12</f>
        <v>6000</v>
      </c>
    </row>
    <row r="25" spans="1:4" x14ac:dyDescent="0.25">
      <c r="A25" t="s">
        <v>27</v>
      </c>
      <c r="B25" s="1"/>
      <c r="C25" s="1"/>
      <c r="D25" s="1">
        <v>5000</v>
      </c>
    </row>
    <row r="26" spans="1:4" x14ac:dyDescent="0.25">
      <c r="A26" t="s">
        <v>28</v>
      </c>
      <c r="B26" s="1"/>
      <c r="C26" s="1"/>
      <c r="D26" s="1">
        <f>500*12</f>
        <v>6000</v>
      </c>
    </row>
    <row r="27" spans="1:4" x14ac:dyDescent="0.25">
      <c r="A27" t="s">
        <v>29</v>
      </c>
      <c r="B27" s="1"/>
      <c r="C27" s="1"/>
      <c r="D27" s="1">
        <v>10000</v>
      </c>
    </row>
    <row r="28" spans="1:4" x14ac:dyDescent="0.25">
      <c r="A28" t="s">
        <v>30</v>
      </c>
      <c r="B28" s="1"/>
      <c r="C28" s="1"/>
      <c r="D28" s="1">
        <f>SUM(D23:D27)</f>
        <v>236299.99999999997</v>
      </c>
    </row>
    <row r="29" spans="1:4" x14ac:dyDescent="0.25">
      <c r="A29" t="s">
        <v>31</v>
      </c>
      <c r="B29" s="1"/>
      <c r="C29" s="1"/>
      <c r="D29" s="1">
        <v>50000</v>
      </c>
    </row>
    <row r="30" spans="1:4" x14ac:dyDescent="0.25">
      <c r="A30" t="s">
        <v>32</v>
      </c>
      <c r="B30" s="1"/>
      <c r="C30" s="1"/>
      <c r="D30" s="1">
        <v>50000</v>
      </c>
    </row>
    <row r="31" spans="1:4" x14ac:dyDescent="0.25">
      <c r="A31" t="s">
        <v>34</v>
      </c>
      <c r="B31" s="1"/>
      <c r="C31" s="1"/>
      <c r="D31" s="1">
        <f>SUM(D29:D30)</f>
        <v>100000</v>
      </c>
    </row>
    <row r="32" spans="1:4" x14ac:dyDescent="0.25">
      <c r="A32" t="s">
        <v>33</v>
      </c>
      <c r="B32" s="1"/>
      <c r="C32" s="1"/>
      <c r="D32" s="1">
        <v>20000</v>
      </c>
    </row>
    <row r="33" spans="1:4" x14ac:dyDescent="0.25">
      <c r="A33" t="s">
        <v>8</v>
      </c>
      <c r="B33" s="1"/>
      <c r="C33" s="1"/>
      <c r="D33" s="1">
        <f>J7</f>
        <v>194000</v>
      </c>
    </row>
    <row r="34" spans="1:4" x14ac:dyDescent="0.25">
      <c r="A34" t="s">
        <v>35</v>
      </c>
      <c r="B34" s="1">
        <f>D34*B6</f>
        <v>202304.58333333337</v>
      </c>
      <c r="C34" s="1">
        <f>D34*C6</f>
        <v>303456.875</v>
      </c>
      <c r="D34" s="1">
        <f>D28+D31+D32+D33-D19</f>
        <v>505761.45833333337</v>
      </c>
    </row>
    <row r="35" spans="1:4" x14ac:dyDescent="0.25">
      <c r="A35" t="s">
        <v>36</v>
      </c>
      <c r="B35" s="1">
        <f>B17+B19+B34</f>
        <v>340822.08333333337</v>
      </c>
      <c r="C35" s="1">
        <f>C17+C19+C34</f>
        <v>469270.625</v>
      </c>
      <c r="D35" s="1"/>
    </row>
    <row r="36" spans="1:4" x14ac:dyDescent="0.25">
      <c r="A36" t="s">
        <v>37</v>
      </c>
      <c r="B36" s="1">
        <f>B35/B9</f>
        <v>1.6830720164609057</v>
      </c>
      <c r="C36" s="1">
        <f>C35/C9</f>
        <v>3.0275524193548389</v>
      </c>
      <c r="D36" s="1"/>
    </row>
    <row r="37" spans="1:4" x14ac:dyDescent="0.25">
      <c r="A37" t="s">
        <v>38</v>
      </c>
      <c r="B37" s="1">
        <f>(B17+B19)/B9</f>
        <v>0.684037037037037</v>
      </c>
      <c r="C37" s="1">
        <f>(C17+C19)/C9</f>
        <v>1.069766129032258</v>
      </c>
      <c r="D37" s="1"/>
    </row>
    <row r="38" spans="1:4" x14ac:dyDescent="0.25">
      <c r="A38" t="s">
        <v>39</v>
      </c>
      <c r="B38" s="1">
        <f>B4-B36</f>
        <v>3.3169279835390943</v>
      </c>
      <c r="C38" s="1">
        <f>C4-C36</f>
        <v>6.9724475806451611</v>
      </c>
      <c r="D38" s="1"/>
    </row>
    <row r="39" spans="1:4" x14ac:dyDescent="0.25">
      <c r="A39" t="s">
        <v>40</v>
      </c>
      <c r="B39" s="1">
        <f>B42/(B4-B41)</f>
        <v>43708.474293716252</v>
      </c>
      <c r="C39" s="1">
        <f>C42/(C4-C41)</f>
        <v>31799.891404932834</v>
      </c>
      <c r="D39" s="1"/>
    </row>
    <row r="40" spans="1:4" x14ac:dyDescent="0.25">
      <c r="A40" t="s">
        <v>41</v>
      </c>
      <c r="B40" s="1">
        <f>(B17-B14+B15)</f>
        <v>75229.166666666686</v>
      </c>
      <c r="C40" s="1">
        <f>(C17-C14+C15)</f>
        <v>70881.25</v>
      </c>
      <c r="D40" s="1"/>
    </row>
    <row r="41" spans="1:4" x14ac:dyDescent="0.25">
      <c r="A41" t="s">
        <v>42</v>
      </c>
      <c r="B41" s="1">
        <f>B40/B9</f>
        <v>0.37150205761316885</v>
      </c>
      <c r="C41" s="1">
        <f>C40/C9</f>
        <v>0.45729838709677417</v>
      </c>
      <c r="D41" s="1"/>
    </row>
    <row r="42" spans="1:4" x14ac:dyDescent="0.25">
      <c r="A42" t="s">
        <v>43</v>
      </c>
      <c r="B42" s="1">
        <f>B34</f>
        <v>202304.58333333337</v>
      </c>
      <c r="C42" s="1">
        <f>C34</f>
        <v>303456.875</v>
      </c>
      <c r="D42" s="1"/>
    </row>
    <row r="43" spans="1:4" x14ac:dyDescent="0.25">
      <c r="A43" t="s">
        <v>44</v>
      </c>
      <c r="B43" s="1"/>
      <c r="C43" s="1"/>
      <c r="D43" s="1"/>
    </row>
    <row r="44" spans="1:4" x14ac:dyDescent="0.25">
      <c r="A44" t="s">
        <v>45</v>
      </c>
      <c r="B44" s="1"/>
      <c r="C44" s="1"/>
      <c r="D44" s="1"/>
    </row>
    <row r="45" spans="1:4" x14ac:dyDescent="0.25">
      <c r="A45" t="s">
        <v>1</v>
      </c>
      <c r="B45" s="1"/>
      <c r="C45" s="1">
        <f>D5</f>
        <v>2500000</v>
      </c>
      <c r="D45" s="1"/>
    </row>
    <row r="46" spans="1:4" x14ac:dyDescent="0.25">
      <c r="A46" t="s">
        <v>46</v>
      </c>
      <c r="B46" s="1"/>
      <c r="C46" s="1">
        <f>D22</f>
        <v>488731.25</v>
      </c>
      <c r="D46" s="1"/>
    </row>
    <row r="47" spans="1:4" x14ac:dyDescent="0.25">
      <c r="A47" t="s">
        <v>47</v>
      </c>
      <c r="B47" s="1"/>
      <c r="C47" s="1">
        <f>C45-C46</f>
        <v>2011268.75</v>
      </c>
      <c r="D47" s="1"/>
    </row>
    <row r="48" spans="1:4" x14ac:dyDescent="0.25">
      <c r="A48" t="s">
        <v>48</v>
      </c>
      <c r="B48" s="1"/>
      <c r="C48" s="1"/>
      <c r="D48" s="1"/>
    </row>
    <row r="49" spans="1:4" x14ac:dyDescent="0.25">
      <c r="A49" t="s">
        <v>49</v>
      </c>
      <c r="B49" s="1"/>
      <c r="C49" s="1">
        <f>D28</f>
        <v>236299.99999999997</v>
      </c>
      <c r="D49" s="1"/>
    </row>
    <row r="50" spans="1:4" x14ac:dyDescent="0.25">
      <c r="A50" t="s">
        <v>50</v>
      </c>
      <c r="B50" s="1"/>
      <c r="C50" s="1">
        <f>D31</f>
        <v>100000</v>
      </c>
      <c r="D50" s="1"/>
    </row>
    <row r="51" spans="1:4" x14ac:dyDescent="0.25">
      <c r="A51" t="s">
        <v>51</v>
      </c>
      <c r="B51" s="1"/>
      <c r="C51" s="1">
        <f>D32</f>
        <v>20000</v>
      </c>
      <c r="D51" s="1"/>
    </row>
    <row r="52" spans="1:4" x14ac:dyDescent="0.25">
      <c r="A52" t="s">
        <v>8</v>
      </c>
      <c r="B52" s="1"/>
      <c r="C52" s="1">
        <f>D33</f>
        <v>194000</v>
      </c>
      <c r="D52" s="1"/>
    </row>
    <row r="53" spans="1:4" x14ac:dyDescent="0.25">
      <c r="A53" t="s">
        <v>52</v>
      </c>
      <c r="B53" s="1"/>
      <c r="C53" s="1">
        <f>SUM(C49:C52)</f>
        <v>550300</v>
      </c>
      <c r="D53" s="1"/>
    </row>
    <row r="54" spans="1:4" x14ac:dyDescent="0.25">
      <c r="A54" t="s">
        <v>53</v>
      </c>
      <c r="B54" s="1"/>
      <c r="C54" s="1">
        <f>C47-C53</f>
        <v>1460968.75</v>
      </c>
      <c r="D54" s="1"/>
    </row>
    <row r="55" spans="1:4" x14ac:dyDescent="0.25">
      <c r="A55" t="s">
        <v>55</v>
      </c>
      <c r="B55" s="2">
        <v>0.25</v>
      </c>
      <c r="C55" s="1">
        <f>C54*B55</f>
        <v>365242.1875</v>
      </c>
    </row>
    <row r="56" spans="1:4" x14ac:dyDescent="0.25">
      <c r="A56" t="s">
        <v>54</v>
      </c>
      <c r="C56" s="1">
        <f>C54-C55</f>
        <v>1095726.5625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2021-05-27T23:24:32Z</dcterms:created>
  <dcterms:modified xsi:type="dcterms:W3CDTF">2021-06-10T18:15:55Z</dcterms:modified>
</cp:coreProperties>
</file>