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bookViews>
    <workbookView xWindow="0" yWindow="0" windowWidth="10200" windowHeight="322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8" i="1" l="1"/>
  <c r="B58" i="1"/>
  <c r="G18" i="1"/>
  <c r="G17" i="1"/>
  <c r="G16" i="1"/>
  <c r="G46" i="1"/>
  <c r="G45" i="1"/>
  <c r="D43" i="1"/>
  <c r="E43" i="1"/>
  <c r="F43" i="1"/>
  <c r="C43" i="1"/>
  <c r="K48" i="1"/>
  <c r="M48" i="1" s="1"/>
  <c r="K47" i="1"/>
  <c r="M47" i="1" s="1"/>
  <c r="K46" i="1"/>
  <c r="M46" i="1" s="1"/>
  <c r="K45" i="1"/>
  <c r="M45" i="1" s="1"/>
  <c r="F32" i="1"/>
  <c r="E32" i="1"/>
  <c r="D32" i="1"/>
  <c r="C32" i="1"/>
  <c r="D7" i="1"/>
  <c r="D20" i="1" s="1"/>
  <c r="E7" i="1"/>
  <c r="E20" i="1" s="1"/>
  <c r="F7" i="1"/>
  <c r="F12" i="1" s="1"/>
  <c r="D8" i="1"/>
  <c r="D21" i="1" s="1"/>
  <c r="E8" i="1"/>
  <c r="E13" i="1" s="1"/>
  <c r="F11" i="1" s="1"/>
  <c r="F8" i="1"/>
  <c r="F21" i="1" s="1"/>
  <c r="C8" i="1"/>
  <c r="C21" i="1" s="1"/>
  <c r="M49" i="1" l="1"/>
  <c r="D47" i="1" s="1"/>
  <c r="D48" i="1" s="1"/>
  <c r="C13" i="1"/>
  <c r="D11" i="1" s="1"/>
  <c r="F20" i="1"/>
  <c r="F22" i="1" s="1"/>
  <c r="E21" i="1"/>
  <c r="E22" i="1" s="1"/>
  <c r="F47" i="1"/>
  <c r="F48" i="1" s="1"/>
  <c r="E47" i="1"/>
  <c r="E48" i="1" s="1"/>
  <c r="D12" i="1"/>
  <c r="D22" i="1"/>
  <c r="F13" i="1"/>
  <c r="F17" i="1" s="1"/>
  <c r="D13" i="1"/>
  <c r="E11" i="1" s="1"/>
  <c r="E17" i="1" s="1"/>
  <c r="E12" i="1"/>
  <c r="C47" i="1" l="1"/>
  <c r="C48" i="1" s="1"/>
  <c r="D17" i="1"/>
  <c r="D31" i="1" s="1"/>
  <c r="C17" i="1"/>
  <c r="C34" i="1" s="1"/>
  <c r="D34" i="1"/>
  <c r="E34" i="1"/>
  <c r="E29" i="1"/>
  <c r="E31" i="1"/>
  <c r="F34" i="1"/>
  <c r="F31" i="1"/>
  <c r="C31" i="1" l="1"/>
  <c r="C29" i="1"/>
  <c r="G29" i="1" s="1"/>
  <c r="G31" i="1"/>
  <c r="G34" i="1"/>
  <c r="C68" i="1" l="1"/>
  <c r="C66" i="1" l="1"/>
  <c r="C7" i="1" l="1"/>
  <c r="C20" i="1" s="1"/>
  <c r="C22" i="1" s="1"/>
  <c r="B61" i="1" l="1"/>
  <c r="C61" i="1" s="1"/>
  <c r="C50" i="1" s="1"/>
  <c r="F60" i="1"/>
  <c r="F51" i="1" s="1"/>
  <c r="E60" i="1"/>
  <c r="E51" i="1" s="1"/>
  <c r="D60" i="1"/>
  <c r="D51" i="1" s="1"/>
  <c r="C60" i="1"/>
  <c r="C51" i="1" s="1"/>
  <c r="F40" i="1"/>
  <c r="D40" i="1"/>
  <c r="E40" i="1"/>
  <c r="C40" i="1"/>
  <c r="F39" i="1"/>
  <c r="C39" i="1"/>
  <c r="D39" i="1"/>
  <c r="E39" i="1"/>
  <c r="D38" i="1"/>
  <c r="E38" i="1"/>
  <c r="F38" i="1"/>
  <c r="F41" i="1" s="1"/>
  <c r="C38" i="1"/>
  <c r="C41" i="1" s="1"/>
  <c r="G32" i="1"/>
  <c r="B25" i="1"/>
  <c r="B54" i="1" s="1"/>
  <c r="B55" i="1" s="1"/>
  <c r="C12" i="1"/>
  <c r="C16" i="1" s="1"/>
  <c r="D25" i="1"/>
  <c r="E25" i="1"/>
  <c r="F25" i="1"/>
  <c r="E41" i="1" l="1"/>
  <c r="C33" i="1"/>
  <c r="C30" i="1"/>
  <c r="D41" i="1"/>
  <c r="G41" i="1" s="1"/>
  <c r="G43" i="1"/>
  <c r="C59" i="1"/>
  <c r="F10" i="1"/>
  <c r="G22" i="1"/>
  <c r="E10" i="1"/>
  <c r="E16" i="1" s="1"/>
  <c r="C25" i="1"/>
  <c r="D10" i="1"/>
  <c r="D16" i="1" s="1"/>
  <c r="D33" i="1" l="1"/>
  <c r="D30" i="1"/>
  <c r="C28" i="1"/>
  <c r="E30" i="1"/>
  <c r="E33" i="1"/>
  <c r="F16" i="1"/>
  <c r="E28" i="1" s="1"/>
  <c r="D61" i="1"/>
  <c r="D50" i="1" s="1"/>
  <c r="D59" i="1"/>
  <c r="F33" i="1" l="1"/>
  <c r="F30" i="1"/>
  <c r="G33" i="1"/>
  <c r="E61" i="1"/>
  <c r="E50" i="1" s="1"/>
  <c r="E59" i="1"/>
  <c r="E35" i="1"/>
  <c r="E49" i="1" s="1"/>
  <c r="E53" i="1" s="1"/>
  <c r="E54" i="1" s="1"/>
  <c r="C35" i="1"/>
  <c r="G28" i="1"/>
  <c r="D35" i="1"/>
  <c r="D49" i="1" s="1"/>
  <c r="D53" i="1" s="1"/>
  <c r="D54" i="1" s="1"/>
  <c r="G30" i="1"/>
  <c r="G35" i="1" l="1"/>
  <c r="B56" i="1" s="1"/>
  <c r="B57" i="1" s="1"/>
  <c r="F35" i="1"/>
  <c r="F49" i="1" s="1"/>
  <c r="F61" i="1"/>
  <c r="F50" i="1" s="1"/>
  <c r="F59" i="1"/>
  <c r="C49" i="1"/>
  <c r="C53" i="1" s="1"/>
  <c r="C54" i="1" s="1"/>
  <c r="C55" i="1" s="1"/>
  <c r="D55" i="1" s="1"/>
  <c r="E55" i="1" s="1"/>
  <c r="F53" i="1" l="1"/>
  <c r="F54" i="1" s="1"/>
  <c r="F55" i="1" s="1"/>
</calcChain>
</file>

<file path=xl/sharedStrings.xml><?xml version="1.0" encoding="utf-8"?>
<sst xmlns="http://schemas.openxmlformats.org/spreadsheetml/2006/main" count="65" uniqueCount="57">
  <si>
    <t>Ventas actuales</t>
  </si>
  <si>
    <t>Ventas planeadas</t>
  </si>
  <si>
    <t>Produccion</t>
  </si>
  <si>
    <t>INGRESOS</t>
  </si>
  <si>
    <t>TOTAL INGRESOS</t>
  </si>
  <si>
    <t>EGRESOS</t>
  </si>
  <si>
    <t>TOTAL</t>
  </si>
  <si>
    <t>TOTAL PRESUPUESTO OPERATIVO</t>
  </si>
  <si>
    <t>Intereses</t>
  </si>
  <si>
    <t>amortizaciones</t>
  </si>
  <si>
    <t>INVERSION</t>
  </si>
  <si>
    <t>TOTAL EGRESOS</t>
  </si>
  <si>
    <t>RESULTADO</t>
  </si>
  <si>
    <t>ACUMULADO</t>
  </si>
  <si>
    <t>CAPITAL</t>
  </si>
  <si>
    <t>intereses</t>
  </si>
  <si>
    <t>amortizacion</t>
  </si>
  <si>
    <t>VAN</t>
  </si>
  <si>
    <t>TIR</t>
  </si>
  <si>
    <t>Leche sin sabor</t>
  </si>
  <si>
    <t>Leche saborizada</t>
  </si>
  <si>
    <t>Inventario inicial Leche sin sabor</t>
  </si>
  <si>
    <t>Inventario inicial Leche saborizada</t>
  </si>
  <si>
    <t>Inventario final Leche saborizada</t>
  </si>
  <si>
    <t>Inventario final Leche sin sabor</t>
  </si>
  <si>
    <t>TOTAL VENTAS</t>
  </si>
  <si>
    <t>Caja y banco</t>
  </si>
  <si>
    <t>Prestamo banco</t>
  </si>
  <si>
    <t>Mano de obra</t>
  </si>
  <si>
    <t>Materia prima Leche saborizada</t>
  </si>
  <si>
    <t>Insumos  Leche saborizada</t>
  </si>
  <si>
    <t>Insumos  Leche sin sabor</t>
  </si>
  <si>
    <t>Materia prima Leche sin sabor</t>
  </si>
  <si>
    <t>TOTAL COSTO DIRECTO</t>
  </si>
  <si>
    <t>TOTAL COSTO INDIRECTO</t>
  </si>
  <si>
    <t>Repuestos y lubricantes</t>
  </si>
  <si>
    <t>Mantenimiento</t>
  </si>
  <si>
    <t>Personal limpieza</t>
  </si>
  <si>
    <t>Personal control de calidad</t>
  </si>
  <si>
    <t>Energia electrica Leche sin sabor</t>
  </si>
  <si>
    <t>Energia electrica Leche saborizada</t>
  </si>
  <si>
    <t>Depreciación</t>
  </si>
  <si>
    <t>EDIFICIOS</t>
  </si>
  <si>
    <t>VEHICULOS</t>
  </si>
  <si>
    <t>MAQUINARIAS</t>
  </si>
  <si>
    <t>MUEBLES Y ENSERES</t>
  </si>
  <si>
    <t>AÑOS</t>
  </si>
  <si>
    <t>BS.</t>
  </si>
  <si>
    <t>DEPRECIACION</t>
  </si>
  <si>
    <t>COSTO ADMINISTRATIVOS</t>
  </si>
  <si>
    <t>COSTOS COMERCIALES</t>
  </si>
  <si>
    <t>COSTOS FINANCIEROS</t>
  </si>
  <si>
    <t>COSTO VARIABLES</t>
  </si>
  <si>
    <t>PRECIO LECHE SIN SABOR</t>
  </si>
  <si>
    <t>PRECIO LECHE CON SABOR</t>
  </si>
  <si>
    <t>COSTO VARIABLES UNITARIOS</t>
  </si>
  <si>
    <t>MARGEN DE CON TRI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</si>
</sst>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8" formatCode="&quot;Bs&quot;#,##0.00;[Red]\-&quot;Bs&quot;#,##0.00"/>
    <numFmt numFmtId="164" formatCode="0.000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9" fontId="0" fillId="0" borderId="0" xfId="0" applyNumberFormat="1"/>
    <xf numFmtId="0" fontId="0" fillId="0" borderId="0" xfId="0" applyAlignment="1">
      <alignment horizontal="center"/>
    </xf>
    <xf numFmtId="8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68"/>
  <sheetViews>
    <sheetView tabSelected="1" topLeftCell="A39" zoomScale="90" zoomScaleNormal="90" workbookViewId="0">
      <selection activeCell="C59" sqref="C59"/>
    </sheetView>
  </sheetViews>
  <sheetFormatPr baseColWidth="10" defaultRowHeight="15" x14ac:dyDescent="0.25"/>
  <cols>
    <col min="1" max="1" width="28.7109375" customWidth="1"/>
    <col min="2" max="2" width="13.5703125" customWidth="1"/>
    <col min="3" max="3" width="15.7109375" customWidth="1"/>
    <col min="7" max="7" width="13.42578125" customWidth="1"/>
    <col min="8" max="8" width="16.7109375" customWidth="1"/>
    <col min="9" max="9" width="18.85546875" customWidth="1"/>
    <col min="11" max="12" width="14.140625" customWidth="1"/>
    <col min="13" max="13" width="14.5703125" customWidth="1"/>
  </cols>
  <sheetData>
    <row r="2" spans="1:10" x14ac:dyDescent="0.25">
      <c r="A2" t="s">
        <v>0</v>
      </c>
      <c r="B2">
        <v>0</v>
      </c>
      <c r="C2">
        <v>1</v>
      </c>
      <c r="D2">
        <v>2</v>
      </c>
      <c r="E2">
        <v>3</v>
      </c>
      <c r="F2">
        <v>4</v>
      </c>
      <c r="H2" t="s">
        <v>53</v>
      </c>
      <c r="J2">
        <v>6</v>
      </c>
    </row>
    <row r="3" spans="1:10" x14ac:dyDescent="0.25">
      <c r="A3" t="s">
        <v>19</v>
      </c>
      <c r="C3">
        <v>20000</v>
      </c>
      <c r="D3">
        <v>25000</v>
      </c>
      <c r="E3">
        <v>20000</v>
      </c>
      <c r="F3">
        <v>25000</v>
      </c>
      <c r="H3" t="s">
        <v>54</v>
      </c>
      <c r="J3">
        <v>8</v>
      </c>
    </row>
    <row r="4" spans="1:10" x14ac:dyDescent="0.25">
      <c r="A4" t="s">
        <v>20</v>
      </c>
      <c r="C4">
        <v>15000</v>
      </c>
      <c r="D4">
        <v>20000</v>
      </c>
      <c r="E4">
        <v>15000</v>
      </c>
      <c r="F4">
        <v>20000</v>
      </c>
    </row>
    <row r="6" spans="1:10" x14ac:dyDescent="0.25">
      <c r="A6" t="s">
        <v>1</v>
      </c>
      <c r="B6">
        <v>0</v>
      </c>
      <c r="C6">
        <v>1</v>
      </c>
      <c r="D6">
        <v>2</v>
      </c>
      <c r="E6">
        <v>3</v>
      </c>
      <c r="F6">
        <v>4</v>
      </c>
    </row>
    <row r="7" spans="1:10" x14ac:dyDescent="0.25">
      <c r="A7" t="s">
        <v>19</v>
      </c>
      <c r="C7">
        <f>C3*1.1</f>
        <v>22000</v>
      </c>
      <c r="D7">
        <f t="shared" ref="D7:F7" si="0">D3*1.1</f>
        <v>27500.000000000004</v>
      </c>
      <c r="E7">
        <f t="shared" si="0"/>
        <v>22000</v>
      </c>
      <c r="F7">
        <f t="shared" si="0"/>
        <v>27500.000000000004</v>
      </c>
    </row>
    <row r="8" spans="1:10" x14ac:dyDescent="0.25">
      <c r="A8" t="s">
        <v>20</v>
      </c>
      <c r="C8">
        <f>C4*1.1</f>
        <v>16500</v>
      </c>
      <c r="D8">
        <f t="shared" ref="D8:F8" si="1">D4*1.1</f>
        <v>22000</v>
      </c>
      <c r="E8">
        <f t="shared" si="1"/>
        <v>16500</v>
      </c>
      <c r="F8">
        <f t="shared" si="1"/>
        <v>22000</v>
      </c>
    </row>
    <row r="10" spans="1:10" x14ac:dyDescent="0.25">
      <c r="A10" t="s">
        <v>21</v>
      </c>
      <c r="C10">
        <v>500</v>
      </c>
      <c r="D10">
        <f>C12</f>
        <v>1100</v>
      </c>
      <c r="E10">
        <f>D12</f>
        <v>1375.0000000000002</v>
      </c>
      <c r="F10">
        <f>E12</f>
        <v>1100</v>
      </c>
    </row>
    <row r="11" spans="1:10" x14ac:dyDescent="0.25">
      <c r="A11" t="s">
        <v>22</v>
      </c>
      <c r="C11">
        <v>300</v>
      </c>
      <c r="D11">
        <f>C13</f>
        <v>825</v>
      </c>
      <c r="E11">
        <f t="shared" ref="E11:F11" si="2">D13</f>
        <v>1100</v>
      </c>
      <c r="F11">
        <f t="shared" si="2"/>
        <v>825</v>
      </c>
    </row>
    <row r="12" spans="1:10" x14ac:dyDescent="0.25">
      <c r="A12" t="s">
        <v>24</v>
      </c>
      <c r="C12">
        <f>C7*0.05</f>
        <v>1100</v>
      </c>
      <c r="D12">
        <f t="shared" ref="D12:F12" si="3">D7*0.05</f>
        <v>1375.0000000000002</v>
      </c>
      <c r="E12">
        <f t="shared" si="3"/>
        <v>1100</v>
      </c>
      <c r="F12">
        <f t="shared" si="3"/>
        <v>1375.0000000000002</v>
      </c>
    </row>
    <row r="13" spans="1:10" x14ac:dyDescent="0.25">
      <c r="A13" t="s">
        <v>23</v>
      </c>
      <c r="C13">
        <f>C8*0.05</f>
        <v>825</v>
      </c>
      <c r="D13">
        <f t="shared" ref="D13:F13" si="4">D8*0.05</f>
        <v>1100</v>
      </c>
      <c r="E13">
        <f t="shared" si="4"/>
        <v>825</v>
      </c>
      <c r="F13">
        <f t="shared" si="4"/>
        <v>1100</v>
      </c>
    </row>
    <row r="15" spans="1:10" x14ac:dyDescent="0.25">
      <c r="A15" t="s">
        <v>2</v>
      </c>
    </row>
    <row r="16" spans="1:10" x14ac:dyDescent="0.25">
      <c r="A16" t="s">
        <v>19</v>
      </c>
      <c r="C16">
        <f>C7-C10+C12</f>
        <v>22600</v>
      </c>
      <c r="D16">
        <f>D7-D10+D12</f>
        <v>27775.000000000004</v>
      </c>
      <c r="E16">
        <f>E7-E10+E12</f>
        <v>21725</v>
      </c>
      <c r="F16">
        <f>F7-F10+F12</f>
        <v>27775.000000000004</v>
      </c>
      <c r="G16">
        <f>SUM(C16:F16)</f>
        <v>99875</v>
      </c>
    </row>
    <row r="17" spans="1:7" x14ac:dyDescent="0.25">
      <c r="A17" t="s">
        <v>20</v>
      </c>
      <c r="C17">
        <f>C8-C11+C13</f>
        <v>17025</v>
      </c>
      <c r="D17">
        <f t="shared" ref="D17:F17" si="5">D8-D11+D13</f>
        <v>22275</v>
      </c>
      <c r="E17">
        <f t="shared" si="5"/>
        <v>16225</v>
      </c>
      <c r="F17">
        <f t="shared" si="5"/>
        <v>22275</v>
      </c>
      <c r="G17">
        <f>SUM(C17:F17)</f>
        <v>77800</v>
      </c>
    </row>
    <row r="18" spans="1:7" x14ac:dyDescent="0.25">
      <c r="G18">
        <f>SUM(G16:G17)</f>
        <v>177675</v>
      </c>
    </row>
    <row r="19" spans="1:7" x14ac:dyDescent="0.25">
      <c r="A19" t="s">
        <v>3</v>
      </c>
    </row>
    <row r="20" spans="1:7" x14ac:dyDescent="0.25">
      <c r="A20" t="s">
        <v>19</v>
      </c>
      <c r="C20">
        <f>C7*6</f>
        <v>132000</v>
      </c>
      <c r="D20">
        <f t="shared" ref="D20:F20" si="6">D7*6</f>
        <v>165000.00000000003</v>
      </c>
      <c r="E20">
        <f t="shared" si="6"/>
        <v>132000</v>
      </c>
      <c r="F20">
        <f t="shared" si="6"/>
        <v>165000.00000000003</v>
      </c>
    </row>
    <row r="21" spans="1:7" x14ac:dyDescent="0.25">
      <c r="A21" t="s">
        <v>20</v>
      </c>
      <c r="C21">
        <f>C8*8</f>
        <v>132000</v>
      </c>
      <c r="D21">
        <f t="shared" ref="D21:F21" si="7">D8*8</f>
        <v>176000</v>
      </c>
      <c r="E21">
        <f t="shared" si="7"/>
        <v>132000</v>
      </c>
      <c r="F21">
        <f t="shared" si="7"/>
        <v>176000</v>
      </c>
    </row>
    <row r="22" spans="1:7" x14ac:dyDescent="0.25">
      <c r="A22" t="s">
        <v>25</v>
      </c>
      <c r="C22">
        <f>SUM(C20:C21)</f>
        <v>264000</v>
      </c>
      <c r="D22">
        <f t="shared" ref="D22:F22" si="8">SUM(D20:D21)</f>
        <v>341000</v>
      </c>
      <c r="E22">
        <f t="shared" si="8"/>
        <v>264000</v>
      </c>
      <c r="F22">
        <f t="shared" si="8"/>
        <v>341000</v>
      </c>
      <c r="G22">
        <f>SUM(C22:F22)</f>
        <v>1210000</v>
      </c>
    </row>
    <row r="23" spans="1:7" x14ac:dyDescent="0.25">
      <c r="A23" t="s">
        <v>26</v>
      </c>
      <c r="B23">
        <v>500000</v>
      </c>
    </row>
    <row r="24" spans="1:7" x14ac:dyDescent="0.25">
      <c r="A24" t="s">
        <v>27</v>
      </c>
      <c r="B24">
        <v>3100000</v>
      </c>
    </row>
    <row r="25" spans="1:7" x14ac:dyDescent="0.25">
      <c r="A25" t="s">
        <v>4</v>
      </c>
      <c r="B25">
        <f>SUM(B22:B24)</f>
        <v>3600000</v>
      </c>
      <c r="C25">
        <f t="shared" ref="C25:F25" si="9">SUM(C22:C24)</f>
        <v>264000</v>
      </c>
      <c r="D25">
        <f t="shared" si="9"/>
        <v>341000</v>
      </c>
      <c r="E25">
        <f t="shared" si="9"/>
        <v>264000</v>
      </c>
      <c r="F25">
        <f t="shared" si="9"/>
        <v>341000</v>
      </c>
    </row>
    <row r="27" spans="1:7" x14ac:dyDescent="0.25">
      <c r="A27" t="s">
        <v>5</v>
      </c>
    </row>
    <row r="28" spans="1:7" x14ac:dyDescent="0.25">
      <c r="A28" t="s">
        <v>32</v>
      </c>
      <c r="C28">
        <f>(C16+D16)*1.05*3</f>
        <v>158681.25</v>
      </c>
      <c r="E28">
        <f>(E16+F16)*1.05*3</f>
        <v>155925</v>
      </c>
      <c r="G28">
        <f>SUM(C28:F28)</f>
        <v>314606.25</v>
      </c>
    </row>
    <row r="29" spans="1:7" x14ac:dyDescent="0.25">
      <c r="A29" t="s">
        <v>29</v>
      </c>
      <c r="C29">
        <f>(C17+D17)*1.05*3</f>
        <v>123795</v>
      </c>
      <c r="E29">
        <f>(E17+F17)*1.05*3</f>
        <v>121275</v>
      </c>
      <c r="G29">
        <f>SUM(C29:F29)</f>
        <v>245070</v>
      </c>
    </row>
    <row r="30" spans="1:7" x14ac:dyDescent="0.25">
      <c r="A30" t="s">
        <v>31</v>
      </c>
      <c r="C30">
        <f>C16*1</f>
        <v>22600</v>
      </c>
      <c r="D30">
        <f t="shared" ref="D30:F30" si="10">D16*1</f>
        <v>27775.000000000004</v>
      </c>
      <c r="E30">
        <f t="shared" si="10"/>
        <v>21725</v>
      </c>
      <c r="F30">
        <f t="shared" si="10"/>
        <v>27775.000000000004</v>
      </c>
      <c r="G30">
        <f t="shared" ref="G30:G33" si="11">SUM(C30:F30)</f>
        <v>99875</v>
      </c>
    </row>
    <row r="31" spans="1:7" x14ac:dyDescent="0.25">
      <c r="A31" t="s">
        <v>30</v>
      </c>
      <c r="C31">
        <f>C17*1.2</f>
        <v>20430</v>
      </c>
      <c r="D31">
        <f t="shared" ref="D31:F31" si="12">D17*1.2</f>
        <v>26730</v>
      </c>
      <c r="E31">
        <f t="shared" si="12"/>
        <v>19470</v>
      </c>
      <c r="F31">
        <f t="shared" si="12"/>
        <v>26730</v>
      </c>
      <c r="G31">
        <f>SUM(C31:F31)</f>
        <v>93360</v>
      </c>
    </row>
    <row r="32" spans="1:7" x14ac:dyDescent="0.25">
      <c r="A32" t="s">
        <v>28</v>
      </c>
      <c r="C32">
        <f>4*2500*1.15*3</f>
        <v>34500</v>
      </c>
      <c r="D32">
        <f t="shared" ref="D32:E32" si="13">4*2500*1.15*3</f>
        <v>34500</v>
      </c>
      <c r="E32">
        <f t="shared" si="13"/>
        <v>34500</v>
      </c>
      <c r="F32">
        <f>4*2500*1.15*4</f>
        <v>46000</v>
      </c>
      <c r="G32">
        <f t="shared" si="11"/>
        <v>149500</v>
      </c>
    </row>
    <row r="33" spans="1:13" x14ac:dyDescent="0.25">
      <c r="A33" t="s">
        <v>39</v>
      </c>
      <c r="C33">
        <f>C16*0.5</f>
        <v>11300</v>
      </c>
      <c r="D33">
        <f t="shared" ref="D33:F33" si="14">D16*0.5</f>
        <v>13887.500000000002</v>
      </c>
      <c r="E33">
        <f t="shared" si="14"/>
        <v>10862.5</v>
      </c>
      <c r="F33">
        <f t="shared" si="14"/>
        <v>13887.500000000002</v>
      </c>
      <c r="G33">
        <f t="shared" si="11"/>
        <v>49937.5</v>
      </c>
    </row>
    <row r="34" spans="1:13" x14ac:dyDescent="0.25">
      <c r="A34" t="s">
        <v>40</v>
      </c>
      <c r="C34">
        <f>C17*0.8</f>
        <v>13620</v>
      </c>
      <c r="D34">
        <f t="shared" ref="D34:F34" si="15">D17*0.8</f>
        <v>17820</v>
      </c>
      <c r="E34">
        <f t="shared" si="15"/>
        <v>12980</v>
      </c>
      <c r="F34">
        <f t="shared" si="15"/>
        <v>17820</v>
      </c>
      <c r="G34">
        <f>SUM(C34:F34)</f>
        <v>62240</v>
      </c>
    </row>
    <row r="35" spans="1:13" x14ac:dyDescent="0.25">
      <c r="A35" t="s">
        <v>33</v>
      </c>
      <c r="C35">
        <f>SUM(C28:C33)</f>
        <v>371306.25</v>
      </c>
      <c r="D35">
        <f t="shared" ref="D35:F35" si="16">SUM(D28:D33)</f>
        <v>102892.5</v>
      </c>
      <c r="E35">
        <f t="shared" si="16"/>
        <v>363757.5</v>
      </c>
      <c r="F35">
        <f t="shared" si="16"/>
        <v>114392.5</v>
      </c>
      <c r="G35">
        <f>SUM(G28:G34)</f>
        <v>1014588.75</v>
      </c>
    </row>
    <row r="37" spans="1:13" x14ac:dyDescent="0.25">
      <c r="A37" t="s">
        <v>35</v>
      </c>
      <c r="C37">
        <v>10000</v>
      </c>
      <c r="D37">
        <v>10000</v>
      </c>
      <c r="E37">
        <v>10000</v>
      </c>
      <c r="F37">
        <v>10000</v>
      </c>
    </row>
    <row r="38" spans="1:13" x14ac:dyDescent="0.25">
      <c r="A38" t="s">
        <v>36</v>
      </c>
      <c r="C38">
        <f>5000*3</f>
        <v>15000</v>
      </c>
      <c r="D38">
        <f t="shared" ref="D38:F38" si="17">5000*3</f>
        <v>15000</v>
      </c>
      <c r="E38">
        <f t="shared" si="17"/>
        <v>15000</v>
      </c>
      <c r="F38">
        <f t="shared" si="17"/>
        <v>15000</v>
      </c>
    </row>
    <row r="39" spans="1:13" x14ac:dyDescent="0.25">
      <c r="A39" t="s">
        <v>37</v>
      </c>
      <c r="C39">
        <f>2*2100*1.15*3</f>
        <v>14490</v>
      </c>
      <c r="D39">
        <f t="shared" ref="D39:E39" si="18">2*2100*1.15*3</f>
        <v>14490</v>
      </c>
      <c r="E39">
        <f t="shared" si="18"/>
        <v>14490</v>
      </c>
      <c r="F39">
        <f>2*2100*1.15*4</f>
        <v>19320</v>
      </c>
    </row>
    <row r="40" spans="1:13" x14ac:dyDescent="0.25">
      <c r="A40" t="s">
        <v>38</v>
      </c>
      <c r="C40">
        <f>3000*1.15*3</f>
        <v>10349.999999999998</v>
      </c>
      <c r="D40">
        <f t="shared" ref="D40:E40" si="19">3000*1.15*3</f>
        <v>10349.999999999998</v>
      </c>
      <c r="E40">
        <f t="shared" si="19"/>
        <v>10349.999999999998</v>
      </c>
      <c r="F40">
        <f>3000*1.15*4</f>
        <v>13799.999999999998</v>
      </c>
    </row>
    <row r="41" spans="1:13" x14ac:dyDescent="0.25">
      <c r="A41" t="s">
        <v>34</v>
      </c>
      <c r="C41">
        <f>SUM(C37:C40)</f>
        <v>49840</v>
      </c>
      <c r="D41">
        <f t="shared" ref="D41:F41" si="20">SUM(D37:D40)</f>
        <v>49840</v>
      </c>
      <c r="E41">
        <f t="shared" si="20"/>
        <v>49840</v>
      </c>
      <c r="F41">
        <f t="shared" si="20"/>
        <v>58120</v>
      </c>
      <c r="G41">
        <f>SUM(C41:F41)</f>
        <v>207640</v>
      </c>
    </row>
    <row r="43" spans="1:13" x14ac:dyDescent="0.25">
      <c r="A43" t="s">
        <v>49</v>
      </c>
      <c r="C43">
        <f>200000/4</f>
        <v>50000</v>
      </c>
      <c r="D43">
        <f t="shared" ref="D43:F43" si="21">200000/4</f>
        <v>50000</v>
      </c>
      <c r="E43">
        <f t="shared" si="21"/>
        <v>50000</v>
      </c>
      <c r="F43">
        <f t="shared" si="21"/>
        <v>50000</v>
      </c>
      <c r="G43">
        <f>SUM(C43:F43)</f>
        <v>200000</v>
      </c>
    </row>
    <row r="44" spans="1:13" x14ac:dyDescent="0.25">
      <c r="J44" t="s">
        <v>47</v>
      </c>
      <c r="L44" t="s">
        <v>46</v>
      </c>
      <c r="M44" t="s">
        <v>48</v>
      </c>
    </row>
    <row r="45" spans="1:13" x14ac:dyDescent="0.25">
      <c r="A45" t="s">
        <v>50</v>
      </c>
      <c r="C45">
        <v>15000</v>
      </c>
      <c r="D45">
        <v>15000</v>
      </c>
      <c r="E45">
        <v>15000</v>
      </c>
      <c r="F45">
        <v>15000</v>
      </c>
      <c r="G45">
        <f>SUM(C45:F45)</f>
        <v>60000</v>
      </c>
      <c r="I45" t="s">
        <v>42</v>
      </c>
      <c r="J45">
        <v>1000000</v>
      </c>
      <c r="K45">
        <f>J45*50%</f>
        <v>500000</v>
      </c>
      <c r="L45">
        <v>20</v>
      </c>
      <c r="M45">
        <f>(J45-K45)/L45</f>
        <v>25000</v>
      </c>
    </row>
    <row r="46" spans="1:13" x14ac:dyDescent="0.25">
      <c r="A46" t="s">
        <v>51</v>
      </c>
      <c r="C46">
        <v>5000</v>
      </c>
      <c r="D46">
        <v>5000</v>
      </c>
      <c r="E46">
        <v>5000</v>
      </c>
      <c r="F46">
        <v>5000</v>
      </c>
      <c r="G46">
        <f>SUM(C46:F46)</f>
        <v>20000</v>
      </c>
      <c r="I46" t="s">
        <v>43</v>
      </c>
      <c r="J46">
        <v>100000</v>
      </c>
      <c r="K46">
        <f>J46*50%</f>
        <v>50000</v>
      </c>
      <c r="L46">
        <v>5</v>
      </c>
      <c r="M46">
        <f t="shared" ref="M46:M48" si="22">(J46-K46)/L46</f>
        <v>10000</v>
      </c>
    </row>
    <row r="47" spans="1:13" x14ac:dyDescent="0.25">
      <c r="A47" t="s">
        <v>41</v>
      </c>
      <c r="C47">
        <f>-M49/4</f>
        <v>-72500</v>
      </c>
      <c r="D47">
        <f>-M49/4</f>
        <v>-72500</v>
      </c>
      <c r="E47">
        <f>-M49/4</f>
        <v>-72500</v>
      </c>
      <c r="F47">
        <f>-M49/4</f>
        <v>-72500</v>
      </c>
      <c r="I47" t="s">
        <v>44</v>
      </c>
      <c r="J47">
        <v>3000000</v>
      </c>
      <c r="K47">
        <f>J47*25%</f>
        <v>750000</v>
      </c>
      <c r="L47">
        <v>10</v>
      </c>
      <c r="M47">
        <f t="shared" si="22"/>
        <v>225000</v>
      </c>
    </row>
    <row r="48" spans="1:13" x14ac:dyDescent="0.25">
      <c r="A48" t="s">
        <v>6</v>
      </c>
      <c r="C48">
        <f>SUM(C45:C47)</f>
        <v>-52500</v>
      </c>
      <c r="D48">
        <f>SUM(D45:D47)</f>
        <v>-52500</v>
      </c>
      <c r="E48">
        <f>SUM(E45:E47)</f>
        <v>-52500</v>
      </c>
      <c r="F48">
        <f>SUM(F45:F47)</f>
        <v>-52500</v>
      </c>
      <c r="I48" t="s">
        <v>45</v>
      </c>
      <c r="J48">
        <v>200000</v>
      </c>
      <c r="K48">
        <f>J48*25%</f>
        <v>50000</v>
      </c>
      <c r="L48">
        <v>5</v>
      </c>
      <c r="M48">
        <f t="shared" si="22"/>
        <v>30000</v>
      </c>
    </row>
    <row r="49" spans="1:13" x14ac:dyDescent="0.25">
      <c r="A49" t="s">
        <v>7</v>
      </c>
      <c r="C49">
        <f>C35+C41+C43+C48</f>
        <v>418646.25</v>
      </c>
      <c r="D49">
        <f>D35+D41+D43+D48</f>
        <v>150232.5</v>
      </c>
      <c r="E49">
        <f>E35+E41+E43+E48</f>
        <v>411097.5</v>
      </c>
      <c r="F49">
        <f>F35+F41+F43+F48</f>
        <v>170012.5</v>
      </c>
      <c r="L49" t="s">
        <v>6</v>
      </c>
      <c r="M49">
        <f>SUM(M45:M48)</f>
        <v>290000</v>
      </c>
    </row>
    <row r="50" spans="1:13" x14ac:dyDescent="0.25">
      <c r="A50" t="s">
        <v>8</v>
      </c>
      <c r="C50">
        <f>C61</f>
        <v>75000</v>
      </c>
      <c r="D50">
        <f t="shared" ref="D50:F50" si="23">D61</f>
        <v>56250</v>
      </c>
      <c r="E50">
        <f t="shared" si="23"/>
        <v>37500</v>
      </c>
      <c r="F50">
        <f t="shared" si="23"/>
        <v>18750</v>
      </c>
    </row>
    <row r="51" spans="1:13" x14ac:dyDescent="0.25">
      <c r="A51" t="s">
        <v>9</v>
      </c>
      <c r="C51">
        <f>C60</f>
        <v>625000</v>
      </c>
      <c r="D51">
        <f t="shared" ref="D51:F51" si="24">D60</f>
        <v>625000</v>
      </c>
      <c r="E51">
        <f t="shared" si="24"/>
        <v>625000</v>
      </c>
      <c r="F51">
        <f t="shared" si="24"/>
        <v>625000</v>
      </c>
    </row>
    <row r="52" spans="1:13" x14ac:dyDescent="0.25">
      <c r="A52" t="s">
        <v>10</v>
      </c>
      <c r="B52">
        <v>3000000</v>
      </c>
      <c r="D52">
        <v>500000</v>
      </c>
      <c r="F52">
        <v>500000</v>
      </c>
    </row>
    <row r="53" spans="1:13" x14ac:dyDescent="0.25">
      <c r="A53" t="s">
        <v>11</v>
      </c>
      <c r="B53">
        <v>3000000</v>
      </c>
      <c r="C53">
        <f>SUM(C49:C52)</f>
        <v>1118646.25</v>
      </c>
      <c r="D53">
        <f t="shared" ref="D53:E53" si="25">SUM(D49:D52)</f>
        <v>1331482.5</v>
      </c>
      <c r="E53">
        <f t="shared" si="25"/>
        <v>1073597.5</v>
      </c>
      <c r="F53">
        <f>SUM(F49:F52)</f>
        <v>1313762.5</v>
      </c>
    </row>
    <row r="54" spans="1:13" x14ac:dyDescent="0.25">
      <c r="A54" t="s">
        <v>12</v>
      </c>
      <c r="B54">
        <f>B25-B53</f>
        <v>600000</v>
      </c>
      <c r="C54">
        <f>C25-C53</f>
        <v>-854646.25</v>
      </c>
      <c r="D54">
        <f>D25-D53</f>
        <v>-990482.5</v>
      </c>
      <c r="E54">
        <f>E25-E53</f>
        <v>-809597.5</v>
      </c>
      <c r="F54">
        <f>F25-F53</f>
        <v>-972762.5</v>
      </c>
    </row>
    <row r="55" spans="1:13" x14ac:dyDescent="0.25">
      <c r="A55" t="s">
        <v>13</v>
      </c>
      <c r="B55">
        <f>B54</f>
        <v>600000</v>
      </c>
      <c r="C55">
        <f>B55+C54</f>
        <v>-254646.25</v>
      </c>
      <c r="D55">
        <f t="shared" ref="D55:F55" si="26">C55+D54</f>
        <v>-1245128.75</v>
      </c>
      <c r="E55">
        <f t="shared" si="26"/>
        <v>-2054726.25</v>
      </c>
      <c r="F55">
        <f t="shared" si="26"/>
        <v>-3027488.75</v>
      </c>
    </row>
    <row r="56" spans="1:13" x14ac:dyDescent="0.25">
      <c r="A56" t="s">
        <v>52</v>
      </c>
      <c r="B56">
        <f>G35-G32</f>
        <v>865088.75</v>
      </c>
    </row>
    <row r="57" spans="1:13" x14ac:dyDescent="0.25">
      <c r="A57" t="s">
        <v>55</v>
      </c>
      <c r="B57">
        <f>B56/G18</f>
        <v>4.8689390741522445</v>
      </c>
    </row>
    <row r="58" spans="1:13" x14ac:dyDescent="0.25">
      <c r="A58" t="s">
        <v>56</v>
      </c>
      <c r="B58">
        <f>J2-B57</f>
        <v>1.1310609258477555</v>
      </c>
      <c r="C58">
        <f>J3-B57</f>
        <v>3.1310609258477555</v>
      </c>
    </row>
    <row r="59" spans="1:13" x14ac:dyDescent="0.25">
      <c r="A59" t="s">
        <v>14</v>
      </c>
      <c r="B59">
        <v>2500000</v>
      </c>
      <c r="C59">
        <f>B59-C60</f>
        <v>1875000</v>
      </c>
      <c r="D59">
        <f>C59-D60</f>
        <v>1250000</v>
      </c>
      <c r="E59">
        <f>D59-E60</f>
        <v>625000</v>
      </c>
      <c r="F59">
        <f>E59-F60</f>
        <v>0</v>
      </c>
    </row>
    <row r="60" spans="1:13" x14ac:dyDescent="0.25">
      <c r="A60" t="s">
        <v>16</v>
      </c>
      <c r="C60">
        <f>B59/4</f>
        <v>625000</v>
      </c>
      <c r="D60">
        <f>B59/4</f>
        <v>625000</v>
      </c>
      <c r="E60">
        <f>B59/4</f>
        <v>625000</v>
      </c>
      <c r="F60">
        <f>B59/4</f>
        <v>625000</v>
      </c>
    </row>
    <row r="61" spans="1:13" x14ac:dyDescent="0.25">
      <c r="A61" t="s">
        <v>15</v>
      </c>
      <c r="B61" s="1">
        <f>12%/4</f>
        <v>0.03</v>
      </c>
      <c r="C61">
        <f>B59*B61</f>
        <v>75000</v>
      </c>
      <c r="D61">
        <f>C59*B61</f>
        <v>56250</v>
      </c>
      <c r="E61">
        <f>D59*B61</f>
        <v>37500</v>
      </c>
      <c r="F61">
        <f>E59*B61</f>
        <v>18750</v>
      </c>
    </row>
    <row r="63" spans="1:13" x14ac:dyDescent="0.25">
      <c r="B63" s="2">
        <v>0</v>
      </c>
      <c r="C63" s="2">
        <v>1</v>
      </c>
      <c r="D63" s="2">
        <v>2</v>
      </c>
      <c r="E63" s="2">
        <v>3</v>
      </c>
      <c r="F63" s="2">
        <v>4</v>
      </c>
      <c r="G63" s="2">
        <v>5</v>
      </c>
    </row>
    <row r="64" spans="1:13" x14ac:dyDescent="0.25">
      <c r="B64">
        <v>-1000000</v>
      </c>
      <c r="C64">
        <v>400000</v>
      </c>
      <c r="D64">
        <v>500000</v>
      </c>
      <c r="E64">
        <v>700000</v>
      </c>
      <c r="F64">
        <v>800000</v>
      </c>
      <c r="G64">
        <v>1000000</v>
      </c>
    </row>
    <row r="66" spans="1:3" x14ac:dyDescent="0.25">
      <c r="B66" t="s">
        <v>17</v>
      </c>
      <c r="C66" s="3">
        <f>NPV(B67,C64,D64,E64,F64,G64)+B64</f>
        <v>471597.90246516862</v>
      </c>
    </row>
    <row r="67" spans="1:3" x14ac:dyDescent="0.25">
      <c r="A67" t="s">
        <v>8</v>
      </c>
      <c r="B67" s="1">
        <v>0.3</v>
      </c>
    </row>
    <row r="68" spans="1:3" x14ac:dyDescent="0.25">
      <c r="B68" t="s">
        <v>18</v>
      </c>
      <c r="C68" s="4">
        <f>IRR(B64:G64,15%)</f>
        <v>0.49209325299826423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2021-07-29T18:48:02Z</dcterms:created>
  <dcterms:modified xsi:type="dcterms:W3CDTF">2021-08-19T20:47:27Z</dcterms:modified>
</cp:coreProperties>
</file>