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m\Documents\UAGRM\COSTOS Y PRESUP\"/>
    </mc:Choice>
  </mc:AlternateContent>
  <xr:revisionPtr revIDLastSave="0" documentId="8_{C6638BE9-7EE2-407F-AD0F-99BD521E91DE}" xr6:coauthVersionLast="47" xr6:coauthVersionMax="47" xr10:uidLastSave="{00000000-0000-0000-0000-000000000000}"/>
  <bookViews>
    <workbookView xWindow="-120" yWindow="-120" windowWidth="20730" windowHeight="11160" xr2:uid="{EFB35ABA-40FA-4D97-9FA1-F16E38B918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1" l="1"/>
  <c r="D58" i="1"/>
  <c r="D57" i="1"/>
  <c r="D56" i="1"/>
  <c r="D55" i="1"/>
  <c r="D54" i="1"/>
  <c r="D53" i="1"/>
  <c r="D52" i="1"/>
  <c r="D50" i="1"/>
  <c r="E16" i="1"/>
  <c r="D49" i="1" s="1"/>
  <c r="D48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E37" i="1"/>
  <c r="E36" i="1"/>
  <c r="K6" i="1"/>
  <c r="K5" i="1"/>
  <c r="K4" i="1"/>
  <c r="K3" i="1"/>
  <c r="I5" i="1"/>
  <c r="I4" i="1"/>
  <c r="I3" i="1"/>
  <c r="E33" i="1"/>
  <c r="E29" i="1"/>
  <c r="E28" i="1"/>
  <c r="E27" i="1"/>
  <c r="E26" i="1"/>
  <c r="E25" i="1"/>
  <c r="E24" i="1"/>
  <c r="D22" i="1"/>
  <c r="C22" i="1"/>
  <c r="E22" i="1"/>
  <c r="E20" i="1"/>
  <c r="E19" i="1"/>
  <c r="E18" i="1"/>
  <c r="D16" i="1"/>
  <c r="C16" i="1"/>
  <c r="D15" i="1"/>
  <c r="C15" i="1"/>
  <c r="D14" i="1"/>
  <c r="C14" i="1"/>
  <c r="D13" i="1"/>
  <c r="C13" i="1"/>
  <c r="E13" i="1"/>
  <c r="D12" i="1"/>
  <c r="C12" i="1"/>
  <c r="D11" i="1"/>
  <c r="C11" i="1"/>
  <c r="D9" i="1"/>
  <c r="C9" i="1"/>
  <c r="D8" i="1"/>
  <c r="C8" i="1"/>
  <c r="D5" i="1"/>
  <c r="C5" i="1"/>
  <c r="E4" i="1"/>
  <c r="D4" i="1"/>
  <c r="C4" i="1"/>
</calcChain>
</file>

<file path=xl/sharedStrings.xml><?xml version="1.0" encoding="utf-8"?>
<sst xmlns="http://schemas.openxmlformats.org/spreadsheetml/2006/main" count="55" uniqueCount="53">
  <si>
    <t>Cedro</t>
  </si>
  <si>
    <t>Tajivo</t>
  </si>
  <si>
    <t>Ventas</t>
  </si>
  <si>
    <t>Precio</t>
  </si>
  <si>
    <t>Ingresos</t>
  </si>
  <si>
    <t>Participación</t>
  </si>
  <si>
    <t>Inventario Inicial</t>
  </si>
  <si>
    <t>Inventario Final</t>
  </si>
  <si>
    <t>Producción</t>
  </si>
  <si>
    <t>Materia Prima</t>
  </si>
  <si>
    <t>Insumos</t>
  </si>
  <si>
    <t>Mano de Obra Directa</t>
  </si>
  <si>
    <t xml:space="preserve">Bono de producción </t>
  </si>
  <si>
    <t>Energía Eléctrica</t>
  </si>
  <si>
    <t>Costo Directo</t>
  </si>
  <si>
    <t>Sueldo Supervisor</t>
  </si>
  <si>
    <t>Rnergía E, Iluminación galpón</t>
  </si>
  <si>
    <t>Mantenimiento</t>
  </si>
  <si>
    <t>Repuestos</t>
  </si>
  <si>
    <t>Costo Indirecto de Fabricación</t>
  </si>
  <si>
    <t>Sueldos y salarios</t>
  </si>
  <si>
    <t>Servicios</t>
  </si>
  <si>
    <t>Material de escritorio</t>
  </si>
  <si>
    <t>Alquileres</t>
  </si>
  <si>
    <t>Seguros</t>
  </si>
  <si>
    <t>Costo Administrativo</t>
  </si>
  <si>
    <t>Publicidad y Promoción</t>
  </si>
  <si>
    <t>Distribución</t>
  </si>
  <si>
    <t>Costo de Comercialización</t>
  </si>
  <si>
    <t>Costo Financiero</t>
  </si>
  <si>
    <t>Dpreciación</t>
  </si>
  <si>
    <t>Edificio</t>
  </si>
  <si>
    <t>Vehiculos</t>
  </si>
  <si>
    <t>Maquinarias</t>
  </si>
  <si>
    <t>Costos Indirectos</t>
  </si>
  <si>
    <t>Costos Totales</t>
  </si>
  <si>
    <t>CDU</t>
  </si>
  <si>
    <t>MC</t>
  </si>
  <si>
    <t>Costo Variable</t>
  </si>
  <si>
    <t>CVU</t>
  </si>
  <si>
    <t>Costo Fijo</t>
  </si>
  <si>
    <t>Qe</t>
  </si>
  <si>
    <t>ESTADO DE RESULTADOS</t>
  </si>
  <si>
    <t>INGRESOS</t>
  </si>
  <si>
    <t>Costo de fabricación</t>
  </si>
  <si>
    <t>Ingreos Netos</t>
  </si>
  <si>
    <t>EGRESOS</t>
  </si>
  <si>
    <t>Costo Adm</t>
  </si>
  <si>
    <t>Costo de Comerc</t>
  </si>
  <si>
    <t>Depreciaicón</t>
  </si>
  <si>
    <t>Utilidad Bruta</t>
  </si>
  <si>
    <t>Impuestos</t>
  </si>
  <si>
    <t>Utilidad 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</si>
</sst>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0" fontId="0" fillId="2" borderId="0" xfId="0" applyFill="1"/>
    <xf numFmtId="43" fontId="0" fillId="2" borderId="0" xfId="1" applyFont="1" applyFill="1"/>
    <xf numFmtId="43" fontId="0" fillId="0" borderId="0" xfId="0" applyNumberFormat="1"/>
    <xf numFmtId="9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1EFE7-30E0-4642-A3C8-E30C0AA4C1C0}">
  <dimension ref="B1:K59"/>
  <sheetViews>
    <sheetView tabSelected="1" topLeftCell="A23" workbookViewId="0">
      <selection activeCell="H30" sqref="H30"/>
    </sheetView>
  </sheetViews>
  <sheetFormatPr baseColWidth="10" defaultRowHeight="15" x14ac:dyDescent="0.25"/>
  <cols>
    <col min="2" max="2" width="33.5703125" customWidth="1"/>
    <col min="3" max="3" width="14.140625" bestFit="1" customWidth="1"/>
    <col min="4" max="4" width="15.5703125" customWidth="1"/>
    <col min="5" max="5" width="18.140625" customWidth="1"/>
    <col min="7" max="7" width="14.7109375" customWidth="1"/>
    <col min="8" max="8" width="14.140625" bestFit="1" customWidth="1"/>
    <col min="9" max="9" width="13.140625" bestFit="1" customWidth="1"/>
    <col min="11" max="11" width="15.7109375" customWidth="1"/>
  </cols>
  <sheetData>
    <row r="1" spans="2:11" x14ac:dyDescent="0.25">
      <c r="C1" t="s">
        <v>0</v>
      </c>
      <c r="D1" t="s">
        <v>1</v>
      </c>
    </row>
    <row r="2" spans="2:11" x14ac:dyDescent="0.25">
      <c r="B2" t="s">
        <v>2</v>
      </c>
      <c r="C2" s="1">
        <v>10000</v>
      </c>
      <c r="D2" s="1">
        <v>5000</v>
      </c>
      <c r="E2" s="1"/>
    </row>
    <row r="3" spans="2:11" x14ac:dyDescent="0.25">
      <c r="B3" t="s">
        <v>3</v>
      </c>
      <c r="C3" s="1">
        <v>2100</v>
      </c>
      <c r="D3" s="1">
        <v>3000</v>
      </c>
      <c r="E3" s="1"/>
      <c r="G3" t="s">
        <v>31</v>
      </c>
      <c r="H3" s="1">
        <v>1000000</v>
      </c>
      <c r="I3" s="4">
        <f>H3*0.5</f>
        <v>500000</v>
      </c>
      <c r="J3">
        <v>20</v>
      </c>
      <c r="K3" s="4">
        <f>(H3-I3)/J3</f>
        <v>25000</v>
      </c>
    </row>
    <row r="4" spans="2:11" x14ac:dyDescent="0.25">
      <c r="B4" t="s">
        <v>4</v>
      </c>
      <c r="C4" s="1">
        <f>C2*C3</f>
        <v>21000000</v>
      </c>
      <c r="D4" s="1">
        <f>D2*D3</f>
        <v>15000000</v>
      </c>
      <c r="E4" s="1">
        <f>SUM(C4:D4)</f>
        <v>36000000</v>
      </c>
      <c r="G4" t="s">
        <v>32</v>
      </c>
      <c r="H4">
        <v>100000</v>
      </c>
      <c r="I4" s="4">
        <f>H4*0.5</f>
        <v>50000</v>
      </c>
      <c r="J4">
        <v>5</v>
      </c>
      <c r="K4" s="4">
        <f t="shared" ref="K4:K5" si="0">(H4-I4)/J4</f>
        <v>10000</v>
      </c>
    </row>
    <row r="5" spans="2:11" x14ac:dyDescent="0.25">
      <c r="B5" t="s">
        <v>5</v>
      </c>
      <c r="C5" s="1">
        <f>C4/E4</f>
        <v>0.58333333333333337</v>
      </c>
      <c r="D5" s="1">
        <f>D4/E4</f>
        <v>0.41666666666666669</v>
      </c>
      <c r="E5" s="1"/>
      <c r="G5" t="s">
        <v>33</v>
      </c>
      <c r="H5" s="1">
        <v>7000000</v>
      </c>
      <c r="I5" s="4">
        <f>H5*0.25</f>
        <v>1750000</v>
      </c>
      <c r="J5">
        <v>10</v>
      </c>
      <c r="K5" s="4">
        <f t="shared" si="0"/>
        <v>525000</v>
      </c>
    </row>
    <row r="6" spans="2:11" x14ac:dyDescent="0.25">
      <c r="C6" s="1"/>
      <c r="D6" s="1"/>
      <c r="E6" s="1"/>
      <c r="K6" s="4">
        <f>SUM(K3:K5)</f>
        <v>560000</v>
      </c>
    </row>
    <row r="7" spans="2:11" x14ac:dyDescent="0.25">
      <c r="B7" t="s">
        <v>6</v>
      </c>
      <c r="C7" s="1">
        <v>100</v>
      </c>
      <c r="D7" s="1">
        <v>50</v>
      </c>
      <c r="E7" s="1"/>
    </row>
    <row r="8" spans="2:11" x14ac:dyDescent="0.25">
      <c r="B8" t="s">
        <v>7</v>
      </c>
      <c r="C8" s="1">
        <f>C2*0.05</f>
        <v>500</v>
      </c>
      <c r="D8" s="1">
        <f>D2*0.05</f>
        <v>250</v>
      </c>
      <c r="E8" s="1"/>
    </row>
    <row r="9" spans="2:11" x14ac:dyDescent="0.25">
      <c r="B9" s="2" t="s">
        <v>8</v>
      </c>
      <c r="C9" s="3">
        <f>C2-C7+C8</f>
        <v>10400</v>
      </c>
      <c r="D9" s="3">
        <f>D2-D7+D8</f>
        <v>5200</v>
      </c>
      <c r="E9" s="1"/>
    </row>
    <row r="10" spans="2:11" x14ac:dyDescent="0.25">
      <c r="C10" s="1"/>
      <c r="D10" s="1"/>
      <c r="E10" s="1"/>
    </row>
    <row r="11" spans="2:11" x14ac:dyDescent="0.25">
      <c r="B11" t="s">
        <v>9</v>
      </c>
      <c r="C11" s="1">
        <f>C9*1.25*500</f>
        <v>6500000</v>
      </c>
      <c r="D11" s="1">
        <f>D9*1.25*700</f>
        <v>4550000</v>
      </c>
      <c r="E11" s="1"/>
    </row>
    <row r="12" spans="2:11" x14ac:dyDescent="0.25">
      <c r="B12" t="s">
        <v>10</v>
      </c>
      <c r="C12" s="4">
        <f>C9*25</f>
        <v>260000</v>
      </c>
      <c r="D12" s="4">
        <f>D9*25</f>
        <v>130000</v>
      </c>
    </row>
    <row r="13" spans="2:11" x14ac:dyDescent="0.25">
      <c r="B13" t="s">
        <v>11</v>
      </c>
      <c r="C13" s="1">
        <f>E13*C5</f>
        <v>422088.33333333331</v>
      </c>
      <c r="D13" s="1">
        <f>E13*D5</f>
        <v>301491.66666666663</v>
      </c>
      <c r="E13" s="1">
        <f>(10*4000+4*2100)*1.15*13</f>
        <v>723579.99999999988</v>
      </c>
    </row>
    <row r="14" spans="2:11" x14ac:dyDescent="0.25">
      <c r="B14" t="s">
        <v>12</v>
      </c>
      <c r="C14" s="1">
        <f>C9*0.5*1.15/12*13</f>
        <v>6478.3333333333321</v>
      </c>
      <c r="D14" s="1">
        <f>D9*0.5*1.15/12*13</f>
        <v>3239.1666666666661</v>
      </c>
      <c r="E14" s="1"/>
    </row>
    <row r="15" spans="2:11" x14ac:dyDescent="0.25">
      <c r="B15" t="s">
        <v>13</v>
      </c>
      <c r="C15" s="1">
        <f>100/10*C9*0.6</f>
        <v>62400</v>
      </c>
      <c r="D15" s="1">
        <f>100/10*D9*0.6</f>
        <v>31200</v>
      </c>
      <c r="E15" s="1"/>
    </row>
    <row r="16" spans="2:11" x14ac:dyDescent="0.25">
      <c r="B16" t="s">
        <v>14</v>
      </c>
      <c r="C16" s="1">
        <f>SUM(C11:C15)</f>
        <v>7250966.666666666</v>
      </c>
      <c r="D16" s="1">
        <f>SUM(D11:D15)</f>
        <v>5015930.833333334</v>
      </c>
      <c r="E16" s="1">
        <f>SUM(C16:D16)</f>
        <v>12266897.5</v>
      </c>
    </row>
    <row r="17" spans="2:5" x14ac:dyDescent="0.25">
      <c r="C17" s="1"/>
      <c r="D17" s="1"/>
      <c r="E17" s="1"/>
    </row>
    <row r="18" spans="2:5" x14ac:dyDescent="0.25">
      <c r="B18" t="s">
        <v>15</v>
      </c>
      <c r="C18" s="1"/>
      <c r="D18" s="1"/>
      <c r="E18" s="1">
        <f>7000*13*1.15</f>
        <v>104649.99999999999</v>
      </c>
    </row>
    <row r="19" spans="2:5" x14ac:dyDescent="0.25">
      <c r="B19" t="s">
        <v>16</v>
      </c>
      <c r="C19" s="1"/>
      <c r="D19" s="1"/>
      <c r="E19" s="1">
        <f>10000*12*0.6</f>
        <v>72000</v>
      </c>
    </row>
    <row r="20" spans="2:5" x14ac:dyDescent="0.25">
      <c r="B20" t="s">
        <v>17</v>
      </c>
      <c r="C20" s="1"/>
      <c r="D20" s="1"/>
      <c r="E20" s="1">
        <f>10000*12</f>
        <v>120000</v>
      </c>
    </row>
    <row r="21" spans="2:5" x14ac:dyDescent="0.25">
      <c r="B21" t="s">
        <v>18</v>
      </c>
      <c r="C21" s="1"/>
      <c r="D21" s="1"/>
      <c r="E21" s="1">
        <v>60000</v>
      </c>
    </row>
    <row r="22" spans="2:5" x14ac:dyDescent="0.25">
      <c r="B22" t="s">
        <v>19</v>
      </c>
      <c r="C22" s="1">
        <f>E22*C5</f>
        <v>208045.83333333334</v>
      </c>
      <c r="D22" s="1">
        <f>E22*D5</f>
        <v>148604.16666666669</v>
      </c>
      <c r="E22" s="1">
        <f>SUM(E18:E21)</f>
        <v>356650</v>
      </c>
    </row>
    <row r="24" spans="2:5" x14ac:dyDescent="0.25">
      <c r="B24" t="s">
        <v>20</v>
      </c>
      <c r="C24" s="1"/>
      <c r="D24" s="1"/>
      <c r="E24" s="1">
        <f>50000*13*1.15</f>
        <v>747500</v>
      </c>
    </row>
    <row r="25" spans="2:5" x14ac:dyDescent="0.25">
      <c r="B25" t="s">
        <v>21</v>
      </c>
      <c r="C25" s="1"/>
      <c r="D25" s="1"/>
      <c r="E25" s="1">
        <f>5000*12</f>
        <v>60000</v>
      </c>
    </row>
    <row r="26" spans="2:5" x14ac:dyDescent="0.25">
      <c r="B26" t="s">
        <v>22</v>
      </c>
      <c r="C26" s="1"/>
      <c r="D26" s="1"/>
      <c r="E26" s="1">
        <f>2000*12</f>
        <v>24000</v>
      </c>
    </row>
    <row r="27" spans="2:5" x14ac:dyDescent="0.25">
      <c r="B27" t="s">
        <v>23</v>
      </c>
      <c r="C27" s="1"/>
      <c r="D27" s="1"/>
      <c r="E27" s="1">
        <f>3000*12</f>
        <v>36000</v>
      </c>
    </row>
    <row r="28" spans="2:5" x14ac:dyDescent="0.25">
      <c r="B28" t="s">
        <v>24</v>
      </c>
      <c r="C28" s="1"/>
      <c r="D28" s="1"/>
      <c r="E28" s="1">
        <f>2500*12</f>
        <v>30000</v>
      </c>
    </row>
    <row r="29" spans="2:5" x14ac:dyDescent="0.25">
      <c r="B29" t="s">
        <v>25</v>
      </c>
      <c r="C29" s="1"/>
      <c r="D29" s="1"/>
      <c r="E29" s="1">
        <f>SUM(E24:E28)</f>
        <v>897500</v>
      </c>
    </row>
    <row r="30" spans="2:5" x14ac:dyDescent="0.25">
      <c r="C30" s="1"/>
      <c r="D30" s="1"/>
      <c r="E30" s="1"/>
    </row>
    <row r="31" spans="2:5" x14ac:dyDescent="0.25">
      <c r="B31" t="s">
        <v>26</v>
      </c>
      <c r="C31" s="1"/>
      <c r="D31" s="1"/>
      <c r="E31" s="1">
        <v>200000</v>
      </c>
    </row>
    <row r="32" spans="2:5" x14ac:dyDescent="0.25">
      <c r="B32" t="s">
        <v>27</v>
      </c>
      <c r="C32" s="1"/>
      <c r="D32" s="1"/>
      <c r="E32" s="1">
        <v>50000</v>
      </c>
    </row>
    <row r="33" spans="2:5" x14ac:dyDescent="0.25">
      <c r="B33" t="s">
        <v>28</v>
      </c>
      <c r="C33" s="1"/>
      <c r="D33" s="1"/>
      <c r="E33" s="1">
        <f>SUM(E31:E32)</f>
        <v>250000</v>
      </c>
    </row>
    <row r="34" spans="2:5" x14ac:dyDescent="0.25">
      <c r="C34" s="1"/>
      <c r="D34" s="1"/>
    </row>
    <row r="35" spans="2:5" x14ac:dyDescent="0.25">
      <c r="B35" t="s">
        <v>29</v>
      </c>
      <c r="C35" s="1"/>
      <c r="D35" s="1"/>
      <c r="E35" s="1">
        <v>50000</v>
      </c>
    </row>
    <row r="36" spans="2:5" x14ac:dyDescent="0.25">
      <c r="B36" t="s">
        <v>30</v>
      </c>
      <c r="C36" s="1"/>
      <c r="D36" s="1"/>
      <c r="E36" s="1">
        <f>K6</f>
        <v>560000</v>
      </c>
    </row>
    <row r="37" spans="2:5" x14ac:dyDescent="0.25">
      <c r="B37" t="s">
        <v>34</v>
      </c>
      <c r="C37" s="1">
        <f>E37*C5</f>
        <v>1233254.1666666667</v>
      </c>
      <c r="D37" s="1">
        <f>E37*D5</f>
        <v>880895.83333333337</v>
      </c>
      <c r="E37" s="4">
        <f>E22+E29+E33+E35+E36</f>
        <v>2114150</v>
      </c>
    </row>
    <row r="38" spans="2:5" x14ac:dyDescent="0.25">
      <c r="B38" t="s">
        <v>35</v>
      </c>
      <c r="C38" s="4">
        <f>C16+C37</f>
        <v>8484220.8333333321</v>
      </c>
      <c r="D38" s="4">
        <f>D16+D37</f>
        <v>5896826.666666667</v>
      </c>
    </row>
    <row r="39" spans="2:5" x14ac:dyDescent="0.25">
      <c r="B39" t="s">
        <v>36</v>
      </c>
      <c r="C39" s="1">
        <f>C16/C9</f>
        <v>697.20833333333326</v>
      </c>
      <c r="D39" s="1">
        <f>D16/D9</f>
        <v>964.60208333333344</v>
      </c>
    </row>
    <row r="40" spans="2:5" x14ac:dyDescent="0.25">
      <c r="B40" t="s">
        <v>37</v>
      </c>
      <c r="C40" s="4">
        <f>C3-C39</f>
        <v>1402.7916666666667</v>
      </c>
      <c r="D40" s="4">
        <f>D3-D39</f>
        <v>2035.3979166666666</v>
      </c>
    </row>
    <row r="41" spans="2:5" x14ac:dyDescent="0.25">
      <c r="B41" t="s">
        <v>38</v>
      </c>
      <c r="C41" s="4">
        <f>C16-C13</f>
        <v>6828878.333333333</v>
      </c>
      <c r="D41" s="4">
        <f>D16-D13</f>
        <v>4714439.166666667</v>
      </c>
    </row>
    <row r="42" spans="2:5" x14ac:dyDescent="0.25">
      <c r="B42" t="s">
        <v>39</v>
      </c>
      <c r="C42" s="1">
        <f>C41/C9</f>
        <v>656.62291666666658</v>
      </c>
      <c r="D42" s="1">
        <f>D41/D9</f>
        <v>906.6229166666667</v>
      </c>
    </row>
    <row r="43" spans="2:5" x14ac:dyDescent="0.25">
      <c r="B43" t="s">
        <v>40</v>
      </c>
      <c r="C43" s="4">
        <f>C37+C13</f>
        <v>1655342.5</v>
      </c>
      <c r="D43" s="4">
        <f>D37+D13</f>
        <v>1182387.5</v>
      </c>
    </row>
    <row r="44" spans="2:5" x14ac:dyDescent="0.25">
      <c r="B44" t="s">
        <v>41</v>
      </c>
      <c r="C44" s="1">
        <f>C43/(C3-C42)</f>
        <v>1146.8538049510623</v>
      </c>
      <c r="D44" s="1">
        <f>D43/(D3-D42)</f>
        <v>564.82298837305348</v>
      </c>
    </row>
    <row r="46" spans="2:5" x14ac:dyDescent="0.25">
      <c r="B46" t="s">
        <v>42</v>
      </c>
    </row>
    <row r="47" spans="2:5" x14ac:dyDescent="0.25">
      <c r="B47" t="s">
        <v>43</v>
      </c>
    </row>
    <row r="48" spans="2:5" x14ac:dyDescent="0.25">
      <c r="B48" t="s">
        <v>2</v>
      </c>
      <c r="D48" s="4">
        <f>E4</f>
        <v>36000000</v>
      </c>
    </row>
    <row r="49" spans="2:4" x14ac:dyDescent="0.25">
      <c r="B49" t="s">
        <v>44</v>
      </c>
      <c r="D49" s="4">
        <f>E16+E22</f>
        <v>12623547.5</v>
      </c>
    </row>
    <row r="50" spans="2:4" x14ac:dyDescent="0.25">
      <c r="B50" t="s">
        <v>45</v>
      </c>
      <c r="D50" s="4">
        <f>D48-D49</f>
        <v>23376452.5</v>
      </c>
    </row>
    <row r="51" spans="2:4" x14ac:dyDescent="0.25">
      <c r="B51" t="s">
        <v>46</v>
      </c>
    </row>
    <row r="52" spans="2:4" x14ac:dyDescent="0.25">
      <c r="B52" t="s">
        <v>47</v>
      </c>
      <c r="D52" s="4">
        <f>E29</f>
        <v>897500</v>
      </c>
    </row>
    <row r="53" spans="2:4" x14ac:dyDescent="0.25">
      <c r="B53" t="s">
        <v>48</v>
      </c>
      <c r="D53" s="4">
        <f>E33</f>
        <v>250000</v>
      </c>
    </row>
    <row r="54" spans="2:4" x14ac:dyDescent="0.25">
      <c r="B54" t="s">
        <v>29</v>
      </c>
      <c r="D54" s="4">
        <f>E35</f>
        <v>50000</v>
      </c>
    </row>
    <row r="55" spans="2:4" x14ac:dyDescent="0.25">
      <c r="B55" t="s">
        <v>49</v>
      </c>
      <c r="D55" s="4">
        <f>E36</f>
        <v>560000</v>
      </c>
    </row>
    <row r="56" spans="2:4" x14ac:dyDescent="0.25">
      <c r="D56" s="4">
        <f>SUM(D52:D55)</f>
        <v>1757500</v>
      </c>
    </row>
    <row r="57" spans="2:4" x14ac:dyDescent="0.25">
      <c r="B57" t="s">
        <v>50</v>
      </c>
      <c r="D57" s="4">
        <f>D50-D56</f>
        <v>21618952.5</v>
      </c>
    </row>
    <row r="58" spans="2:4" x14ac:dyDescent="0.25">
      <c r="B58" t="s">
        <v>51</v>
      </c>
      <c r="C58" s="5">
        <v>0.25</v>
      </c>
      <c r="D58" s="4">
        <f>D57*C58</f>
        <v>5404738.125</v>
      </c>
    </row>
    <row r="59" spans="2:4" x14ac:dyDescent="0.25">
      <c r="B59" t="s">
        <v>52</v>
      </c>
      <c r="D59" s="4">
        <f>D57-D58</f>
        <v>16214214.375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juanm</dc:creator>
  <cp:lastModifiedBy>juanm</cp:lastModifiedBy>
  <dcterms:created xsi:type="dcterms:W3CDTF">2021-06-17T19:16:40Z</dcterms:created>
  <dcterms:modified xsi:type="dcterms:W3CDTF">2021-06-17T20:10:32Z</dcterms:modified>
</cp:coreProperties>
</file>