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Archivos\ELC 002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J6" i="1" l="1"/>
  <c r="K3" i="1"/>
  <c r="K4" i="1"/>
  <c r="K6" i="1" s="1"/>
  <c r="E34" i="1" s="1"/>
  <c r="K5" i="1"/>
  <c r="J5" i="1"/>
  <c r="J3" i="1"/>
  <c r="J4" i="1"/>
  <c r="K2" i="1" l="1"/>
  <c r="J2" i="1"/>
  <c r="E32" i="1" l="1"/>
  <c r="E28" i="1"/>
  <c r="E26" i="1"/>
  <c r="C9" i="1"/>
  <c r="D7" i="1"/>
  <c r="C7" i="1"/>
  <c r="B7" i="1"/>
  <c r="E5" i="1"/>
  <c r="C54" i="1" l="1"/>
  <c r="C53" i="1"/>
  <c r="C52" i="1"/>
  <c r="E33" i="1"/>
  <c r="E31" i="1"/>
  <c r="C51" i="1" s="1"/>
  <c r="C55" i="1" s="1"/>
  <c r="E30" i="1"/>
  <c r="E29" i="1"/>
  <c r="E25" i="1"/>
  <c r="D22" i="1"/>
  <c r="C22" i="1"/>
  <c r="B22" i="1"/>
  <c r="E20" i="1"/>
  <c r="C8" i="1"/>
  <c r="C11" i="1" s="1"/>
  <c r="D8" i="1"/>
  <c r="D19" i="1" s="1"/>
  <c r="B8" i="1"/>
  <c r="B21" i="1" s="1"/>
  <c r="C4" i="1"/>
  <c r="D4" i="1"/>
  <c r="B4" i="1"/>
  <c r="E4" i="1" s="1"/>
  <c r="D5" i="1" s="1"/>
  <c r="D20" i="1" s="1"/>
  <c r="E35" i="1" l="1"/>
  <c r="E36" i="1" s="1"/>
  <c r="D21" i="1"/>
  <c r="B9" i="1"/>
  <c r="B11" i="1" s="1"/>
  <c r="C47" i="1"/>
  <c r="B19" i="1"/>
  <c r="C21" i="1"/>
  <c r="C19" i="1"/>
  <c r="C5" i="1"/>
  <c r="D9" i="1"/>
  <c r="D11" i="1" s="1"/>
  <c r="B5" i="1"/>
  <c r="C35" i="1" l="1"/>
  <c r="D35" i="1"/>
  <c r="D36" i="1" s="1"/>
  <c r="E11" i="1"/>
  <c r="E14" i="1" s="1"/>
  <c r="E15" i="1" s="1"/>
  <c r="C20" i="1"/>
  <c r="C36" i="1" s="1"/>
  <c r="B20" i="1"/>
  <c r="B35" i="1"/>
  <c r="E16" i="1"/>
  <c r="B12" i="1"/>
  <c r="D12" i="1" l="1"/>
  <c r="E12" i="1" s="1"/>
  <c r="C12" i="1"/>
  <c r="E18" i="1"/>
  <c r="D18" i="1" s="1"/>
  <c r="D23" i="1" s="1"/>
  <c r="D39" i="1" s="1"/>
  <c r="D40" i="1" s="1"/>
  <c r="B36" i="1"/>
  <c r="B43" i="1" s="1"/>
  <c r="B18" i="1" l="1"/>
  <c r="B23" i="1" s="1"/>
  <c r="B37" i="1" s="1"/>
  <c r="B38" i="1" s="1"/>
  <c r="C18" i="1"/>
  <c r="C23" i="1" s="1"/>
  <c r="C39" i="1" s="1"/>
  <c r="C40" i="1" s="1"/>
  <c r="B39" i="1"/>
  <c r="B40" i="1" s="1"/>
  <c r="C24" i="1"/>
  <c r="C41" i="1" s="1"/>
  <c r="C43" i="1" s="1"/>
  <c r="D37" i="1"/>
  <c r="D38" i="1" s="1"/>
  <c r="D24" i="1"/>
  <c r="D41" i="1" s="1"/>
  <c r="D43" i="1" s="1"/>
  <c r="B24" i="1"/>
  <c r="B41" i="1" s="1"/>
  <c r="C37" i="1" l="1"/>
  <c r="C38" i="1" s="1"/>
  <c r="E23" i="1"/>
  <c r="C48" i="1" s="1"/>
  <c r="C49" i="1" s="1"/>
  <c r="C56" i="1" s="1"/>
  <c r="C57" i="1" s="1"/>
  <c r="C58" i="1" s="1"/>
</calcChain>
</file>

<file path=xl/sharedStrings.xml><?xml version="1.0" encoding="utf-8"?>
<sst xmlns="http://schemas.openxmlformats.org/spreadsheetml/2006/main" count="67" uniqueCount="61">
  <si>
    <t>CONFECCIONES</t>
  </si>
  <si>
    <t>PANTALONES</t>
  </si>
  <si>
    <t>CAMISAS</t>
  </si>
  <si>
    <t>POLERAS</t>
  </si>
  <si>
    <t>Ventas</t>
  </si>
  <si>
    <t>Precio</t>
  </si>
  <si>
    <t>INGRESOS</t>
  </si>
  <si>
    <t>INVENTARIO INICIAL</t>
  </si>
  <si>
    <t>INVENTARIO FINAL</t>
  </si>
  <si>
    <t>PRODUCCIÓN</t>
  </si>
  <si>
    <t>Telas</t>
  </si>
  <si>
    <t>Precio de las telas</t>
  </si>
  <si>
    <t>Costo de telas en Brasil</t>
  </si>
  <si>
    <t>Transporte + seguro</t>
  </si>
  <si>
    <t>CIF</t>
  </si>
  <si>
    <t>Impuestos</t>
  </si>
  <si>
    <t>Gastos de aduana</t>
  </si>
  <si>
    <t>Otros gastos</t>
  </si>
  <si>
    <t>Materia prima</t>
  </si>
  <si>
    <t>Mano de obra directa</t>
  </si>
  <si>
    <t>Cortador</t>
  </si>
  <si>
    <t>Insumos</t>
  </si>
  <si>
    <t>Energia eléctrica</t>
  </si>
  <si>
    <t>COSTO DIRECTO</t>
  </si>
  <si>
    <t>COSTO VARIABLE</t>
  </si>
  <si>
    <t>Costo indirecto de fabricación</t>
  </si>
  <si>
    <t>Sueldos y salarios</t>
  </si>
  <si>
    <t>Servicios</t>
  </si>
  <si>
    <t>Alquileres</t>
  </si>
  <si>
    <t>COSTOS ADMINISTRATIVOS</t>
  </si>
  <si>
    <t>Costos comerciales</t>
  </si>
  <si>
    <t>Costos financieros</t>
  </si>
  <si>
    <t>Depreciación</t>
  </si>
  <si>
    <t>Costos indirectos</t>
  </si>
  <si>
    <t>COSTO FIJO</t>
  </si>
  <si>
    <t>COSTO TOTAL</t>
  </si>
  <si>
    <t>COSTO TOTAL UNITARIO</t>
  </si>
  <si>
    <t>COSTO DIRECTO UNITARIO</t>
  </si>
  <si>
    <t>Margen de contribución</t>
  </si>
  <si>
    <t>COSTO VARIABLE UNITARIO</t>
  </si>
  <si>
    <t>QE (cantidad de equilibrio)</t>
  </si>
  <si>
    <t>ESTADO DE RESULTADO</t>
  </si>
  <si>
    <t>Costo de fabricación</t>
  </si>
  <si>
    <t>Ingresos netos</t>
  </si>
  <si>
    <t>EGRESOS</t>
  </si>
  <si>
    <t>Costos administrativos</t>
  </si>
  <si>
    <t>Costos comercialización</t>
  </si>
  <si>
    <t>TOTAL EGRESOS</t>
  </si>
  <si>
    <t>Utilidad</t>
  </si>
  <si>
    <t>Utilidad neta</t>
  </si>
  <si>
    <t>Gastos generales</t>
  </si>
  <si>
    <t>Costos fijos</t>
  </si>
  <si>
    <t>DEPRECIACIÓN</t>
  </si>
  <si>
    <t>EDIFICIO</t>
  </si>
  <si>
    <t>VEHICULOS</t>
  </si>
  <si>
    <t>MUEBLE</t>
  </si>
  <si>
    <t>AÑOS</t>
  </si>
  <si>
    <t>VALOR RESIDUAL</t>
  </si>
  <si>
    <t>MAQUINARIAS</t>
  </si>
  <si>
    <t>TOTAL</t>
  </si>
  <si>
    <t>Material de escritorio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</si>
</sst>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topLeftCell="A13" workbookViewId="0">
      <selection activeCell="E28" sqref="E28"/>
    </sheetView>
  </sheetViews>
  <sheetFormatPr baseColWidth="10" defaultRowHeight="15" x14ac:dyDescent="0.25"/>
  <cols>
    <col min="1" max="1" width="26" customWidth="1"/>
    <col min="2" max="2" width="16.140625" customWidth="1"/>
    <col min="3" max="3" width="17.42578125" customWidth="1"/>
    <col min="4" max="5" width="16.7109375" customWidth="1"/>
    <col min="6" max="6" width="14.5703125" customWidth="1"/>
    <col min="7" max="7" width="15.140625" customWidth="1"/>
    <col min="8" max="8" width="14.28515625" customWidth="1"/>
    <col min="10" max="10" width="16.42578125" customWidth="1"/>
    <col min="11" max="11" width="14.28515625" customWidth="1"/>
    <col min="12" max="12" width="16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G1" t="s">
        <v>52</v>
      </c>
      <c r="I1" t="s">
        <v>56</v>
      </c>
      <c r="J1" t="s">
        <v>57</v>
      </c>
      <c r="K1" t="s">
        <v>52</v>
      </c>
    </row>
    <row r="2" spans="1:13" x14ac:dyDescent="0.25">
      <c r="A2" t="s">
        <v>4</v>
      </c>
      <c r="B2" s="1">
        <v>1500</v>
      </c>
      <c r="C2" s="1">
        <v>1500</v>
      </c>
      <c r="D2" s="1">
        <v>3000</v>
      </c>
      <c r="E2" s="1"/>
      <c r="F2" s="1"/>
      <c r="G2" t="s">
        <v>53</v>
      </c>
      <c r="H2" s="1">
        <v>100000</v>
      </c>
      <c r="I2" s="3">
        <v>20</v>
      </c>
      <c r="J2" s="1">
        <f>H2*50%</f>
        <v>50000</v>
      </c>
      <c r="K2" s="1">
        <f>(H2-J2)/I2</f>
        <v>2500</v>
      </c>
      <c r="L2" s="1"/>
      <c r="M2" s="1"/>
    </row>
    <row r="3" spans="1:13" x14ac:dyDescent="0.25">
      <c r="A3" t="s">
        <v>5</v>
      </c>
      <c r="B3" s="1">
        <v>150</v>
      </c>
      <c r="C3" s="1">
        <v>130</v>
      </c>
      <c r="D3" s="1">
        <v>90</v>
      </c>
      <c r="E3" s="1"/>
      <c r="F3" s="1"/>
      <c r="G3" t="s">
        <v>54</v>
      </c>
      <c r="H3" s="1">
        <v>20000</v>
      </c>
      <c r="I3" s="3">
        <v>5</v>
      </c>
      <c r="J3" s="1">
        <f>H3*50%</f>
        <v>10000</v>
      </c>
      <c r="K3" s="1">
        <f t="shared" ref="K3:K5" si="0">(H3-J3)/I3</f>
        <v>2000</v>
      </c>
      <c r="L3" s="1"/>
      <c r="M3" s="1"/>
    </row>
    <row r="4" spans="1:13" x14ac:dyDescent="0.25">
      <c r="A4" t="s">
        <v>6</v>
      </c>
      <c r="B4" s="1">
        <f>B2*B3</f>
        <v>225000</v>
      </c>
      <c r="C4" s="1">
        <f t="shared" ref="C4:D4" si="1">C2*C3</f>
        <v>195000</v>
      </c>
      <c r="D4" s="1">
        <f t="shared" si="1"/>
        <v>270000</v>
      </c>
      <c r="E4" s="1">
        <f>SUM(B4:D4)</f>
        <v>690000</v>
      </c>
      <c r="F4" s="1"/>
      <c r="G4" t="s">
        <v>58</v>
      </c>
      <c r="H4" s="1">
        <v>200000</v>
      </c>
      <c r="I4" s="3">
        <v>10</v>
      </c>
      <c r="J4" s="1">
        <f>H4*25%</f>
        <v>50000</v>
      </c>
      <c r="K4" s="1">
        <f t="shared" si="0"/>
        <v>15000</v>
      </c>
      <c r="L4" s="1"/>
      <c r="M4" s="1"/>
    </row>
    <row r="5" spans="1:13" x14ac:dyDescent="0.25">
      <c r="B5" s="1">
        <f>B4/E4</f>
        <v>0.32608695652173914</v>
      </c>
      <c r="C5" s="1">
        <f>C4/E4</f>
        <v>0.28260869565217389</v>
      </c>
      <c r="D5" s="1">
        <f>D4/E4</f>
        <v>0.39130434782608697</v>
      </c>
      <c r="E5" s="1">
        <f>SUM(B5:D5)</f>
        <v>1</v>
      </c>
      <c r="F5" s="1"/>
      <c r="G5" t="s">
        <v>55</v>
      </c>
      <c r="H5" s="1">
        <v>5000</v>
      </c>
      <c r="I5" s="3">
        <v>5</v>
      </c>
      <c r="J5" s="1">
        <f>H5*20%</f>
        <v>1000</v>
      </c>
      <c r="K5" s="1">
        <f t="shared" si="0"/>
        <v>800</v>
      </c>
      <c r="L5" s="1"/>
      <c r="M5" s="1"/>
    </row>
    <row r="6" spans="1:13" x14ac:dyDescent="0.25">
      <c r="A6" t="s">
        <v>7</v>
      </c>
      <c r="B6" s="1">
        <v>200</v>
      </c>
      <c r="C6" s="1">
        <v>100</v>
      </c>
      <c r="D6" s="1">
        <v>50</v>
      </c>
      <c r="E6" s="1"/>
      <c r="F6" s="1"/>
      <c r="G6" s="1"/>
      <c r="H6" s="1"/>
      <c r="I6" s="1"/>
      <c r="J6" s="1">
        <f>SUM(J2:J5)</f>
        <v>111000</v>
      </c>
      <c r="K6" s="1">
        <f>SUM(K2:K5)</f>
        <v>20300</v>
      </c>
      <c r="L6" s="1" t="s">
        <v>59</v>
      </c>
      <c r="M6" s="1"/>
    </row>
    <row r="7" spans="1:13" x14ac:dyDescent="0.25">
      <c r="A7" t="s">
        <v>8</v>
      </c>
      <c r="B7" s="1">
        <f>B2*5%</f>
        <v>75</v>
      </c>
      <c r="C7" s="1">
        <f>C2*5%</f>
        <v>75</v>
      </c>
      <c r="D7" s="1">
        <f>D2*5%</f>
        <v>150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t="s">
        <v>9</v>
      </c>
      <c r="B8" s="1">
        <f>B2-B6+B7</f>
        <v>1375</v>
      </c>
      <c r="C8" s="1">
        <f t="shared" ref="C8:D8" si="2">C2-C6+C7</f>
        <v>1475</v>
      </c>
      <c r="D8" s="1">
        <f t="shared" si="2"/>
        <v>3100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t="s">
        <v>10</v>
      </c>
      <c r="B9" s="1">
        <f>B8*12*1.2</f>
        <v>19800</v>
      </c>
      <c r="C9" s="1">
        <f>C8*12*1</f>
        <v>17700</v>
      </c>
      <c r="D9" s="1">
        <f>D8*12*0.8</f>
        <v>29760</v>
      </c>
      <c r="E9" s="1"/>
      <c r="F9" s="1"/>
      <c r="G9" s="1"/>
      <c r="H9" s="1"/>
    </row>
    <row r="10" spans="1:13" x14ac:dyDescent="0.25">
      <c r="A10" t="s">
        <v>11</v>
      </c>
      <c r="B10" s="1">
        <v>5</v>
      </c>
      <c r="C10" s="1">
        <v>5</v>
      </c>
      <c r="D10" s="1">
        <v>3</v>
      </c>
      <c r="E10" s="1"/>
      <c r="F10" s="1"/>
      <c r="G10" s="1"/>
      <c r="H10" s="1"/>
    </row>
    <row r="11" spans="1:13" x14ac:dyDescent="0.25">
      <c r="A11" t="s">
        <v>12</v>
      </c>
      <c r="B11" s="1">
        <f>B9*B10</f>
        <v>99000</v>
      </c>
      <c r="C11" s="1">
        <f t="shared" ref="C11:D11" si="3">C9*C10</f>
        <v>88500</v>
      </c>
      <c r="D11" s="1">
        <f t="shared" si="3"/>
        <v>89280</v>
      </c>
      <c r="E11" s="1">
        <f>SUM(B11:D11)</f>
        <v>276780</v>
      </c>
      <c r="F11" s="1"/>
      <c r="G11" s="1"/>
      <c r="H11" s="1"/>
    </row>
    <row r="12" spans="1:13" x14ac:dyDescent="0.25">
      <c r="B12" s="1">
        <f>B11/E11</f>
        <v>0.3576848038153046</v>
      </c>
      <c r="C12" s="1">
        <f>C11/E11</f>
        <v>0.3197485367439844</v>
      </c>
      <c r="D12" s="1">
        <f>D11/E11</f>
        <v>0.32256665944071106</v>
      </c>
      <c r="E12" s="1">
        <f>SUM(B12:D12)</f>
        <v>1</v>
      </c>
      <c r="F12" s="1"/>
      <c r="G12" s="1"/>
      <c r="H12" s="1"/>
    </row>
    <row r="13" spans="1:13" x14ac:dyDescent="0.25">
      <c r="A13" t="s">
        <v>13</v>
      </c>
      <c r="B13" s="1"/>
      <c r="C13" s="1"/>
      <c r="D13" s="1"/>
      <c r="E13" s="1">
        <v>2000</v>
      </c>
      <c r="F13" s="1"/>
      <c r="G13" s="1"/>
      <c r="H13" s="1"/>
    </row>
    <row r="14" spans="1:13" x14ac:dyDescent="0.25">
      <c r="A14" t="s">
        <v>14</v>
      </c>
      <c r="B14" s="1"/>
      <c r="C14" s="1"/>
      <c r="D14" s="1"/>
      <c r="E14" s="1">
        <f>E11+E13</f>
        <v>278780</v>
      </c>
      <c r="F14" s="1"/>
      <c r="G14" s="1"/>
      <c r="H14" s="1"/>
    </row>
    <row r="15" spans="1:13" x14ac:dyDescent="0.25">
      <c r="A15" t="s">
        <v>15</v>
      </c>
      <c r="B15" s="2">
        <v>0.1</v>
      </c>
      <c r="C15" s="1"/>
      <c r="D15" s="1"/>
      <c r="E15" s="1">
        <f>E14*B15</f>
        <v>27878</v>
      </c>
      <c r="F15" s="1"/>
      <c r="G15" s="1"/>
      <c r="H15" s="1"/>
    </row>
    <row r="16" spans="1:13" x14ac:dyDescent="0.25">
      <c r="A16" t="s">
        <v>16</v>
      </c>
      <c r="B16" s="2">
        <v>0.03</v>
      </c>
      <c r="C16" s="1"/>
      <c r="D16" s="1"/>
      <c r="E16" s="1">
        <f>E14*B16</f>
        <v>8363.4</v>
      </c>
      <c r="F16" s="1"/>
      <c r="G16" s="1"/>
      <c r="H16" s="1"/>
    </row>
    <row r="17" spans="1:8" x14ac:dyDescent="0.25">
      <c r="A17" t="s">
        <v>17</v>
      </c>
      <c r="B17" s="1"/>
      <c r="C17" s="1"/>
      <c r="D17" s="1"/>
      <c r="E17" s="1">
        <v>500</v>
      </c>
      <c r="F17" s="1"/>
      <c r="G17" s="1"/>
      <c r="H17" s="1"/>
    </row>
    <row r="18" spans="1:8" x14ac:dyDescent="0.25">
      <c r="A18" t="s">
        <v>18</v>
      </c>
      <c r="B18" s="1">
        <f>E18*B12</f>
        <v>112857.21005853025</v>
      </c>
      <c r="C18" s="1">
        <f>E18*C12</f>
        <v>100887.50596141341</v>
      </c>
      <c r="D18" s="1">
        <f>E18*D12</f>
        <v>101776.68398005638</v>
      </c>
      <c r="E18" s="1">
        <f>SUM(E14:E17)</f>
        <v>315521.40000000002</v>
      </c>
      <c r="F18" s="1"/>
      <c r="G18" s="1"/>
      <c r="H18" s="1"/>
    </row>
    <row r="19" spans="1:8" x14ac:dyDescent="0.25">
      <c r="A19" t="s">
        <v>19</v>
      </c>
      <c r="B19" s="1">
        <f>2*B8*3.5*1.15/12*13</f>
        <v>11991.145833333334</v>
      </c>
      <c r="C19" s="1">
        <f t="shared" ref="C19:D19" si="4">2*C8*3.5*1.15/12*13</f>
        <v>12863.229166666664</v>
      </c>
      <c r="D19" s="1">
        <f t="shared" si="4"/>
        <v>27034.583333333328</v>
      </c>
      <c r="E19" s="1"/>
      <c r="F19" s="1"/>
      <c r="G19" s="1"/>
      <c r="H19" s="1"/>
    </row>
    <row r="20" spans="1:8" x14ac:dyDescent="0.25">
      <c r="A20" t="s">
        <v>20</v>
      </c>
      <c r="B20" s="1">
        <f>E20*B5</f>
        <v>1949.9999999999998</v>
      </c>
      <c r="C20" s="1">
        <f>E20*C5</f>
        <v>1689.9999999999995</v>
      </c>
      <c r="D20" s="1">
        <f>E20*D5</f>
        <v>2339.9999999999995</v>
      </c>
      <c r="E20" s="1">
        <f>400*1.15*13</f>
        <v>5979.9999999999991</v>
      </c>
      <c r="F20" s="1"/>
      <c r="G20" s="1"/>
      <c r="H20" s="1"/>
    </row>
    <row r="21" spans="1:8" x14ac:dyDescent="0.25">
      <c r="A21" t="s">
        <v>21</v>
      </c>
      <c r="B21" s="1">
        <f>1.2*B8</f>
        <v>1650</v>
      </c>
      <c r="C21" s="1">
        <f t="shared" ref="C21" si="5">1.2*C8</f>
        <v>1770</v>
      </c>
      <c r="D21" s="1">
        <f>0.5*D8</f>
        <v>1550</v>
      </c>
      <c r="E21" s="1"/>
      <c r="F21" s="1"/>
      <c r="G21" s="1"/>
      <c r="H21" s="1"/>
    </row>
    <row r="22" spans="1:8" x14ac:dyDescent="0.25">
      <c r="A22" t="s">
        <v>22</v>
      </c>
      <c r="B22" s="1">
        <f>10000*0.06</f>
        <v>600</v>
      </c>
      <c r="C22" s="1">
        <f>10000*0.06</f>
        <v>600</v>
      </c>
      <c r="D22" s="1">
        <f>5000*0.06</f>
        <v>300</v>
      </c>
      <c r="E22" s="1"/>
      <c r="F22" s="1"/>
      <c r="G22" s="1"/>
      <c r="H22" s="1"/>
    </row>
    <row r="23" spans="1:8" x14ac:dyDescent="0.25">
      <c r="A23" t="s">
        <v>23</v>
      </c>
      <c r="B23" s="1">
        <f>SUM(B18:B22)</f>
        <v>129048.35589186358</v>
      </c>
      <c r="C23" s="1">
        <f t="shared" ref="C23:D23" si="6">SUM(C18:C22)</f>
        <v>117810.73512808006</v>
      </c>
      <c r="D23" s="1">
        <f t="shared" si="6"/>
        <v>133001.26731338969</v>
      </c>
      <c r="E23" s="1">
        <f>SUM(B23:D23)</f>
        <v>379860.35833333334</v>
      </c>
      <c r="F23" s="1"/>
      <c r="G23" s="1"/>
      <c r="H23" s="1"/>
    </row>
    <row r="24" spans="1:8" x14ac:dyDescent="0.25">
      <c r="A24" t="s">
        <v>24</v>
      </c>
      <c r="B24" s="1">
        <f>B23-B20</f>
        <v>127098.35589186358</v>
      </c>
      <c r="C24" s="1">
        <f t="shared" ref="C24:D24" si="7">C23-C20</f>
        <v>116120.73512808006</v>
      </c>
      <c r="D24" s="1">
        <f t="shared" si="7"/>
        <v>130661.26731338969</v>
      </c>
      <c r="E24" s="1"/>
      <c r="F24" s="1"/>
      <c r="G24" s="1"/>
      <c r="H24" s="1"/>
    </row>
    <row r="25" spans="1:8" x14ac:dyDescent="0.25">
      <c r="A25" t="s">
        <v>25</v>
      </c>
      <c r="B25" s="1"/>
      <c r="C25" s="1"/>
      <c r="D25" s="1"/>
      <c r="E25" s="1">
        <f>2*250*1.15*13+1000</f>
        <v>8475</v>
      </c>
      <c r="F25" s="1"/>
      <c r="G25" s="1"/>
      <c r="H25" s="1"/>
    </row>
    <row r="26" spans="1:8" x14ac:dyDescent="0.25">
      <c r="A26" t="s">
        <v>26</v>
      </c>
      <c r="B26" s="1"/>
      <c r="C26" s="1"/>
      <c r="D26" s="1"/>
      <c r="E26" s="1">
        <f>6000*1.15*13</f>
        <v>89699.999999999985</v>
      </c>
      <c r="F26" s="1"/>
      <c r="G26" s="1"/>
      <c r="H26" s="1"/>
    </row>
    <row r="27" spans="1:8" x14ac:dyDescent="0.25">
      <c r="A27" t="s">
        <v>60</v>
      </c>
      <c r="B27" s="1"/>
      <c r="C27" s="1"/>
      <c r="D27" s="1"/>
      <c r="E27" s="1">
        <f>600*12</f>
        <v>7200</v>
      </c>
      <c r="F27" s="1"/>
      <c r="G27" s="1"/>
      <c r="H27" s="1"/>
    </row>
    <row r="28" spans="1:8" x14ac:dyDescent="0.25">
      <c r="A28" t="s">
        <v>27</v>
      </c>
      <c r="B28" s="1"/>
      <c r="C28" s="1"/>
      <c r="D28" s="1"/>
      <c r="E28" s="1">
        <f>400*12</f>
        <v>4800</v>
      </c>
      <c r="F28" s="1"/>
      <c r="G28" s="1"/>
      <c r="H28" s="1"/>
    </row>
    <row r="29" spans="1:8" x14ac:dyDescent="0.25">
      <c r="A29" t="s">
        <v>28</v>
      </c>
      <c r="B29" s="1"/>
      <c r="C29" s="1"/>
      <c r="D29" s="1"/>
      <c r="E29" s="1">
        <f>200*12</f>
        <v>2400</v>
      </c>
      <c r="F29" s="1"/>
      <c r="G29" s="1"/>
      <c r="H29" s="1"/>
    </row>
    <row r="30" spans="1:8" x14ac:dyDescent="0.25">
      <c r="A30" t="s">
        <v>50</v>
      </c>
      <c r="B30" s="1"/>
      <c r="C30" s="1"/>
      <c r="D30" s="1"/>
      <c r="E30" s="1">
        <f>100*12</f>
        <v>1200</v>
      </c>
      <c r="F30" s="1"/>
      <c r="G30" s="1"/>
      <c r="H30" s="1"/>
    </row>
    <row r="31" spans="1:8" x14ac:dyDescent="0.25">
      <c r="A31" t="s">
        <v>29</v>
      </c>
      <c r="B31" s="1"/>
      <c r="C31" s="1"/>
      <c r="D31" s="1"/>
      <c r="E31" s="1">
        <f>SUM(E26:E30)</f>
        <v>105299.99999999999</v>
      </c>
      <c r="F31" s="1"/>
      <c r="G31" s="1"/>
      <c r="H31" s="1"/>
    </row>
    <row r="32" spans="1:8" x14ac:dyDescent="0.25">
      <c r="A32" t="s">
        <v>30</v>
      </c>
      <c r="B32" s="1"/>
      <c r="C32" s="1"/>
      <c r="D32" s="1"/>
      <c r="E32" s="1">
        <f>(4000+1000)*12</f>
        <v>60000</v>
      </c>
      <c r="F32" s="1"/>
      <c r="G32" s="1"/>
      <c r="H32" s="1"/>
    </row>
    <row r="33" spans="1:8" x14ac:dyDescent="0.25">
      <c r="A33" t="s">
        <v>31</v>
      </c>
      <c r="B33" s="1"/>
      <c r="C33" s="1"/>
      <c r="D33" s="1"/>
      <c r="E33" s="1">
        <f>5000</f>
        <v>5000</v>
      </c>
      <c r="F33" s="1"/>
      <c r="G33" s="1"/>
      <c r="H33" s="1"/>
    </row>
    <row r="34" spans="1:8" x14ac:dyDescent="0.25">
      <c r="A34" t="s">
        <v>32</v>
      </c>
      <c r="B34" s="1"/>
      <c r="C34" s="1"/>
      <c r="D34" s="1"/>
      <c r="E34" s="1">
        <f>K6</f>
        <v>20300</v>
      </c>
      <c r="F34" s="1"/>
      <c r="G34" s="1"/>
      <c r="H34" s="1"/>
    </row>
    <row r="35" spans="1:8" x14ac:dyDescent="0.25">
      <c r="A35" t="s">
        <v>33</v>
      </c>
      <c r="B35" s="1">
        <f>E35*B5</f>
        <v>64915.760869565216</v>
      </c>
      <c r="C35" s="1">
        <f>E35*C5</f>
        <v>56260.32608695652</v>
      </c>
      <c r="D35" s="1">
        <f>E35*D5</f>
        <v>77898.913043478271</v>
      </c>
      <c r="E35" s="1">
        <f>E31+E32+E33+E34+E25</f>
        <v>199075</v>
      </c>
      <c r="F35" s="1"/>
      <c r="G35" s="1"/>
      <c r="H35" s="1"/>
    </row>
    <row r="36" spans="1:8" x14ac:dyDescent="0.25">
      <c r="A36" t="s">
        <v>34</v>
      </c>
      <c r="B36" s="1">
        <f>B35+B20</f>
        <v>66865.760869565216</v>
      </c>
      <c r="C36" s="1">
        <f t="shared" ref="C36:D36" si="8">C35+C20</f>
        <v>57950.32608695652</v>
      </c>
      <c r="D36" s="1">
        <f t="shared" si="8"/>
        <v>80238.913043478271</v>
      </c>
      <c r="E36" s="1">
        <f>E35+E20</f>
        <v>205055</v>
      </c>
      <c r="F36" s="1"/>
      <c r="G36" s="1"/>
      <c r="H36" s="1"/>
    </row>
    <row r="37" spans="1:8" x14ac:dyDescent="0.25">
      <c r="A37" t="s">
        <v>35</v>
      </c>
      <c r="B37" s="1">
        <f>B23+B35</f>
        <v>193964.1167614288</v>
      </c>
      <c r="C37" s="1">
        <f t="shared" ref="C37:D37" si="9">C23+C35</f>
        <v>174071.06121503658</v>
      </c>
      <c r="D37" s="1">
        <f t="shared" si="9"/>
        <v>210900.18035686796</v>
      </c>
      <c r="E37" s="1"/>
      <c r="F37" s="1"/>
      <c r="G37" s="1"/>
      <c r="H37" s="1"/>
    </row>
    <row r="38" spans="1:8" x14ac:dyDescent="0.25">
      <c r="A38" t="s">
        <v>36</v>
      </c>
      <c r="B38" s="1">
        <f>B37/B8</f>
        <v>141.06481219013003</v>
      </c>
      <c r="C38" s="1">
        <f>C37/C8</f>
        <v>118.01427878985531</v>
      </c>
      <c r="D38" s="1">
        <f>D37/D8</f>
        <v>68.032316244150948</v>
      </c>
      <c r="E38" s="1"/>
      <c r="F38" s="1"/>
      <c r="G38" s="1"/>
      <c r="H38" s="1"/>
    </row>
    <row r="39" spans="1:8" x14ac:dyDescent="0.25">
      <c r="A39" t="s">
        <v>37</v>
      </c>
      <c r="B39" s="1">
        <f>B23/B8</f>
        <v>93.853349739537151</v>
      </c>
      <c r="C39" s="1">
        <f t="shared" ref="C39:D39" si="10">C23/C8</f>
        <v>79.871684832596657</v>
      </c>
      <c r="D39" s="1">
        <f t="shared" si="10"/>
        <v>42.90363461722248</v>
      </c>
      <c r="E39" s="1"/>
      <c r="F39" s="1"/>
      <c r="G39" s="1"/>
      <c r="H39" s="1"/>
    </row>
    <row r="40" spans="1:8" x14ac:dyDescent="0.25">
      <c r="A40" t="s">
        <v>38</v>
      </c>
      <c r="B40" s="1">
        <f>B3-B39</f>
        <v>56.146650260462849</v>
      </c>
      <c r="C40" s="1">
        <f t="shared" ref="C40:D40" si="11">C3-C39</f>
        <v>50.128315167403343</v>
      </c>
      <c r="D40" s="1">
        <f t="shared" si="11"/>
        <v>47.09636538277752</v>
      </c>
      <c r="E40" s="1"/>
      <c r="F40" s="1"/>
      <c r="G40" s="1"/>
      <c r="H40" s="1"/>
    </row>
    <row r="41" spans="1:8" x14ac:dyDescent="0.25">
      <c r="A41" t="s">
        <v>39</v>
      </c>
      <c r="B41" s="1">
        <f>B24/B8</f>
        <v>92.43516792135533</v>
      </c>
      <c r="C41" s="1">
        <f t="shared" ref="C41:D41" si="12">C24/C8</f>
        <v>78.72592212073225</v>
      </c>
      <c r="D41" s="1">
        <f t="shared" si="12"/>
        <v>42.148795907545065</v>
      </c>
      <c r="E41" s="1"/>
      <c r="F41" s="1"/>
      <c r="G41" s="1"/>
      <c r="H41" s="1"/>
    </row>
    <row r="42" spans="1:8" x14ac:dyDescent="0.25">
      <c r="A42" t="s">
        <v>51</v>
      </c>
      <c r="B42" s="1"/>
      <c r="C42" s="1"/>
      <c r="D42" s="1"/>
      <c r="E42" s="1"/>
      <c r="F42" s="1"/>
      <c r="G42" s="1"/>
      <c r="H42" s="1"/>
    </row>
    <row r="43" spans="1:8" x14ac:dyDescent="0.25">
      <c r="A43" t="s">
        <v>40</v>
      </c>
      <c r="B43" s="1">
        <f>B36/(B3-B41)</f>
        <v>1161.5731073133973</v>
      </c>
      <c r="C43" s="1">
        <f t="shared" ref="C43:D43" si="13">C36/(C3-C41)</f>
        <v>1130.2070848238161</v>
      </c>
      <c r="D43" s="1">
        <f t="shared" si="13"/>
        <v>1676.842089249122</v>
      </c>
      <c r="E43" s="1"/>
      <c r="F43" s="1"/>
      <c r="G43" s="1"/>
      <c r="H43" s="1"/>
    </row>
    <row r="44" spans="1:8" x14ac:dyDescent="0.25">
      <c r="B44" s="1"/>
      <c r="C44" s="1"/>
      <c r="D44" s="1"/>
      <c r="E44" s="1"/>
      <c r="F44" s="1"/>
      <c r="G44" s="1"/>
      <c r="H44" s="1"/>
    </row>
    <row r="45" spans="1:8" x14ac:dyDescent="0.25">
      <c r="A45" t="s">
        <v>41</v>
      </c>
      <c r="B45" s="1"/>
      <c r="C45" s="1"/>
      <c r="D45" s="1"/>
      <c r="E45" s="1"/>
      <c r="F45" s="1"/>
      <c r="G45" s="1"/>
      <c r="H45" s="1"/>
    </row>
    <row r="46" spans="1:8" x14ac:dyDescent="0.25">
      <c r="A46" t="s">
        <v>6</v>
      </c>
      <c r="B46" s="1"/>
      <c r="C46" s="1"/>
      <c r="D46" s="1"/>
      <c r="E46" s="1"/>
      <c r="F46" s="1"/>
      <c r="G46" s="1"/>
      <c r="H46" s="1"/>
    </row>
    <row r="47" spans="1:8" x14ac:dyDescent="0.25">
      <c r="A47" t="s">
        <v>4</v>
      </c>
      <c r="B47" s="1"/>
      <c r="C47" s="1">
        <f>E4</f>
        <v>690000</v>
      </c>
      <c r="D47" s="1"/>
      <c r="E47" s="1"/>
      <c r="F47" s="1"/>
      <c r="G47" s="1"/>
      <c r="H47" s="1"/>
    </row>
    <row r="48" spans="1:8" x14ac:dyDescent="0.25">
      <c r="A48" t="s">
        <v>42</v>
      </c>
      <c r="B48" s="1"/>
      <c r="C48" s="1">
        <f>E23+E25</f>
        <v>388335.35833333334</v>
      </c>
      <c r="D48" s="1"/>
      <c r="E48" s="1"/>
      <c r="F48" s="1"/>
      <c r="G48" s="1"/>
      <c r="H48" s="1"/>
    </row>
    <row r="49" spans="1:8" x14ac:dyDescent="0.25">
      <c r="A49" t="s">
        <v>43</v>
      </c>
      <c r="B49" s="1"/>
      <c r="C49" s="1">
        <f>C47-C48</f>
        <v>301664.64166666666</v>
      </c>
      <c r="D49" s="1"/>
      <c r="E49" s="1"/>
      <c r="F49" s="1"/>
      <c r="G49" s="1"/>
      <c r="H49" s="1"/>
    </row>
    <row r="50" spans="1:8" x14ac:dyDescent="0.25">
      <c r="A50" t="s">
        <v>44</v>
      </c>
      <c r="B50" s="1"/>
      <c r="C50" s="1"/>
      <c r="D50" s="1"/>
      <c r="E50" s="1"/>
      <c r="F50" s="1"/>
      <c r="G50" s="1"/>
      <c r="H50" s="1"/>
    </row>
    <row r="51" spans="1:8" x14ac:dyDescent="0.25">
      <c r="A51" t="s">
        <v>45</v>
      </c>
      <c r="B51" s="1"/>
      <c r="C51" s="1">
        <f>E31</f>
        <v>105299.99999999999</v>
      </c>
      <c r="D51" s="1"/>
      <c r="E51" s="1"/>
      <c r="F51" s="1"/>
      <c r="G51" s="1"/>
      <c r="H51" s="1"/>
    </row>
    <row r="52" spans="1:8" x14ac:dyDescent="0.25">
      <c r="A52" t="s">
        <v>46</v>
      </c>
      <c r="B52" s="1"/>
      <c r="C52" s="1">
        <f>E32</f>
        <v>60000</v>
      </c>
      <c r="D52" s="1"/>
      <c r="E52" s="1"/>
      <c r="F52" s="1"/>
      <c r="G52" s="1"/>
      <c r="H52" s="1"/>
    </row>
    <row r="53" spans="1:8" x14ac:dyDescent="0.25">
      <c r="A53" t="s">
        <v>31</v>
      </c>
      <c r="B53" s="1"/>
      <c r="C53" s="1">
        <f>E33</f>
        <v>5000</v>
      </c>
      <c r="D53" s="1"/>
      <c r="E53" s="1"/>
      <c r="F53" s="1"/>
      <c r="G53" s="1"/>
      <c r="H53" s="1"/>
    </row>
    <row r="54" spans="1:8" x14ac:dyDescent="0.25">
      <c r="A54" t="s">
        <v>32</v>
      </c>
      <c r="B54" s="1"/>
      <c r="C54" s="1">
        <f>E34</f>
        <v>20300</v>
      </c>
      <c r="D54" s="1"/>
      <c r="E54" s="1"/>
      <c r="F54" s="1"/>
      <c r="G54" s="1"/>
      <c r="H54" s="1"/>
    </row>
    <row r="55" spans="1:8" x14ac:dyDescent="0.25">
      <c r="A55" t="s">
        <v>47</v>
      </c>
      <c r="B55" s="1"/>
      <c r="C55" s="1">
        <f>SUM(C51:C54)</f>
        <v>190600</v>
      </c>
      <c r="D55" s="1"/>
      <c r="E55" s="1"/>
      <c r="F55" s="1"/>
      <c r="G55" s="1"/>
      <c r="H55" s="1"/>
    </row>
    <row r="56" spans="1:8" x14ac:dyDescent="0.25">
      <c r="A56" t="s">
        <v>48</v>
      </c>
      <c r="B56" s="1"/>
      <c r="C56" s="1">
        <f>C49-C55</f>
        <v>111064.64166666666</v>
      </c>
      <c r="D56" s="1"/>
      <c r="E56" s="1"/>
      <c r="F56" s="1"/>
      <c r="G56" s="1"/>
      <c r="H56" s="1"/>
    </row>
    <row r="57" spans="1:8" x14ac:dyDescent="0.25">
      <c r="A57" t="s">
        <v>15</v>
      </c>
      <c r="B57" s="2">
        <v>0.25</v>
      </c>
      <c r="C57" s="1">
        <f>C56*B57</f>
        <v>27766.160416666666</v>
      </c>
      <c r="D57" s="1"/>
      <c r="E57" s="1"/>
      <c r="F57" s="1"/>
      <c r="G57" s="1"/>
      <c r="H57" s="1"/>
    </row>
    <row r="58" spans="1:8" x14ac:dyDescent="0.25">
      <c r="A58" t="s">
        <v>49</v>
      </c>
      <c r="B58" s="1"/>
      <c r="C58" s="1">
        <f>C56-C57</f>
        <v>83298.481249999997</v>
      </c>
      <c r="D58" s="1"/>
      <c r="E58" s="1"/>
      <c r="F58" s="1"/>
      <c r="G58" s="1"/>
      <c r="H58" s="1"/>
    </row>
    <row r="59" spans="1:8" x14ac:dyDescent="0.25">
      <c r="B59" s="1"/>
      <c r="C59" s="1"/>
      <c r="D59" s="1"/>
      <c r="E59" s="1"/>
      <c r="F59" s="1"/>
      <c r="G59" s="1"/>
      <c r="H59" s="1"/>
    </row>
    <row r="60" spans="1:8" x14ac:dyDescent="0.25">
      <c r="B60" s="1"/>
      <c r="C60" s="1"/>
      <c r="D60" s="1"/>
      <c r="E60" s="1"/>
      <c r="F60" s="1"/>
      <c r="G60" s="1"/>
      <c r="H60" s="1"/>
    </row>
    <row r="61" spans="1:8" x14ac:dyDescent="0.25">
      <c r="B61" s="1"/>
      <c r="C61" s="1"/>
      <c r="D61" s="1"/>
      <c r="E61" s="1"/>
      <c r="F61" s="1"/>
      <c r="G61" s="1"/>
      <c r="H61" s="1"/>
    </row>
    <row r="62" spans="1:8" x14ac:dyDescent="0.25">
      <c r="B62" s="1"/>
      <c r="C62" s="1"/>
      <c r="D62" s="1"/>
      <c r="E62" s="1"/>
      <c r="F62" s="1"/>
      <c r="G62" s="1"/>
      <c r="H62" s="1"/>
    </row>
    <row r="63" spans="1:8" x14ac:dyDescent="0.25">
      <c r="B63" s="1"/>
      <c r="C63" s="1"/>
      <c r="D63" s="1"/>
      <c r="E63" s="1"/>
      <c r="F63" s="1"/>
      <c r="G63" s="1"/>
      <c r="H63" s="1"/>
    </row>
    <row r="64" spans="1:8" x14ac:dyDescent="0.25">
      <c r="B64" s="1"/>
      <c r="C64" s="1"/>
      <c r="D64" s="1"/>
      <c r="E64" s="1"/>
      <c r="F64" s="1"/>
      <c r="G64" s="1"/>
      <c r="H64" s="1"/>
    </row>
    <row r="65" spans="2:8" x14ac:dyDescent="0.25">
      <c r="B65" s="1"/>
      <c r="C65" s="1"/>
      <c r="D65" s="1"/>
      <c r="E65" s="1"/>
      <c r="F65" s="1"/>
      <c r="G65" s="1"/>
      <c r="H65" s="1"/>
    </row>
    <row r="66" spans="2:8" x14ac:dyDescent="0.25">
      <c r="B66" s="1"/>
      <c r="C66" s="1"/>
      <c r="D66" s="1"/>
      <c r="E66" s="1"/>
      <c r="F66" s="1"/>
      <c r="G66" s="1"/>
      <c r="H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2021-06-10T01:55:43Z</dcterms:created>
  <dcterms:modified xsi:type="dcterms:W3CDTF">2021-06-10T19:52:18Z</dcterms:modified>
</cp:coreProperties>
</file>