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89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0" i="1"/>
  <c r="B49" i="1"/>
  <c r="B48" i="1"/>
  <c r="B29" i="1"/>
  <c r="B30" i="1" s="1"/>
  <c r="B32" i="1"/>
  <c r="F33" i="1" s="1"/>
  <c r="F26" i="1" s="1"/>
  <c r="D25" i="1"/>
  <c r="E25" i="1"/>
  <c r="F25" i="1"/>
  <c r="C25" i="1"/>
  <c r="G25" i="1" s="1"/>
  <c r="B39" i="1" s="1"/>
  <c r="G23" i="1"/>
  <c r="G22" i="1"/>
  <c r="G21" i="1"/>
  <c r="B37" i="1" s="1"/>
  <c r="B12" i="1"/>
  <c r="B28" i="1"/>
  <c r="D3" i="1"/>
  <c r="E3" i="1"/>
  <c r="F3" i="1"/>
  <c r="F5" i="1" s="1"/>
  <c r="C3" i="1"/>
  <c r="D5" i="1" l="1"/>
  <c r="E4" i="1" s="1"/>
  <c r="E33" i="1"/>
  <c r="E26" i="1" s="1"/>
  <c r="C34" i="1"/>
  <c r="C24" i="1" s="1"/>
  <c r="G3" i="1"/>
  <c r="C5" i="1"/>
  <c r="D4" i="1" s="1"/>
  <c r="D6" i="1" s="1"/>
  <c r="E5" i="1"/>
  <c r="F4" i="1" s="1"/>
  <c r="F6" i="1" s="1"/>
  <c r="C6" i="1"/>
  <c r="C33" i="1"/>
  <c r="D33" i="1"/>
  <c r="D26" i="1" s="1"/>
  <c r="F19" i="1" l="1"/>
  <c r="F17" i="1"/>
  <c r="F9" i="1"/>
  <c r="F12" i="1" s="1"/>
  <c r="F18" i="1"/>
  <c r="D19" i="1"/>
  <c r="D18" i="1"/>
  <c r="D17" i="1"/>
  <c r="D9" i="1"/>
  <c r="D12" i="1" s="1"/>
  <c r="C26" i="1"/>
  <c r="G26" i="1" s="1"/>
  <c r="G33" i="1"/>
  <c r="C32" i="1"/>
  <c r="E6" i="1"/>
  <c r="C18" i="1"/>
  <c r="G6" i="1"/>
  <c r="C19" i="1"/>
  <c r="C17" i="1"/>
  <c r="C16" i="1"/>
  <c r="C9" i="1"/>
  <c r="C12" i="1" l="1"/>
  <c r="E16" i="1"/>
  <c r="E19" i="1"/>
  <c r="E18" i="1"/>
  <c r="E17" i="1"/>
  <c r="G17" i="1" s="1"/>
  <c r="E9" i="1"/>
  <c r="E12" i="1" s="1"/>
  <c r="F20" i="1"/>
  <c r="C20" i="1"/>
  <c r="G16" i="1"/>
  <c r="G19" i="1"/>
  <c r="G18" i="1"/>
  <c r="D34" i="1"/>
  <c r="D24" i="1" s="1"/>
  <c r="D32" i="1"/>
  <c r="D20" i="1"/>
  <c r="D28" i="1" s="1"/>
  <c r="D29" i="1" s="1"/>
  <c r="E34" i="1" l="1"/>
  <c r="E24" i="1" s="1"/>
  <c r="E32" i="1"/>
  <c r="E29" i="1"/>
  <c r="E20" i="1"/>
  <c r="E28" i="1" s="1"/>
  <c r="G9" i="1"/>
  <c r="C28" i="1"/>
  <c r="G20" i="1"/>
  <c r="C29" i="1"/>
  <c r="C30" i="1" s="1"/>
  <c r="D30" i="1" s="1"/>
  <c r="E30" i="1" s="1"/>
  <c r="G12" i="1"/>
  <c r="F34" i="1" l="1"/>
  <c r="F24" i="1" s="1"/>
  <c r="F32" i="1"/>
  <c r="B36" i="1"/>
  <c r="F28" i="1" l="1"/>
  <c r="F29" i="1" s="1"/>
  <c r="F30" i="1" s="1"/>
  <c r="G24" i="1"/>
  <c r="B42" i="1"/>
  <c r="B44" i="1" s="1"/>
  <c r="H26" i="1" l="1"/>
  <c r="B38" i="1"/>
  <c r="B40" i="1" s="1"/>
  <c r="B41" i="1" s="1"/>
  <c r="G28" i="1"/>
</calcChain>
</file>

<file path=xl/sharedStrings.xml><?xml version="1.0" encoding="utf-8"?>
<sst xmlns="http://schemas.openxmlformats.org/spreadsheetml/2006/main" count="50" uniqueCount="42">
  <si>
    <t>VENTAS ACTUALES</t>
  </si>
  <si>
    <t>VENTAS PLANEADAS</t>
  </si>
  <si>
    <t>INVENTARIO INICIAL</t>
  </si>
  <si>
    <t>INVENTARIO FINAL</t>
  </si>
  <si>
    <t>PRODUCCIÒN</t>
  </si>
  <si>
    <t>PRESUPUESTO DE INGRESOS</t>
  </si>
  <si>
    <t>VENTAS</t>
  </si>
  <si>
    <t>CAJA Y BANCO</t>
  </si>
  <si>
    <t>PRESTAMO BANCO</t>
  </si>
  <si>
    <t>TOTAL INGRESOS</t>
  </si>
  <si>
    <t>PROSUPUESTO EGRESOS</t>
  </si>
  <si>
    <t>Materia prima</t>
  </si>
  <si>
    <t>Insumos</t>
  </si>
  <si>
    <t>Mano de obra directa</t>
  </si>
  <si>
    <t>COSTOS DIRECTOS</t>
  </si>
  <si>
    <t>COSTOS INDIRECTOS</t>
  </si>
  <si>
    <t>Energía eléctrica</t>
  </si>
  <si>
    <t>COSTOS ADMINISTRATIVOS</t>
  </si>
  <si>
    <t>COSTOS COMERCIALES</t>
  </si>
  <si>
    <t>COSTOS FINANCIEROS</t>
  </si>
  <si>
    <t>AMORTIZACIÓN</t>
  </si>
  <si>
    <t>DEPRECIACIÓN</t>
  </si>
  <si>
    <t>INVERSIONES</t>
  </si>
  <si>
    <t>TOTAL EGRESOS</t>
  </si>
  <si>
    <t>RESULTADO</t>
  </si>
  <si>
    <t>ACUMULADO</t>
  </si>
  <si>
    <t>CAPITAL</t>
  </si>
  <si>
    <t>INTERESES</t>
  </si>
  <si>
    <t>COSTO TOTAL</t>
  </si>
  <si>
    <t>COSTO TOTAL UNITARIO</t>
  </si>
  <si>
    <t>COSTO DIRECTO UNITARIO</t>
  </si>
  <si>
    <t>PRECIO VENTA</t>
  </si>
  <si>
    <t>ESTADO DE RESULTADOS</t>
  </si>
  <si>
    <t>INGRESOS</t>
  </si>
  <si>
    <t>COSTOS DE FABRICACIÓN</t>
  </si>
  <si>
    <t>INGRESOS NETOS</t>
  </si>
  <si>
    <t>EGRESOS</t>
  </si>
  <si>
    <t>CA+CC+CF</t>
  </si>
  <si>
    <t>UTILIDAD BRUTA</t>
  </si>
  <si>
    <t>IMPUESTOS 25%</t>
  </si>
  <si>
    <t>UTILIDAD NETA</t>
  </si>
  <si>
    <t>MARGEN CONTRIBUCIÓN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</si>
</sst>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47" zoomScale="80" zoomScaleNormal="80" workbookViewId="0">
      <selection activeCell="B59" sqref="B59"/>
    </sheetView>
  </sheetViews>
  <sheetFormatPr baseColWidth="10" defaultRowHeight="15" x14ac:dyDescent="0.25"/>
  <cols>
    <col min="1" max="1" width="23.7109375" customWidth="1"/>
    <col min="2" max="2" width="16.5703125" customWidth="1"/>
    <col min="3" max="4" width="14.140625" customWidth="1"/>
    <col min="5" max="5" width="14.28515625" customWidth="1"/>
    <col min="6" max="6" width="15.140625" customWidth="1"/>
    <col min="7" max="7" width="14.28515625" customWidth="1"/>
  </cols>
  <sheetData>
    <row r="1" spans="1:7" x14ac:dyDescent="0.25">
      <c r="C1">
        <v>1</v>
      </c>
      <c r="D1">
        <v>2</v>
      </c>
      <c r="E1">
        <v>3</v>
      </c>
      <c r="F1">
        <v>4</v>
      </c>
    </row>
    <row r="2" spans="1:7" x14ac:dyDescent="0.25">
      <c r="A2" t="s">
        <v>0</v>
      </c>
      <c r="C2">
        <v>70000</v>
      </c>
      <c r="D2">
        <v>90000</v>
      </c>
      <c r="E2">
        <v>85000</v>
      </c>
      <c r="F2">
        <v>70000</v>
      </c>
    </row>
    <row r="3" spans="1:7" x14ac:dyDescent="0.25">
      <c r="A3" t="s">
        <v>1</v>
      </c>
      <c r="C3">
        <f>C2+(C2*10%)</f>
        <v>77000</v>
      </c>
      <c r="D3">
        <f t="shared" ref="D3:F3" si="0">D2+(D2*10%)</f>
        <v>99000</v>
      </c>
      <c r="E3">
        <f t="shared" si="0"/>
        <v>93500</v>
      </c>
      <c r="F3">
        <f t="shared" si="0"/>
        <v>77000</v>
      </c>
      <c r="G3">
        <f>SUM(C3:F3)</f>
        <v>346500</v>
      </c>
    </row>
    <row r="4" spans="1:7" x14ac:dyDescent="0.25">
      <c r="A4" t="s">
        <v>2</v>
      </c>
      <c r="C4">
        <v>3000</v>
      </c>
      <c r="D4">
        <f>C5</f>
        <v>3850</v>
      </c>
      <c r="E4">
        <f>D5</f>
        <v>4950</v>
      </c>
      <c r="F4">
        <f>E5</f>
        <v>4675</v>
      </c>
    </row>
    <row r="5" spans="1:7" x14ac:dyDescent="0.25">
      <c r="A5" t="s">
        <v>3</v>
      </c>
      <c r="C5">
        <f>C3*5%</f>
        <v>3850</v>
      </c>
      <c r="D5">
        <f>D3*5%</f>
        <v>4950</v>
      </c>
      <c r="E5">
        <f>E3*5%</f>
        <v>4675</v>
      </c>
      <c r="F5">
        <f>F3*5%</f>
        <v>3850</v>
      </c>
    </row>
    <row r="6" spans="1:7" x14ac:dyDescent="0.25">
      <c r="A6" t="s">
        <v>4</v>
      </c>
      <c r="C6">
        <f>C3-C4+C5</f>
        <v>77850</v>
      </c>
      <c r="D6">
        <f t="shared" ref="D6:F6" si="1">D3-D4+D5</f>
        <v>100100</v>
      </c>
      <c r="E6">
        <f t="shared" si="1"/>
        <v>93225</v>
      </c>
      <c r="F6">
        <f t="shared" si="1"/>
        <v>76175</v>
      </c>
      <c r="G6">
        <f>SUM(C6:F6)</f>
        <v>347350</v>
      </c>
    </row>
    <row r="8" spans="1:7" x14ac:dyDescent="0.25">
      <c r="A8" t="s">
        <v>5</v>
      </c>
    </row>
    <row r="9" spans="1:7" x14ac:dyDescent="0.25">
      <c r="A9" t="s">
        <v>6</v>
      </c>
      <c r="C9">
        <f>C6*35</f>
        <v>2724750</v>
      </c>
      <c r="D9">
        <f t="shared" ref="D9:F9" si="2">D6*35</f>
        <v>3503500</v>
      </c>
      <c r="E9">
        <f t="shared" si="2"/>
        <v>3262875</v>
      </c>
      <c r="F9">
        <f t="shared" si="2"/>
        <v>2666125</v>
      </c>
      <c r="G9">
        <f>SUM(C9:F9)</f>
        <v>12157250</v>
      </c>
    </row>
    <row r="10" spans="1:7" x14ac:dyDescent="0.25">
      <c r="A10" t="s">
        <v>7</v>
      </c>
      <c r="B10">
        <v>1500000</v>
      </c>
    </row>
    <row r="11" spans="1:7" x14ac:dyDescent="0.25">
      <c r="A11" t="s">
        <v>8</v>
      </c>
      <c r="B11">
        <v>2000000</v>
      </c>
    </row>
    <row r="12" spans="1:7" x14ac:dyDescent="0.25">
      <c r="A12" t="s">
        <v>9</v>
      </c>
      <c r="B12">
        <f>SUM(B9:B11)</f>
        <v>3500000</v>
      </c>
      <c r="C12">
        <f t="shared" ref="C12:F12" si="3">SUM(C9:C11)</f>
        <v>2724750</v>
      </c>
      <c r="D12">
        <f t="shared" si="3"/>
        <v>3503500</v>
      </c>
      <c r="E12">
        <f t="shared" si="3"/>
        <v>3262875</v>
      </c>
      <c r="F12">
        <f t="shared" si="3"/>
        <v>2666125</v>
      </c>
      <c r="G12">
        <f>SUM(B12:F12)</f>
        <v>15657250</v>
      </c>
    </row>
    <row r="14" spans="1:7" x14ac:dyDescent="0.25">
      <c r="A14" t="s">
        <v>10</v>
      </c>
    </row>
    <row r="16" spans="1:7" x14ac:dyDescent="0.25">
      <c r="A16" t="s">
        <v>11</v>
      </c>
      <c r="C16">
        <f>(C6+D6)*1.1*7.5</f>
        <v>1468087.5000000002</v>
      </c>
      <c r="E16">
        <f>(E6+F6)*1.1*7.5</f>
        <v>1397550.0000000002</v>
      </c>
      <c r="G16">
        <f>SUM(C16:F16)</f>
        <v>2865637.5000000005</v>
      </c>
    </row>
    <row r="17" spans="1:8" x14ac:dyDescent="0.25">
      <c r="A17" t="s">
        <v>12</v>
      </c>
      <c r="C17">
        <f>C6/100*3</f>
        <v>2335.5</v>
      </c>
      <c r="D17">
        <f t="shared" ref="D17:F17" si="4">D6/100*3</f>
        <v>3003</v>
      </c>
      <c r="E17">
        <f t="shared" si="4"/>
        <v>2796.75</v>
      </c>
      <c r="F17">
        <f t="shared" si="4"/>
        <v>2285.25</v>
      </c>
      <c r="G17">
        <f>SUM(C17:F17)</f>
        <v>10420.5</v>
      </c>
    </row>
    <row r="18" spans="1:8" x14ac:dyDescent="0.25">
      <c r="A18" t="s">
        <v>13</v>
      </c>
      <c r="C18">
        <f>C6*1.5*2.5</f>
        <v>291937.5</v>
      </c>
      <c r="D18">
        <f t="shared" ref="D18:E18" si="5">D6*1.5*2.5</f>
        <v>375375</v>
      </c>
      <c r="E18">
        <f t="shared" si="5"/>
        <v>349593.75</v>
      </c>
      <c r="F18">
        <f>F6*1.5*2.5/3*4</f>
        <v>380875</v>
      </c>
      <c r="G18">
        <f>SUM(C18:F18)</f>
        <v>1397781.25</v>
      </c>
    </row>
    <row r="19" spans="1:8" x14ac:dyDescent="0.25">
      <c r="A19" t="s">
        <v>16</v>
      </c>
      <c r="C19">
        <f>C6/20*5*0.6</f>
        <v>11677.5</v>
      </c>
      <c r="D19">
        <f t="shared" ref="D19:F19" si="6">D6/20*5*0.6</f>
        <v>15015</v>
      </c>
      <c r="E19">
        <f t="shared" si="6"/>
        <v>13983.75</v>
      </c>
      <c r="F19">
        <f t="shared" si="6"/>
        <v>11426.25</v>
      </c>
      <c r="G19">
        <f>SUM(C19:F19)</f>
        <v>52102.5</v>
      </c>
    </row>
    <row r="20" spans="1:8" x14ac:dyDescent="0.25">
      <c r="A20" t="s">
        <v>14</v>
      </c>
      <c r="C20">
        <f>SUM(C16:C19)</f>
        <v>1774038.0000000002</v>
      </c>
      <c r="D20">
        <f t="shared" ref="D20:F20" si="7">SUM(D16:D19)</f>
        <v>393393</v>
      </c>
      <c r="E20">
        <f t="shared" si="7"/>
        <v>1763924.2500000002</v>
      </c>
      <c r="F20">
        <f t="shared" si="7"/>
        <v>394586.5</v>
      </c>
      <c r="G20">
        <f>SUM(C20:F20)</f>
        <v>4325941.75</v>
      </c>
    </row>
    <row r="21" spans="1:8" x14ac:dyDescent="0.25">
      <c r="A21" t="s">
        <v>15</v>
      </c>
      <c r="C21">
        <v>80000</v>
      </c>
      <c r="D21">
        <v>80000</v>
      </c>
      <c r="E21">
        <v>80000</v>
      </c>
      <c r="F21">
        <v>80000</v>
      </c>
      <c r="G21">
        <f>SUM(C21:F21)</f>
        <v>320000</v>
      </c>
    </row>
    <row r="22" spans="1:8" x14ac:dyDescent="0.25">
      <c r="A22" t="s">
        <v>17</v>
      </c>
      <c r="C22">
        <v>250000</v>
      </c>
      <c r="D22">
        <v>250000</v>
      </c>
      <c r="E22">
        <v>250000</v>
      </c>
      <c r="F22">
        <v>250000</v>
      </c>
      <c r="G22">
        <f>SUM(C22:F22)</f>
        <v>1000000</v>
      </c>
    </row>
    <row r="23" spans="1:8" x14ac:dyDescent="0.25">
      <c r="A23" t="s">
        <v>18</v>
      </c>
      <c r="C23">
        <v>150000</v>
      </c>
      <c r="D23">
        <v>150000</v>
      </c>
      <c r="E23">
        <v>150000</v>
      </c>
      <c r="F23">
        <v>150000</v>
      </c>
      <c r="G23">
        <f>SUM(C23:F23)</f>
        <v>600000</v>
      </c>
    </row>
    <row r="24" spans="1:8" x14ac:dyDescent="0.25">
      <c r="A24" t="s">
        <v>19</v>
      </c>
      <c r="C24">
        <f>C34</f>
        <v>240000</v>
      </c>
      <c r="D24">
        <f t="shared" ref="D24:F24" si="8">D34</f>
        <v>180000</v>
      </c>
      <c r="E24">
        <f t="shared" si="8"/>
        <v>120000</v>
      </c>
      <c r="F24">
        <f t="shared" si="8"/>
        <v>60000</v>
      </c>
      <c r="G24">
        <f>SUM(C24:F24)</f>
        <v>600000</v>
      </c>
    </row>
    <row r="25" spans="1:8" x14ac:dyDescent="0.25">
      <c r="A25" t="s">
        <v>21</v>
      </c>
      <c r="C25">
        <f>-1000000/4</f>
        <v>-250000</v>
      </c>
      <c r="D25">
        <f t="shared" ref="D25:F25" si="9">-1000000/4</f>
        <v>-250000</v>
      </c>
      <c r="E25">
        <f t="shared" si="9"/>
        <v>-250000</v>
      </c>
      <c r="F25">
        <f t="shared" si="9"/>
        <v>-250000</v>
      </c>
      <c r="G25">
        <f>SUM(C25:F25)</f>
        <v>-1000000</v>
      </c>
    </row>
    <row r="26" spans="1:8" x14ac:dyDescent="0.25">
      <c r="A26" t="s">
        <v>20</v>
      </c>
      <c r="C26">
        <f>C33</f>
        <v>500000</v>
      </c>
      <c r="D26">
        <f t="shared" ref="D26:F26" si="10">D33</f>
        <v>500000</v>
      </c>
      <c r="E26">
        <f t="shared" si="10"/>
        <v>500000</v>
      </c>
      <c r="F26">
        <f t="shared" si="10"/>
        <v>500000</v>
      </c>
      <c r="G26">
        <f>SUM(C26:F26)</f>
        <v>2000000</v>
      </c>
      <c r="H26">
        <f>G24+G23+G22</f>
        <v>2200000</v>
      </c>
    </row>
    <row r="27" spans="1:8" x14ac:dyDescent="0.25">
      <c r="A27" t="s">
        <v>22</v>
      </c>
      <c r="B27">
        <v>3500000</v>
      </c>
    </row>
    <row r="28" spans="1:8" x14ac:dyDescent="0.25">
      <c r="A28" t="s">
        <v>23</v>
      </c>
      <c r="B28">
        <f>SUM(B27)</f>
        <v>3500000</v>
      </c>
      <c r="C28">
        <f>SUM(C20:C26)</f>
        <v>2744038</v>
      </c>
      <c r="D28">
        <f t="shared" ref="D28:F28" si="11">SUM(D20:D26)</f>
        <v>1303393</v>
      </c>
      <c r="E28">
        <f t="shared" si="11"/>
        <v>2613924.25</v>
      </c>
      <c r="F28">
        <f t="shared" si="11"/>
        <v>1184586.5</v>
      </c>
      <c r="G28">
        <f>SUM(G20:G26)</f>
        <v>7845941.75</v>
      </c>
    </row>
    <row r="29" spans="1:8" x14ac:dyDescent="0.25">
      <c r="A29" t="s">
        <v>24</v>
      </c>
      <c r="B29">
        <f>B12-B28</f>
        <v>0</v>
      </c>
      <c r="C29">
        <f t="shared" ref="C29:F29" si="12">C12-C28</f>
        <v>-19288</v>
      </c>
      <c r="D29">
        <f t="shared" si="12"/>
        <v>2200107</v>
      </c>
      <c r="E29">
        <f t="shared" si="12"/>
        <v>648950.75</v>
      </c>
      <c r="F29">
        <f t="shared" si="12"/>
        <v>1481538.5</v>
      </c>
    </row>
    <row r="30" spans="1:8" x14ac:dyDescent="0.25">
      <c r="A30" t="s">
        <v>25</v>
      </c>
      <c r="B30">
        <f>B29</f>
        <v>0</v>
      </c>
      <c r="C30">
        <f>B30+C29</f>
        <v>-19288</v>
      </c>
      <c r="D30">
        <f t="shared" ref="D30:F30" si="13">C30+D29</f>
        <v>2180819</v>
      </c>
      <c r="E30">
        <f t="shared" si="13"/>
        <v>2829769.75</v>
      </c>
      <c r="F30">
        <f t="shared" si="13"/>
        <v>4311308.25</v>
      </c>
    </row>
    <row r="32" spans="1:8" x14ac:dyDescent="0.25">
      <c r="A32" t="s">
        <v>26</v>
      </c>
      <c r="B32">
        <f>B11</f>
        <v>2000000</v>
      </c>
      <c r="C32">
        <f>B32-C33</f>
        <v>1500000</v>
      </c>
      <c r="D32">
        <f>C32-D33</f>
        <v>1000000</v>
      </c>
      <c r="E32">
        <f>D32-E33</f>
        <v>500000</v>
      </c>
      <c r="F32">
        <f>E32-F33</f>
        <v>0</v>
      </c>
    </row>
    <row r="33" spans="1:7" x14ac:dyDescent="0.25">
      <c r="A33" t="s">
        <v>20</v>
      </c>
      <c r="C33">
        <f>B32/4</f>
        <v>500000</v>
      </c>
      <c r="D33">
        <f>B32/4</f>
        <v>500000</v>
      </c>
      <c r="E33">
        <f>B32/4</f>
        <v>500000</v>
      </c>
      <c r="F33">
        <f>B32/4</f>
        <v>500000</v>
      </c>
      <c r="G33">
        <f>SUM(C33:F33)</f>
        <v>2000000</v>
      </c>
    </row>
    <row r="34" spans="1:7" x14ac:dyDescent="0.25">
      <c r="A34" t="s">
        <v>27</v>
      </c>
      <c r="B34" s="1">
        <v>0.12</v>
      </c>
      <c r="C34">
        <f>B32*B34</f>
        <v>240000</v>
      </c>
      <c r="D34">
        <f>C32*B34</f>
        <v>180000</v>
      </c>
      <c r="E34">
        <f>D32*B34</f>
        <v>120000</v>
      </c>
      <c r="F34">
        <f>E32*B34</f>
        <v>60000</v>
      </c>
    </row>
    <row r="36" spans="1:7" x14ac:dyDescent="0.25">
      <c r="A36" t="s">
        <v>14</v>
      </c>
      <c r="B36">
        <f>G20</f>
        <v>4325941.75</v>
      </c>
    </row>
    <row r="37" spans="1:7" x14ac:dyDescent="0.25">
      <c r="A37" t="s">
        <v>15</v>
      </c>
      <c r="B37">
        <f>G21</f>
        <v>320000</v>
      </c>
    </row>
    <row r="38" spans="1:7" x14ac:dyDescent="0.25">
      <c r="A38" t="s">
        <v>37</v>
      </c>
      <c r="B38">
        <f>G22+G23+G24</f>
        <v>2200000</v>
      </c>
    </row>
    <row r="39" spans="1:7" x14ac:dyDescent="0.25">
      <c r="A39" t="s">
        <v>21</v>
      </c>
      <c r="B39">
        <f>-G25</f>
        <v>1000000</v>
      </c>
    </row>
    <row r="40" spans="1:7" x14ac:dyDescent="0.25">
      <c r="A40" t="s">
        <v>28</v>
      </c>
      <c r="B40">
        <f>SUM(B36:B39)</f>
        <v>7845941.75</v>
      </c>
    </row>
    <row r="41" spans="1:7" x14ac:dyDescent="0.25">
      <c r="A41" t="s">
        <v>29</v>
      </c>
      <c r="B41">
        <f>B40/G6</f>
        <v>22.587999856052974</v>
      </c>
    </row>
    <row r="42" spans="1:7" x14ac:dyDescent="0.25">
      <c r="A42" t="s">
        <v>30</v>
      </c>
      <c r="B42">
        <f>B36/G6</f>
        <v>12.454129120483662</v>
      </c>
    </row>
    <row r="43" spans="1:7" x14ac:dyDescent="0.25">
      <c r="A43" t="s">
        <v>31</v>
      </c>
      <c r="B43">
        <v>35</v>
      </c>
    </row>
    <row r="44" spans="1:7" x14ac:dyDescent="0.25">
      <c r="A44" t="s">
        <v>41</v>
      </c>
      <c r="B44">
        <f>B43-B42</f>
        <v>22.545870879516336</v>
      </c>
    </row>
    <row r="46" spans="1:7" x14ac:dyDescent="0.25">
      <c r="A46" t="s">
        <v>32</v>
      </c>
    </row>
    <row r="47" spans="1:7" x14ac:dyDescent="0.25">
      <c r="A47" t="s">
        <v>33</v>
      </c>
    </row>
    <row r="48" spans="1:7" x14ac:dyDescent="0.25">
      <c r="A48" t="s">
        <v>6</v>
      </c>
      <c r="B48">
        <f>G9</f>
        <v>12157250</v>
      </c>
    </row>
    <row r="49" spans="1:2" x14ac:dyDescent="0.25">
      <c r="A49" t="s">
        <v>34</v>
      </c>
      <c r="B49">
        <f>B37+B36</f>
        <v>4645941.75</v>
      </c>
    </row>
    <row r="50" spans="1:2" x14ac:dyDescent="0.25">
      <c r="A50" t="s">
        <v>35</v>
      </c>
      <c r="B50">
        <f>B48-B49</f>
        <v>7511308.25</v>
      </c>
    </row>
    <row r="52" spans="1:2" x14ac:dyDescent="0.25">
      <c r="A52" t="s">
        <v>36</v>
      </c>
    </row>
    <row r="53" spans="1:2" x14ac:dyDescent="0.25">
      <c r="A53" t="s">
        <v>37</v>
      </c>
      <c r="B53">
        <f>B38</f>
        <v>2200000</v>
      </c>
    </row>
    <row r="54" spans="1:2" x14ac:dyDescent="0.25">
      <c r="A54" t="s">
        <v>21</v>
      </c>
      <c r="B54">
        <f>B39</f>
        <v>1000000</v>
      </c>
    </row>
    <row r="55" spans="1:2" x14ac:dyDescent="0.25">
      <c r="A55" t="s">
        <v>23</v>
      </c>
      <c r="B55">
        <f>SUM(B53:B54)</f>
        <v>3200000</v>
      </c>
    </row>
    <row r="56" spans="1:2" x14ac:dyDescent="0.25">
      <c r="A56" t="s">
        <v>38</v>
      </c>
      <c r="B56">
        <f>B50-B55</f>
        <v>4311308.25</v>
      </c>
    </row>
    <row r="57" spans="1:2" x14ac:dyDescent="0.25">
      <c r="A57" t="s">
        <v>39</v>
      </c>
      <c r="B57">
        <f>B56*25%</f>
        <v>1077827.0625</v>
      </c>
    </row>
    <row r="58" spans="1:2" x14ac:dyDescent="0.25">
      <c r="A58" t="s">
        <v>40</v>
      </c>
      <c r="B58">
        <f>B56-B57</f>
        <v>3233481.1875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2021-07-20T18:19:06Z</dcterms:created>
  <dcterms:modified xsi:type="dcterms:W3CDTF">2021-07-20T19:20:21Z</dcterms:modified>
</cp:coreProperties>
</file>